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ml.chartshapes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 codeName="{C999D3B4-68BB-379E-E534-F0D661931E69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agelli\Desktop\"/>
    </mc:Choice>
  </mc:AlternateContent>
  <bookViews>
    <workbookView xWindow="0" yWindow="0" windowWidth="25920" windowHeight="12600"/>
  </bookViews>
  <sheets>
    <sheet name="Compte Bancaire" sheetId="1" r:id="rId1"/>
  </sheets>
  <externalReferences>
    <externalReference r:id="rId2"/>
  </externalReferences>
  <definedNames>
    <definedName name="HTAOUT2015">'Compte Bancaire'!$S$518</definedName>
    <definedName name="HTAVRIL2015">'Compte Bancaire'!$S$411</definedName>
    <definedName name="HTFEVRIER2015">'Compte Bancaire'!$S$367</definedName>
    <definedName name="HTJANVIER2015">'Compte Bancaire'!$S$343</definedName>
    <definedName name="HTJUILLET2015">'Compte Bancaire'!$S$486</definedName>
    <definedName name="HTJUIN2015">'Compte Bancaire'!$S$456</definedName>
    <definedName name="HTMARS2015">'Compte Bancaire'!$S$385</definedName>
    <definedName name="_xlnm.Print_Titles" localSheetId="0">'Compte Bancaire'!$28:$28</definedName>
    <definedName name="TTCA2015">'Compte Bancaire'!$R$411</definedName>
    <definedName name="TTCAOUT2015">'Compte Bancaire'!$R$518</definedName>
    <definedName name="TTCAVRIL2015">'Compte Bancaire'!$R$411</definedName>
    <definedName name="TTCFEVRIER2015">'Compte Bancaire'!$R$367</definedName>
    <definedName name="TTCJANVIER2015">'Compte Bancaire'!$R$343</definedName>
    <definedName name="TTCJUILETTE2015">'Compte Bancaire'!$R$486</definedName>
    <definedName name="TTCJUIN2015">'Compte Bancaire'!$R$456</definedName>
    <definedName name="TTCM2015">'Compte Bancaire'!$R$385</definedName>
    <definedName name="TYPE">'[1]TYPE &amp; ssTYPE'!$D$4:$D$13</definedName>
    <definedName name="_xlnm.Print_Area" localSheetId="0">'Compte Bancaire'!$B$614:$M$723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7" i="1" l="1"/>
  <c r="T7" i="1"/>
  <c r="T8" i="1"/>
  <c r="T9" i="1"/>
  <c r="D10" i="1"/>
  <c r="T10" i="1"/>
  <c r="D11" i="1"/>
  <c r="S11" i="1"/>
  <c r="T11" i="1"/>
  <c r="F12" i="1"/>
  <c r="S12" i="1"/>
  <c r="T12" i="1"/>
  <c r="U12" i="1" s="1"/>
  <c r="S13" i="1"/>
  <c r="T13" i="1"/>
  <c r="S14" i="1"/>
  <c r="T14" i="1"/>
  <c r="S15" i="1"/>
  <c r="T15" i="1"/>
  <c r="N29" i="1"/>
  <c r="N30" i="1" s="1"/>
  <c r="N31" i="1" s="1"/>
  <c r="N32" i="1" s="1"/>
  <c r="N33" i="1" s="1"/>
  <c r="N34" i="1" s="1"/>
  <c r="N35" i="1" s="1"/>
  <c r="N36" i="1" s="1"/>
  <c r="N37" i="1" s="1"/>
  <c r="N38" i="1" s="1"/>
  <c r="N39" i="1" s="1"/>
  <c r="N40" i="1" s="1"/>
  <c r="N41" i="1" s="1"/>
  <c r="N42" i="1" s="1"/>
  <c r="N43" i="1" s="1"/>
  <c r="N44" i="1" s="1"/>
  <c r="N45" i="1" s="1"/>
  <c r="N46" i="1" s="1"/>
  <c r="N47" i="1" s="1"/>
  <c r="N48" i="1" s="1"/>
  <c r="N49" i="1" s="1"/>
  <c r="N50" i="1" s="1"/>
  <c r="N51" i="1" s="1"/>
  <c r="N52" i="1" s="1"/>
  <c r="N53" i="1" s="1"/>
  <c r="N54" i="1" s="1"/>
  <c r="N55" i="1" s="1"/>
  <c r="N56" i="1" s="1"/>
  <c r="N57" i="1" s="1"/>
  <c r="N58" i="1" s="1"/>
  <c r="N59" i="1" s="1"/>
  <c r="N60" i="1" s="1"/>
  <c r="N61" i="1" s="1"/>
  <c r="N62" i="1" s="1"/>
  <c r="N63" i="1" s="1"/>
  <c r="N64" i="1" s="1"/>
  <c r="N65" i="1" s="1"/>
  <c r="N66" i="1" s="1"/>
  <c r="N67" i="1" s="1"/>
  <c r="N68" i="1" s="1"/>
  <c r="N69" i="1" s="1"/>
  <c r="N70" i="1" s="1"/>
  <c r="N71" i="1" s="1"/>
  <c r="N72" i="1" s="1"/>
  <c r="N73" i="1" s="1"/>
  <c r="N74" i="1" s="1"/>
  <c r="N75" i="1" s="1"/>
  <c r="N76" i="1" s="1"/>
  <c r="N77" i="1" s="1"/>
  <c r="N78" i="1" s="1"/>
  <c r="N79" i="1" s="1"/>
  <c r="N80" i="1" s="1"/>
  <c r="N81" i="1" s="1"/>
  <c r="N82" i="1" s="1"/>
  <c r="N83" i="1" s="1"/>
  <c r="N84" i="1" s="1"/>
  <c r="N85" i="1" s="1"/>
  <c r="N86" i="1" s="1"/>
  <c r="N87" i="1" s="1"/>
  <c r="N88" i="1" s="1"/>
  <c r="N89" i="1" s="1"/>
  <c r="N90" i="1" s="1"/>
  <c r="N91" i="1" s="1"/>
  <c r="N92" i="1" s="1"/>
  <c r="N93" i="1" s="1"/>
  <c r="N94" i="1" s="1"/>
  <c r="N95" i="1" s="1"/>
  <c r="N96" i="1" s="1"/>
  <c r="N97" i="1" s="1"/>
  <c r="N98" i="1" s="1"/>
  <c r="N99" i="1" s="1"/>
  <c r="N100" i="1" s="1"/>
  <c r="N101" i="1" s="1"/>
  <c r="N102" i="1" s="1"/>
  <c r="N103" i="1" s="1"/>
  <c r="N104" i="1" s="1"/>
  <c r="N105" i="1" s="1"/>
  <c r="N106" i="1" s="1"/>
  <c r="N107" i="1" s="1"/>
  <c r="N108" i="1" s="1"/>
  <c r="N109" i="1" s="1"/>
  <c r="N110" i="1" s="1"/>
  <c r="N111" i="1" s="1"/>
  <c r="N112" i="1" s="1"/>
  <c r="N113" i="1" s="1"/>
  <c r="N114" i="1" s="1"/>
  <c r="N115" i="1" s="1"/>
  <c r="N116" i="1" s="1"/>
  <c r="N117" i="1" s="1"/>
  <c r="N118" i="1" s="1"/>
  <c r="N119" i="1" s="1"/>
  <c r="N120" i="1" s="1"/>
  <c r="N121" i="1" s="1"/>
  <c r="N122" i="1" s="1"/>
  <c r="N123" i="1" s="1"/>
  <c r="N124" i="1" s="1"/>
  <c r="N125" i="1" s="1"/>
  <c r="N126" i="1" s="1"/>
  <c r="N127" i="1" s="1"/>
  <c r="N128" i="1" s="1"/>
  <c r="N129" i="1" s="1"/>
  <c r="N130" i="1" s="1"/>
  <c r="N131" i="1" s="1"/>
  <c r="N132" i="1" s="1"/>
  <c r="N133" i="1" s="1"/>
  <c r="N134" i="1" s="1"/>
  <c r="N135" i="1" s="1"/>
  <c r="N136" i="1" s="1"/>
  <c r="N137" i="1" s="1"/>
  <c r="N138" i="1" s="1"/>
  <c r="N139" i="1" s="1"/>
  <c r="N140" i="1" s="1"/>
  <c r="N141" i="1" s="1"/>
  <c r="N142" i="1" s="1"/>
  <c r="N143" i="1" s="1"/>
  <c r="N144" i="1" s="1"/>
  <c r="N145" i="1" s="1"/>
  <c r="N146" i="1" s="1"/>
  <c r="N147" i="1" s="1"/>
  <c r="N148" i="1" s="1"/>
  <c r="N149" i="1" s="1"/>
  <c r="N150" i="1" s="1"/>
  <c r="N151" i="1" s="1"/>
  <c r="N152" i="1" s="1"/>
  <c r="N153" i="1" s="1"/>
  <c r="N154" i="1" s="1"/>
  <c r="N155" i="1" s="1"/>
  <c r="N156" i="1" s="1"/>
  <c r="N157" i="1" s="1"/>
  <c r="N158" i="1" s="1"/>
  <c r="N159" i="1" s="1"/>
  <c r="N160" i="1" s="1"/>
  <c r="N161" i="1" s="1"/>
  <c r="N162" i="1" s="1"/>
  <c r="N163" i="1" s="1"/>
  <c r="N164" i="1" s="1"/>
  <c r="N165" i="1" s="1"/>
  <c r="N166" i="1" s="1"/>
  <c r="N167" i="1" s="1"/>
  <c r="N168" i="1" s="1"/>
  <c r="N169" i="1" s="1"/>
  <c r="N170" i="1" s="1"/>
  <c r="N171" i="1" s="1"/>
  <c r="N172" i="1" s="1"/>
  <c r="N173" i="1" s="1"/>
  <c r="N174" i="1" s="1"/>
  <c r="N175" i="1" s="1"/>
  <c r="N176" i="1" s="1"/>
  <c r="N177" i="1" s="1"/>
  <c r="N178" i="1" s="1"/>
  <c r="N179" i="1" s="1"/>
  <c r="N180" i="1" s="1"/>
  <c r="N181" i="1" s="1"/>
  <c r="N182" i="1" s="1"/>
  <c r="N183" i="1" s="1"/>
  <c r="N184" i="1" s="1"/>
  <c r="N185" i="1" s="1"/>
  <c r="N186" i="1" s="1"/>
  <c r="N187" i="1" s="1"/>
  <c r="N188" i="1" s="1"/>
  <c r="N189" i="1" s="1"/>
  <c r="N190" i="1" s="1"/>
  <c r="N191" i="1" s="1"/>
  <c r="N192" i="1" s="1"/>
  <c r="N193" i="1" s="1"/>
  <c r="N194" i="1" s="1"/>
  <c r="N195" i="1" s="1"/>
  <c r="N196" i="1" s="1"/>
  <c r="N197" i="1" s="1"/>
  <c r="N198" i="1" s="1"/>
  <c r="N199" i="1" s="1"/>
  <c r="N200" i="1" s="1"/>
  <c r="N201" i="1" s="1"/>
  <c r="N202" i="1" s="1"/>
  <c r="N203" i="1" s="1"/>
  <c r="N204" i="1" s="1"/>
  <c r="N205" i="1" s="1"/>
  <c r="N206" i="1" s="1"/>
  <c r="N207" i="1" s="1"/>
  <c r="N208" i="1" s="1"/>
  <c r="N209" i="1" s="1"/>
  <c r="N210" i="1" s="1"/>
  <c r="N211" i="1" s="1"/>
  <c r="N212" i="1" s="1"/>
  <c r="N213" i="1" s="1"/>
  <c r="N214" i="1" s="1"/>
  <c r="N215" i="1" s="1"/>
  <c r="N216" i="1" s="1"/>
  <c r="N217" i="1" s="1"/>
  <c r="N218" i="1" s="1"/>
  <c r="N219" i="1" s="1"/>
  <c r="N220" i="1" s="1"/>
  <c r="N221" i="1" s="1"/>
  <c r="N222" i="1" s="1"/>
  <c r="N223" i="1" s="1"/>
  <c r="N224" i="1" s="1"/>
  <c r="N225" i="1" s="1"/>
  <c r="N226" i="1" s="1"/>
  <c r="N227" i="1" s="1"/>
  <c r="N228" i="1" s="1"/>
  <c r="N229" i="1" s="1"/>
  <c r="N230" i="1" s="1"/>
  <c r="N231" i="1" s="1"/>
  <c r="N232" i="1" s="1"/>
  <c r="N233" i="1" s="1"/>
  <c r="N234" i="1" s="1"/>
  <c r="N235" i="1" s="1"/>
  <c r="N236" i="1" s="1"/>
  <c r="N237" i="1" s="1"/>
  <c r="N238" i="1" s="1"/>
  <c r="N239" i="1" s="1"/>
  <c r="N240" i="1" s="1"/>
  <c r="N241" i="1" s="1"/>
  <c r="N242" i="1" s="1"/>
  <c r="N243" i="1" s="1"/>
  <c r="N244" i="1" s="1"/>
  <c r="N245" i="1" s="1"/>
  <c r="N246" i="1" s="1"/>
  <c r="N247" i="1" s="1"/>
  <c r="N248" i="1" s="1"/>
  <c r="N249" i="1" s="1"/>
  <c r="N250" i="1" s="1"/>
  <c r="N251" i="1" s="1"/>
  <c r="N252" i="1" s="1"/>
  <c r="N253" i="1" s="1"/>
  <c r="N254" i="1" s="1"/>
  <c r="N255" i="1" s="1"/>
  <c r="N256" i="1" s="1"/>
  <c r="N257" i="1" s="1"/>
  <c r="N258" i="1" s="1"/>
  <c r="N259" i="1" s="1"/>
  <c r="N260" i="1" s="1"/>
  <c r="N261" i="1" s="1"/>
  <c r="N262" i="1" s="1"/>
  <c r="N263" i="1" s="1"/>
  <c r="N264" i="1" s="1"/>
  <c r="N265" i="1" s="1"/>
  <c r="N266" i="1" s="1"/>
  <c r="N267" i="1" s="1"/>
  <c r="N268" i="1" s="1"/>
  <c r="N269" i="1" s="1"/>
  <c r="N270" i="1" s="1"/>
  <c r="N271" i="1" s="1"/>
  <c r="N272" i="1" s="1"/>
  <c r="N273" i="1" s="1"/>
  <c r="N274" i="1" s="1"/>
  <c r="N275" i="1" s="1"/>
  <c r="N276" i="1" s="1"/>
  <c r="N277" i="1" s="1"/>
  <c r="N278" i="1" s="1"/>
  <c r="N279" i="1" s="1"/>
  <c r="N280" i="1" s="1"/>
  <c r="N281" i="1" s="1"/>
  <c r="N282" i="1" s="1"/>
  <c r="N283" i="1" s="1"/>
  <c r="N284" i="1" s="1"/>
  <c r="N285" i="1" s="1"/>
  <c r="N286" i="1" s="1"/>
  <c r="N287" i="1" s="1"/>
  <c r="N288" i="1" s="1"/>
  <c r="N289" i="1" s="1"/>
  <c r="N290" i="1" s="1"/>
  <c r="N291" i="1" s="1"/>
  <c r="N292" i="1" s="1"/>
  <c r="N293" i="1" s="1"/>
  <c r="N294" i="1" s="1"/>
  <c r="N295" i="1" s="1"/>
  <c r="N296" i="1" s="1"/>
  <c r="N297" i="1" s="1"/>
  <c r="N298" i="1" s="1"/>
  <c r="N299" i="1" s="1"/>
  <c r="N300" i="1" s="1"/>
  <c r="N301" i="1" s="1"/>
  <c r="N302" i="1" s="1"/>
  <c r="N303" i="1" s="1"/>
  <c r="N304" i="1" s="1"/>
  <c r="N305" i="1" s="1"/>
  <c r="N306" i="1" s="1"/>
  <c r="N307" i="1" s="1"/>
  <c r="N308" i="1" s="1"/>
  <c r="N309" i="1" s="1"/>
  <c r="N310" i="1" s="1"/>
  <c r="N311" i="1" s="1"/>
  <c r="N312" i="1" s="1"/>
  <c r="N313" i="1" s="1"/>
  <c r="N314" i="1" s="1"/>
  <c r="N315" i="1" s="1"/>
  <c r="N316" i="1" s="1"/>
  <c r="N317" i="1" s="1"/>
  <c r="N318" i="1" s="1"/>
  <c r="N319" i="1" s="1"/>
  <c r="N320" i="1" s="1"/>
  <c r="N321" i="1" s="1"/>
  <c r="N322" i="1" s="1"/>
  <c r="N323" i="1" s="1"/>
  <c r="N324" i="1" s="1"/>
  <c r="N325" i="1" s="1"/>
  <c r="N326" i="1" s="1"/>
  <c r="N327" i="1" s="1"/>
  <c r="N328" i="1" s="1"/>
  <c r="N329" i="1" s="1"/>
  <c r="N330" i="1" s="1"/>
  <c r="N331" i="1" s="1"/>
  <c r="N332" i="1" s="1"/>
  <c r="N333" i="1" s="1"/>
  <c r="N334" i="1" s="1"/>
  <c r="N335" i="1" s="1"/>
  <c r="N336" i="1" s="1"/>
  <c r="N337" i="1" s="1"/>
  <c r="N338" i="1" s="1"/>
  <c r="N339" i="1" s="1"/>
  <c r="N340" i="1" s="1"/>
  <c r="N341" i="1" s="1"/>
  <c r="N342" i="1" s="1"/>
  <c r="N343" i="1" s="1"/>
  <c r="N344" i="1" s="1"/>
  <c r="N345" i="1" s="1"/>
  <c r="N346" i="1" s="1"/>
  <c r="N347" i="1" s="1"/>
  <c r="N348" i="1" s="1"/>
  <c r="N349" i="1" s="1"/>
  <c r="N350" i="1" s="1"/>
  <c r="N351" i="1" s="1"/>
  <c r="N352" i="1" s="1"/>
  <c r="N353" i="1" s="1"/>
  <c r="N354" i="1" s="1"/>
  <c r="N355" i="1" s="1"/>
  <c r="N356" i="1" s="1"/>
  <c r="N357" i="1" s="1"/>
  <c r="N358" i="1" s="1"/>
  <c r="N359" i="1" s="1"/>
  <c r="N360" i="1" s="1"/>
  <c r="N361" i="1" s="1"/>
  <c r="N362" i="1" s="1"/>
  <c r="N363" i="1" s="1"/>
  <c r="N364" i="1" s="1"/>
  <c r="N365" i="1" s="1"/>
  <c r="N366" i="1" s="1"/>
  <c r="N367" i="1" s="1"/>
  <c r="N368" i="1" s="1"/>
  <c r="N369" i="1" s="1"/>
  <c r="N370" i="1" s="1"/>
  <c r="N371" i="1" s="1"/>
  <c r="N372" i="1" s="1"/>
  <c r="N373" i="1" s="1"/>
  <c r="N374" i="1" s="1"/>
  <c r="N375" i="1" s="1"/>
  <c r="N376" i="1" s="1"/>
  <c r="N377" i="1" s="1"/>
  <c r="N378" i="1" s="1"/>
  <c r="N379" i="1" s="1"/>
  <c r="N380" i="1" s="1"/>
  <c r="N381" i="1" s="1"/>
  <c r="N382" i="1" s="1"/>
  <c r="N383" i="1" s="1"/>
  <c r="N384" i="1" s="1"/>
  <c r="N385" i="1" s="1"/>
  <c r="N386" i="1" s="1"/>
  <c r="N387" i="1" s="1"/>
  <c r="N388" i="1" s="1"/>
  <c r="N389" i="1" s="1"/>
  <c r="N390" i="1" s="1"/>
  <c r="N391" i="1" s="1"/>
  <c r="N392" i="1" s="1"/>
  <c r="N393" i="1" s="1"/>
  <c r="N394" i="1" s="1"/>
  <c r="N395" i="1" s="1"/>
  <c r="N396" i="1" s="1"/>
  <c r="N397" i="1" s="1"/>
  <c r="N398" i="1" s="1"/>
  <c r="N399" i="1" s="1"/>
  <c r="N400" i="1" s="1"/>
  <c r="N401" i="1" s="1"/>
  <c r="N402" i="1" s="1"/>
  <c r="N403" i="1" s="1"/>
  <c r="N404" i="1" s="1"/>
  <c r="N405" i="1" s="1"/>
  <c r="N406" i="1" s="1"/>
  <c r="N407" i="1" s="1"/>
  <c r="N408" i="1" s="1"/>
  <c r="N409" i="1" s="1"/>
  <c r="N410" i="1" s="1"/>
  <c r="N411" i="1" s="1"/>
  <c r="N412" i="1" s="1"/>
  <c r="N413" i="1" s="1"/>
  <c r="N414" i="1" s="1"/>
  <c r="N415" i="1" s="1"/>
  <c r="N416" i="1" s="1"/>
  <c r="N417" i="1" s="1"/>
  <c r="N418" i="1" s="1"/>
  <c r="N419" i="1" s="1"/>
  <c r="N420" i="1" s="1"/>
  <c r="N421" i="1" s="1"/>
  <c r="N422" i="1" s="1"/>
  <c r="N423" i="1" s="1"/>
  <c r="N424" i="1" s="1"/>
  <c r="N425" i="1" s="1"/>
  <c r="N426" i="1" s="1"/>
  <c r="N427" i="1" s="1"/>
  <c r="N428" i="1" s="1"/>
  <c r="N429" i="1" s="1"/>
  <c r="N430" i="1" s="1"/>
  <c r="N431" i="1" s="1"/>
  <c r="N432" i="1" s="1"/>
  <c r="N433" i="1" s="1"/>
  <c r="N434" i="1" s="1"/>
  <c r="N435" i="1" s="1"/>
  <c r="N436" i="1" s="1"/>
  <c r="N437" i="1" s="1"/>
  <c r="N438" i="1" s="1"/>
  <c r="N439" i="1" s="1"/>
  <c r="N440" i="1" s="1"/>
  <c r="N441" i="1" s="1"/>
  <c r="N442" i="1" s="1"/>
  <c r="N443" i="1" s="1"/>
  <c r="N444" i="1" s="1"/>
  <c r="N445" i="1" s="1"/>
  <c r="N446" i="1" s="1"/>
  <c r="N447" i="1" s="1"/>
  <c r="N448" i="1" s="1"/>
  <c r="N449" i="1" s="1"/>
  <c r="N450" i="1" s="1"/>
  <c r="N451" i="1" s="1"/>
  <c r="N452" i="1" s="1"/>
  <c r="N453" i="1" s="1"/>
  <c r="N454" i="1" s="1"/>
  <c r="N455" i="1" s="1"/>
  <c r="N456" i="1" s="1"/>
  <c r="N457" i="1" s="1"/>
  <c r="N458" i="1" s="1"/>
  <c r="N459" i="1" s="1"/>
  <c r="N460" i="1" s="1"/>
  <c r="N461" i="1" s="1"/>
  <c r="N462" i="1" s="1"/>
  <c r="N463" i="1" s="1"/>
  <c r="N464" i="1" s="1"/>
  <c r="N465" i="1" s="1"/>
  <c r="N466" i="1" s="1"/>
  <c r="N467" i="1" s="1"/>
  <c r="N468" i="1" s="1"/>
  <c r="N469" i="1" s="1"/>
  <c r="N470" i="1" s="1"/>
  <c r="N471" i="1" s="1"/>
  <c r="N472" i="1" s="1"/>
  <c r="N473" i="1" s="1"/>
  <c r="N474" i="1" s="1"/>
  <c r="N475" i="1" s="1"/>
  <c r="N476" i="1" s="1"/>
  <c r="N477" i="1" s="1"/>
  <c r="N478" i="1" s="1"/>
  <c r="N479" i="1" s="1"/>
  <c r="N480" i="1" s="1"/>
  <c r="N481" i="1" s="1"/>
  <c r="N482" i="1" s="1"/>
  <c r="N483" i="1" s="1"/>
  <c r="N484" i="1" s="1"/>
  <c r="N485" i="1" s="1"/>
  <c r="N486" i="1" s="1"/>
  <c r="N487" i="1" s="1"/>
  <c r="O29" i="1"/>
  <c r="O30" i="1" s="1"/>
  <c r="O31" i="1" s="1"/>
  <c r="O32" i="1" s="1"/>
  <c r="O33" i="1" s="1"/>
  <c r="O34" i="1" s="1"/>
  <c r="O35" i="1" s="1"/>
  <c r="O36" i="1" s="1"/>
  <c r="O37" i="1" s="1"/>
  <c r="O38" i="1" s="1"/>
  <c r="O39" i="1" s="1"/>
  <c r="O40" i="1" s="1"/>
  <c r="O41" i="1" s="1"/>
  <c r="O42" i="1" s="1"/>
  <c r="O43" i="1" s="1"/>
  <c r="O44" i="1" s="1"/>
  <c r="O45" i="1" s="1"/>
  <c r="O46" i="1" s="1"/>
  <c r="O47" i="1" s="1"/>
  <c r="O48" i="1" s="1"/>
  <c r="O49" i="1" s="1"/>
  <c r="O50" i="1" s="1"/>
  <c r="O51" i="1" s="1"/>
  <c r="O52" i="1" s="1"/>
  <c r="O53" i="1" s="1"/>
  <c r="O54" i="1" s="1"/>
  <c r="O55" i="1" s="1"/>
  <c r="O56" i="1" s="1"/>
  <c r="O57" i="1" s="1"/>
  <c r="O58" i="1" s="1"/>
  <c r="O59" i="1" s="1"/>
  <c r="O60" i="1" s="1"/>
  <c r="O61" i="1" s="1"/>
  <c r="O62" i="1" s="1"/>
  <c r="O63" i="1" s="1"/>
  <c r="O64" i="1" s="1"/>
  <c r="O65" i="1" s="1"/>
  <c r="O66" i="1" s="1"/>
  <c r="O67" i="1" s="1"/>
  <c r="O68" i="1" s="1"/>
  <c r="O69" i="1" s="1"/>
  <c r="O70" i="1" s="1"/>
  <c r="O71" i="1" s="1"/>
  <c r="O72" i="1" s="1"/>
  <c r="O73" i="1" s="1"/>
  <c r="O74" i="1" s="1"/>
  <c r="O75" i="1" s="1"/>
  <c r="O76" i="1" s="1"/>
  <c r="O77" i="1" s="1"/>
  <c r="O78" i="1" s="1"/>
  <c r="O79" i="1" s="1"/>
  <c r="O80" i="1" s="1"/>
  <c r="O81" i="1" s="1"/>
  <c r="O82" i="1" s="1"/>
  <c r="O83" i="1" s="1"/>
  <c r="O84" i="1" s="1"/>
  <c r="O85" i="1" s="1"/>
  <c r="O86" i="1" s="1"/>
  <c r="O87" i="1" s="1"/>
  <c r="O88" i="1" s="1"/>
  <c r="O89" i="1" s="1"/>
  <c r="O90" i="1" s="1"/>
  <c r="O91" i="1" s="1"/>
  <c r="O92" i="1" s="1"/>
  <c r="O93" i="1" s="1"/>
  <c r="O94" i="1" s="1"/>
  <c r="O95" i="1" s="1"/>
  <c r="O96" i="1" s="1"/>
  <c r="O97" i="1" s="1"/>
  <c r="O98" i="1" s="1"/>
  <c r="O99" i="1" s="1"/>
  <c r="O100" i="1" s="1"/>
  <c r="O101" i="1" s="1"/>
  <c r="O102" i="1" s="1"/>
  <c r="O103" i="1" s="1"/>
  <c r="O104" i="1" s="1"/>
  <c r="O105" i="1" s="1"/>
  <c r="O106" i="1" s="1"/>
  <c r="O107" i="1" s="1"/>
  <c r="O108" i="1" s="1"/>
  <c r="O109" i="1" s="1"/>
  <c r="O110" i="1" s="1"/>
  <c r="O111" i="1" s="1"/>
  <c r="O112" i="1" s="1"/>
  <c r="O113" i="1" s="1"/>
  <c r="O114" i="1" s="1"/>
  <c r="O115" i="1" s="1"/>
  <c r="O116" i="1" s="1"/>
  <c r="O117" i="1" s="1"/>
  <c r="O118" i="1" s="1"/>
  <c r="O119" i="1" s="1"/>
  <c r="O120" i="1" s="1"/>
  <c r="O121" i="1" s="1"/>
  <c r="O122" i="1" s="1"/>
  <c r="O123" i="1" s="1"/>
  <c r="O124" i="1" s="1"/>
  <c r="O125" i="1" s="1"/>
  <c r="O126" i="1" s="1"/>
  <c r="O127" i="1" s="1"/>
  <c r="O128" i="1" s="1"/>
  <c r="O129" i="1" s="1"/>
  <c r="O130" i="1" s="1"/>
  <c r="O131" i="1" s="1"/>
  <c r="O132" i="1" s="1"/>
  <c r="O133" i="1" s="1"/>
  <c r="O134" i="1" s="1"/>
  <c r="O135" i="1" s="1"/>
  <c r="O136" i="1" s="1"/>
  <c r="O137" i="1" s="1"/>
  <c r="O138" i="1" s="1"/>
  <c r="O139" i="1" s="1"/>
  <c r="O140" i="1" s="1"/>
  <c r="O141" i="1" s="1"/>
  <c r="O142" i="1" s="1"/>
  <c r="O143" i="1" s="1"/>
  <c r="O144" i="1" s="1"/>
  <c r="O145" i="1" s="1"/>
  <c r="O146" i="1" s="1"/>
  <c r="O147" i="1" s="1"/>
  <c r="O148" i="1" s="1"/>
  <c r="O149" i="1" s="1"/>
  <c r="O150" i="1" s="1"/>
  <c r="O151" i="1" s="1"/>
  <c r="O152" i="1" s="1"/>
  <c r="O153" i="1" s="1"/>
  <c r="O154" i="1" s="1"/>
  <c r="O155" i="1" s="1"/>
  <c r="O156" i="1" s="1"/>
  <c r="O157" i="1" s="1"/>
  <c r="O158" i="1" s="1"/>
  <c r="O159" i="1" s="1"/>
  <c r="O160" i="1" s="1"/>
  <c r="O161" i="1" s="1"/>
  <c r="O162" i="1" s="1"/>
  <c r="O163" i="1" s="1"/>
  <c r="O164" i="1" s="1"/>
  <c r="O165" i="1" s="1"/>
  <c r="O166" i="1" s="1"/>
  <c r="O167" i="1" s="1"/>
  <c r="O168" i="1" s="1"/>
  <c r="O169" i="1" s="1"/>
  <c r="O170" i="1" s="1"/>
  <c r="O171" i="1" s="1"/>
  <c r="O172" i="1" s="1"/>
  <c r="O173" i="1" s="1"/>
  <c r="O174" i="1" s="1"/>
  <c r="O175" i="1" s="1"/>
  <c r="O176" i="1" s="1"/>
  <c r="O177" i="1" s="1"/>
  <c r="O178" i="1" s="1"/>
  <c r="O179" i="1" s="1"/>
  <c r="O180" i="1" s="1"/>
  <c r="O181" i="1" s="1"/>
  <c r="O182" i="1" s="1"/>
  <c r="O183" i="1" s="1"/>
  <c r="O184" i="1" s="1"/>
  <c r="O185" i="1" s="1"/>
  <c r="O186" i="1" s="1"/>
  <c r="O187" i="1" s="1"/>
  <c r="O188" i="1" s="1"/>
  <c r="O189" i="1" s="1"/>
  <c r="O190" i="1" s="1"/>
  <c r="O191" i="1" s="1"/>
  <c r="O192" i="1" s="1"/>
  <c r="O193" i="1" s="1"/>
  <c r="O194" i="1" s="1"/>
  <c r="O195" i="1" s="1"/>
  <c r="O196" i="1" s="1"/>
  <c r="O197" i="1" s="1"/>
  <c r="O198" i="1" s="1"/>
  <c r="O199" i="1" s="1"/>
  <c r="O200" i="1" s="1"/>
  <c r="O201" i="1" s="1"/>
  <c r="O202" i="1" s="1"/>
  <c r="O203" i="1" s="1"/>
  <c r="O204" i="1" s="1"/>
  <c r="O205" i="1" s="1"/>
  <c r="O206" i="1" s="1"/>
  <c r="O207" i="1" s="1"/>
  <c r="O208" i="1" s="1"/>
  <c r="O209" i="1" s="1"/>
  <c r="O210" i="1" s="1"/>
  <c r="O211" i="1" s="1"/>
  <c r="O212" i="1" s="1"/>
  <c r="O213" i="1" s="1"/>
  <c r="O214" i="1" s="1"/>
  <c r="O215" i="1" s="1"/>
  <c r="O216" i="1" s="1"/>
  <c r="O217" i="1" s="1"/>
  <c r="O218" i="1" s="1"/>
  <c r="O219" i="1" s="1"/>
  <c r="O220" i="1" s="1"/>
  <c r="O221" i="1" s="1"/>
  <c r="O222" i="1" s="1"/>
  <c r="O223" i="1" s="1"/>
  <c r="O224" i="1" s="1"/>
  <c r="O225" i="1" s="1"/>
  <c r="O226" i="1" s="1"/>
  <c r="O227" i="1" s="1"/>
  <c r="O228" i="1" s="1"/>
  <c r="O229" i="1" s="1"/>
  <c r="O230" i="1" s="1"/>
  <c r="O231" i="1" s="1"/>
  <c r="O232" i="1" s="1"/>
  <c r="O233" i="1" s="1"/>
  <c r="O234" i="1" s="1"/>
  <c r="O235" i="1" s="1"/>
  <c r="O236" i="1" s="1"/>
  <c r="O237" i="1" s="1"/>
  <c r="O238" i="1" s="1"/>
  <c r="O239" i="1" s="1"/>
  <c r="O240" i="1" s="1"/>
  <c r="O241" i="1" s="1"/>
  <c r="O242" i="1" s="1"/>
  <c r="O243" i="1" s="1"/>
  <c r="O244" i="1" s="1"/>
  <c r="O245" i="1" s="1"/>
  <c r="O246" i="1" s="1"/>
  <c r="O247" i="1" s="1"/>
  <c r="O248" i="1" s="1"/>
  <c r="O249" i="1" s="1"/>
  <c r="O250" i="1" s="1"/>
  <c r="O251" i="1" s="1"/>
  <c r="O252" i="1" s="1"/>
  <c r="O253" i="1" s="1"/>
  <c r="O254" i="1" s="1"/>
  <c r="O255" i="1" s="1"/>
  <c r="O256" i="1" s="1"/>
  <c r="O257" i="1" s="1"/>
  <c r="O258" i="1" s="1"/>
  <c r="O259" i="1" s="1"/>
  <c r="O260" i="1" s="1"/>
  <c r="O261" i="1" s="1"/>
  <c r="O262" i="1" s="1"/>
  <c r="O263" i="1" s="1"/>
  <c r="O264" i="1" s="1"/>
  <c r="O265" i="1" s="1"/>
  <c r="O266" i="1" s="1"/>
  <c r="O267" i="1" s="1"/>
  <c r="O268" i="1" s="1"/>
  <c r="O269" i="1" s="1"/>
  <c r="O270" i="1" s="1"/>
  <c r="O271" i="1" s="1"/>
  <c r="O272" i="1" s="1"/>
  <c r="O273" i="1" s="1"/>
  <c r="O274" i="1" s="1"/>
  <c r="O275" i="1" s="1"/>
  <c r="O276" i="1" s="1"/>
  <c r="O277" i="1" s="1"/>
  <c r="O278" i="1" s="1"/>
  <c r="O279" i="1" s="1"/>
  <c r="O280" i="1" s="1"/>
  <c r="O281" i="1" s="1"/>
  <c r="O282" i="1" s="1"/>
  <c r="O283" i="1" s="1"/>
  <c r="O284" i="1" s="1"/>
  <c r="O285" i="1" s="1"/>
  <c r="O286" i="1" s="1"/>
  <c r="O287" i="1" s="1"/>
  <c r="O288" i="1" s="1"/>
  <c r="O289" i="1" s="1"/>
  <c r="O290" i="1" s="1"/>
  <c r="O291" i="1" s="1"/>
  <c r="O292" i="1" s="1"/>
  <c r="O293" i="1" s="1"/>
  <c r="O294" i="1" s="1"/>
  <c r="O295" i="1" s="1"/>
  <c r="O296" i="1" s="1"/>
  <c r="O297" i="1" s="1"/>
  <c r="O298" i="1" s="1"/>
  <c r="O299" i="1" s="1"/>
  <c r="O300" i="1" s="1"/>
  <c r="O301" i="1" s="1"/>
  <c r="O302" i="1" s="1"/>
  <c r="O303" i="1" s="1"/>
  <c r="O304" i="1" s="1"/>
  <c r="O305" i="1" s="1"/>
  <c r="O306" i="1" s="1"/>
  <c r="O307" i="1" s="1"/>
  <c r="O308" i="1" s="1"/>
  <c r="O309" i="1" s="1"/>
  <c r="O310" i="1" s="1"/>
  <c r="O311" i="1" s="1"/>
  <c r="O312" i="1" s="1"/>
  <c r="O313" i="1" s="1"/>
  <c r="O314" i="1" s="1"/>
  <c r="O315" i="1" s="1"/>
  <c r="O316" i="1" s="1"/>
  <c r="O317" i="1" s="1"/>
  <c r="O318" i="1" s="1"/>
  <c r="O319" i="1" s="1"/>
  <c r="O320" i="1" s="1"/>
  <c r="O321" i="1" s="1"/>
  <c r="O322" i="1" s="1"/>
  <c r="O323" i="1" s="1"/>
  <c r="O324" i="1" s="1"/>
  <c r="O325" i="1" s="1"/>
  <c r="O326" i="1" s="1"/>
  <c r="O327" i="1" s="1"/>
  <c r="O328" i="1" s="1"/>
  <c r="O329" i="1" s="1"/>
  <c r="O330" i="1" s="1"/>
  <c r="O331" i="1" s="1"/>
  <c r="O332" i="1" s="1"/>
  <c r="O333" i="1" s="1"/>
  <c r="O334" i="1" s="1"/>
  <c r="O335" i="1" s="1"/>
  <c r="O336" i="1" s="1"/>
  <c r="O337" i="1" s="1"/>
  <c r="O338" i="1" s="1"/>
  <c r="O339" i="1" s="1"/>
  <c r="O340" i="1" s="1"/>
  <c r="O341" i="1" s="1"/>
  <c r="O342" i="1" s="1"/>
  <c r="O343" i="1" s="1"/>
  <c r="O344" i="1" s="1"/>
  <c r="O345" i="1" s="1"/>
  <c r="O346" i="1" s="1"/>
  <c r="O347" i="1" s="1"/>
  <c r="O348" i="1" s="1"/>
  <c r="O349" i="1" s="1"/>
  <c r="O350" i="1" s="1"/>
  <c r="O351" i="1" s="1"/>
  <c r="O352" i="1" s="1"/>
  <c r="O353" i="1" s="1"/>
  <c r="O354" i="1" s="1"/>
  <c r="O355" i="1" s="1"/>
  <c r="O356" i="1" s="1"/>
  <c r="O357" i="1" s="1"/>
  <c r="O358" i="1" s="1"/>
  <c r="O359" i="1" s="1"/>
  <c r="O360" i="1" s="1"/>
  <c r="O361" i="1" s="1"/>
  <c r="O362" i="1" s="1"/>
  <c r="O363" i="1" s="1"/>
  <c r="O364" i="1" s="1"/>
  <c r="O365" i="1" s="1"/>
  <c r="O366" i="1" s="1"/>
  <c r="O367" i="1" s="1"/>
  <c r="O368" i="1" s="1"/>
  <c r="O369" i="1" s="1"/>
  <c r="O370" i="1" s="1"/>
  <c r="O371" i="1" s="1"/>
  <c r="O372" i="1" s="1"/>
  <c r="O373" i="1" s="1"/>
  <c r="O374" i="1" s="1"/>
  <c r="O375" i="1" s="1"/>
  <c r="O376" i="1" s="1"/>
  <c r="O377" i="1" s="1"/>
  <c r="O378" i="1" s="1"/>
  <c r="O379" i="1" s="1"/>
  <c r="O380" i="1" s="1"/>
  <c r="O381" i="1" s="1"/>
  <c r="O382" i="1" s="1"/>
  <c r="O383" i="1" s="1"/>
  <c r="O384" i="1" s="1"/>
  <c r="O385" i="1" s="1"/>
  <c r="O386" i="1" s="1"/>
  <c r="O387" i="1" s="1"/>
  <c r="O388" i="1" s="1"/>
  <c r="O389" i="1" s="1"/>
  <c r="O390" i="1" s="1"/>
  <c r="O391" i="1" s="1"/>
  <c r="O392" i="1" s="1"/>
  <c r="O393" i="1" s="1"/>
  <c r="O394" i="1" s="1"/>
  <c r="O395" i="1" s="1"/>
  <c r="O396" i="1" s="1"/>
  <c r="O397" i="1" s="1"/>
  <c r="O398" i="1" s="1"/>
  <c r="O399" i="1" s="1"/>
  <c r="O400" i="1" s="1"/>
  <c r="O401" i="1" s="1"/>
  <c r="O402" i="1" s="1"/>
  <c r="O403" i="1" s="1"/>
  <c r="O404" i="1" s="1"/>
  <c r="O405" i="1" s="1"/>
  <c r="O406" i="1" s="1"/>
  <c r="O407" i="1" s="1"/>
  <c r="O408" i="1" s="1"/>
  <c r="O409" i="1" s="1"/>
  <c r="O410" i="1" s="1"/>
  <c r="O411" i="1" s="1"/>
  <c r="O412" i="1" s="1"/>
  <c r="O413" i="1" s="1"/>
  <c r="O414" i="1" s="1"/>
  <c r="O415" i="1" s="1"/>
  <c r="O416" i="1" s="1"/>
  <c r="O417" i="1" s="1"/>
  <c r="O418" i="1" s="1"/>
  <c r="O419" i="1" s="1"/>
  <c r="O420" i="1" s="1"/>
  <c r="O421" i="1" s="1"/>
  <c r="O422" i="1" s="1"/>
  <c r="O423" i="1" s="1"/>
  <c r="O424" i="1" s="1"/>
  <c r="O425" i="1" s="1"/>
  <c r="O426" i="1" s="1"/>
  <c r="O427" i="1" s="1"/>
  <c r="O428" i="1" s="1"/>
  <c r="O429" i="1" s="1"/>
  <c r="O430" i="1" s="1"/>
  <c r="O431" i="1" s="1"/>
  <c r="O432" i="1" s="1"/>
  <c r="O433" i="1" s="1"/>
  <c r="O434" i="1" s="1"/>
  <c r="O435" i="1" s="1"/>
  <c r="O436" i="1" s="1"/>
  <c r="O437" i="1" s="1"/>
  <c r="O438" i="1" s="1"/>
  <c r="O439" i="1" s="1"/>
  <c r="O440" i="1" s="1"/>
  <c r="O441" i="1" s="1"/>
  <c r="O442" i="1" s="1"/>
  <c r="O443" i="1" s="1"/>
  <c r="O444" i="1" s="1"/>
  <c r="O445" i="1" s="1"/>
  <c r="O446" i="1" s="1"/>
  <c r="O447" i="1" s="1"/>
  <c r="O448" i="1" s="1"/>
  <c r="O449" i="1" s="1"/>
  <c r="O450" i="1" s="1"/>
  <c r="O451" i="1" s="1"/>
  <c r="O452" i="1" s="1"/>
  <c r="O453" i="1" s="1"/>
  <c r="O454" i="1" s="1"/>
  <c r="O455" i="1" s="1"/>
  <c r="O456" i="1" s="1"/>
  <c r="O457" i="1" s="1"/>
  <c r="O458" i="1" s="1"/>
  <c r="O459" i="1" s="1"/>
  <c r="O460" i="1" s="1"/>
  <c r="O461" i="1" s="1"/>
  <c r="O462" i="1" s="1"/>
  <c r="O463" i="1" s="1"/>
  <c r="O464" i="1" s="1"/>
  <c r="O465" i="1" s="1"/>
  <c r="O466" i="1" s="1"/>
  <c r="O467" i="1" s="1"/>
  <c r="O468" i="1" s="1"/>
  <c r="O469" i="1" s="1"/>
  <c r="O470" i="1" s="1"/>
  <c r="O471" i="1" s="1"/>
  <c r="O472" i="1" s="1"/>
  <c r="O473" i="1" s="1"/>
  <c r="O474" i="1" s="1"/>
  <c r="O475" i="1" s="1"/>
  <c r="O476" i="1" s="1"/>
  <c r="O477" i="1" s="1"/>
  <c r="O478" i="1" s="1"/>
  <c r="O479" i="1" s="1"/>
  <c r="O480" i="1" s="1"/>
  <c r="O481" i="1" s="1"/>
  <c r="O482" i="1" s="1"/>
  <c r="O483" i="1" s="1"/>
  <c r="O484" i="1" s="1"/>
  <c r="O485" i="1" s="1"/>
  <c r="O486" i="1" s="1"/>
  <c r="O487" i="1" s="1"/>
  <c r="O488" i="1" s="1"/>
  <c r="O489" i="1" s="1"/>
  <c r="O490" i="1" s="1"/>
  <c r="O491" i="1" s="1"/>
  <c r="O492" i="1" s="1"/>
  <c r="O493" i="1" s="1"/>
  <c r="O494" i="1" s="1"/>
  <c r="O495" i="1" s="1"/>
  <c r="O496" i="1" s="1"/>
  <c r="O497" i="1" s="1"/>
  <c r="O498" i="1" s="1"/>
  <c r="O499" i="1" s="1"/>
  <c r="O500" i="1" s="1"/>
  <c r="O501" i="1" s="1"/>
  <c r="O502" i="1" s="1"/>
  <c r="O503" i="1" s="1"/>
  <c r="O504" i="1" s="1"/>
  <c r="O505" i="1" s="1"/>
  <c r="O506" i="1" s="1"/>
  <c r="O507" i="1" s="1"/>
  <c r="O508" i="1" s="1"/>
  <c r="O509" i="1" s="1"/>
  <c r="O510" i="1" s="1"/>
  <c r="O511" i="1" s="1"/>
  <c r="O512" i="1" s="1"/>
  <c r="O513" i="1" s="1"/>
  <c r="O514" i="1" s="1"/>
  <c r="O515" i="1" s="1"/>
  <c r="O516" i="1" s="1"/>
  <c r="O517" i="1" s="1"/>
  <c r="O518" i="1" s="1"/>
  <c r="O519" i="1" s="1"/>
  <c r="O520" i="1" s="1"/>
  <c r="O521" i="1" s="1"/>
  <c r="O522" i="1" s="1"/>
  <c r="O523" i="1" s="1"/>
  <c r="O524" i="1" s="1"/>
  <c r="O525" i="1" s="1"/>
  <c r="O526" i="1" s="1"/>
  <c r="O527" i="1" s="1"/>
  <c r="O528" i="1" s="1"/>
  <c r="O529" i="1" s="1"/>
  <c r="O530" i="1" s="1"/>
  <c r="O531" i="1" s="1"/>
  <c r="O532" i="1" s="1"/>
  <c r="O533" i="1" s="1"/>
  <c r="O534" i="1" s="1"/>
  <c r="O535" i="1" s="1"/>
  <c r="O536" i="1" s="1"/>
  <c r="O537" i="1" s="1"/>
  <c r="O538" i="1" s="1"/>
  <c r="O539" i="1" s="1"/>
  <c r="O540" i="1" s="1"/>
  <c r="O541" i="1" s="1"/>
  <c r="O542" i="1" s="1"/>
  <c r="O543" i="1" s="1"/>
  <c r="O544" i="1" s="1"/>
  <c r="O545" i="1" s="1"/>
  <c r="O546" i="1" s="1"/>
  <c r="O547" i="1" s="1"/>
  <c r="O548" i="1" s="1"/>
  <c r="O549" i="1" s="1"/>
  <c r="O550" i="1" s="1"/>
  <c r="O551" i="1" s="1"/>
  <c r="O552" i="1" s="1"/>
  <c r="O553" i="1" s="1"/>
  <c r="O554" i="1" s="1"/>
  <c r="O555" i="1" s="1"/>
  <c r="O556" i="1" s="1"/>
  <c r="O557" i="1" s="1"/>
  <c r="O558" i="1" s="1"/>
  <c r="O559" i="1" s="1"/>
  <c r="O560" i="1" s="1"/>
  <c r="O561" i="1" s="1"/>
  <c r="O562" i="1" s="1"/>
  <c r="O563" i="1" s="1"/>
  <c r="O564" i="1" s="1"/>
  <c r="O565" i="1" s="1"/>
  <c r="O566" i="1" s="1"/>
  <c r="O567" i="1" s="1"/>
  <c r="O568" i="1" s="1"/>
  <c r="O569" i="1" s="1"/>
  <c r="O570" i="1" s="1"/>
  <c r="O571" i="1" s="1"/>
  <c r="O572" i="1" s="1"/>
  <c r="O573" i="1" s="1"/>
  <c r="O574" i="1" s="1"/>
  <c r="O575" i="1" s="1"/>
  <c r="O576" i="1" s="1"/>
  <c r="O577" i="1" s="1"/>
  <c r="O578" i="1" s="1"/>
  <c r="O579" i="1" s="1"/>
  <c r="O580" i="1" s="1"/>
  <c r="O581" i="1" s="1"/>
  <c r="O582" i="1" s="1"/>
  <c r="O583" i="1" s="1"/>
  <c r="O584" i="1" s="1"/>
  <c r="O585" i="1" s="1"/>
  <c r="O586" i="1" s="1"/>
  <c r="O587" i="1" s="1"/>
  <c r="O588" i="1" s="1"/>
  <c r="O589" i="1" s="1"/>
  <c r="O590" i="1" s="1"/>
  <c r="O591" i="1" s="1"/>
  <c r="O592" i="1" s="1"/>
  <c r="O593" i="1" s="1"/>
  <c r="O594" i="1" s="1"/>
  <c r="O595" i="1" s="1"/>
  <c r="O596" i="1" s="1"/>
  <c r="O597" i="1" s="1"/>
  <c r="O598" i="1" s="1"/>
  <c r="O599" i="1" s="1"/>
  <c r="O600" i="1" s="1"/>
  <c r="P30" i="1"/>
  <c r="P31" i="1" s="1"/>
  <c r="P32" i="1" s="1"/>
  <c r="P33" i="1" s="1"/>
  <c r="P34" i="1" s="1"/>
  <c r="P35" i="1" s="1"/>
  <c r="P36" i="1" s="1"/>
  <c r="P37" i="1" s="1"/>
  <c r="P38" i="1" s="1"/>
  <c r="P39" i="1" s="1"/>
  <c r="P40" i="1" s="1"/>
  <c r="P41" i="1" s="1"/>
  <c r="P42" i="1" s="1"/>
  <c r="P43" i="1" s="1"/>
  <c r="P44" i="1" s="1"/>
  <c r="P45" i="1" s="1"/>
  <c r="P46" i="1" s="1"/>
  <c r="P47" i="1" s="1"/>
  <c r="P48" i="1" s="1"/>
  <c r="P49" i="1" s="1"/>
  <c r="P50" i="1" s="1"/>
  <c r="P51" i="1" s="1"/>
  <c r="P52" i="1" s="1"/>
  <c r="P53" i="1" s="1"/>
  <c r="P54" i="1" s="1"/>
  <c r="P55" i="1" s="1"/>
  <c r="P56" i="1" s="1"/>
  <c r="P57" i="1" s="1"/>
  <c r="P58" i="1" s="1"/>
  <c r="P59" i="1" s="1"/>
  <c r="P60" i="1" s="1"/>
  <c r="P61" i="1" s="1"/>
  <c r="P62" i="1" s="1"/>
  <c r="P63" i="1" s="1"/>
  <c r="P64" i="1" s="1"/>
  <c r="P65" i="1" s="1"/>
  <c r="P66" i="1" s="1"/>
  <c r="P67" i="1" s="1"/>
  <c r="P68" i="1" s="1"/>
  <c r="P69" i="1" s="1"/>
  <c r="P70" i="1" s="1"/>
  <c r="P71" i="1" s="1"/>
  <c r="P72" i="1" s="1"/>
  <c r="P73" i="1" s="1"/>
  <c r="P74" i="1" s="1"/>
  <c r="P75" i="1" s="1"/>
  <c r="P76" i="1" s="1"/>
  <c r="P77" i="1" s="1"/>
  <c r="P78" i="1" s="1"/>
  <c r="P79" i="1" s="1"/>
  <c r="P80" i="1" s="1"/>
  <c r="P81" i="1" s="1"/>
  <c r="P82" i="1" s="1"/>
  <c r="P83" i="1" s="1"/>
  <c r="P84" i="1" s="1"/>
  <c r="P85" i="1" s="1"/>
  <c r="P86" i="1" s="1"/>
  <c r="P87" i="1" s="1"/>
  <c r="P88" i="1" s="1"/>
  <c r="P89" i="1" s="1"/>
  <c r="P90" i="1" s="1"/>
  <c r="P91" i="1" s="1"/>
  <c r="P92" i="1" s="1"/>
  <c r="P93" i="1" s="1"/>
  <c r="P94" i="1" s="1"/>
  <c r="P95" i="1" s="1"/>
  <c r="P96" i="1" s="1"/>
  <c r="P97" i="1" s="1"/>
  <c r="P98" i="1" s="1"/>
  <c r="P99" i="1" s="1"/>
  <c r="P100" i="1" s="1"/>
  <c r="P101" i="1" s="1"/>
  <c r="P102" i="1" s="1"/>
  <c r="P103" i="1" s="1"/>
  <c r="P104" i="1" s="1"/>
  <c r="P105" i="1" s="1"/>
  <c r="P106" i="1" s="1"/>
  <c r="P107" i="1" s="1"/>
  <c r="P108" i="1" s="1"/>
  <c r="P109" i="1" s="1"/>
  <c r="P110" i="1" s="1"/>
  <c r="P111" i="1" s="1"/>
  <c r="P112" i="1" s="1"/>
  <c r="P113" i="1" s="1"/>
  <c r="P114" i="1" s="1"/>
  <c r="P115" i="1" s="1"/>
  <c r="P116" i="1" s="1"/>
  <c r="P117" i="1" s="1"/>
  <c r="P118" i="1" s="1"/>
  <c r="P119" i="1" s="1"/>
  <c r="P120" i="1" s="1"/>
  <c r="P121" i="1" s="1"/>
  <c r="P122" i="1" s="1"/>
  <c r="P123" i="1" s="1"/>
  <c r="P124" i="1" s="1"/>
  <c r="P125" i="1" s="1"/>
  <c r="P126" i="1" s="1"/>
  <c r="P127" i="1" s="1"/>
  <c r="P128" i="1" s="1"/>
  <c r="P129" i="1" s="1"/>
  <c r="P130" i="1" s="1"/>
  <c r="P131" i="1" s="1"/>
  <c r="P132" i="1" s="1"/>
  <c r="P133" i="1" s="1"/>
  <c r="P134" i="1" s="1"/>
  <c r="P135" i="1" s="1"/>
  <c r="P136" i="1" s="1"/>
  <c r="P137" i="1" s="1"/>
  <c r="P138" i="1" s="1"/>
  <c r="P139" i="1" s="1"/>
  <c r="P140" i="1" s="1"/>
  <c r="P141" i="1" s="1"/>
  <c r="P142" i="1" s="1"/>
  <c r="P143" i="1" s="1"/>
  <c r="P144" i="1" s="1"/>
  <c r="P145" i="1" s="1"/>
  <c r="P146" i="1" s="1"/>
  <c r="P147" i="1" s="1"/>
  <c r="P148" i="1" s="1"/>
  <c r="P149" i="1" s="1"/>
  <c r="P150" i="1" s="1"/>
  <c r="P151" i="1" s="1"/>
  <c r="P152" i="1" s="1"/>
  <c r="P153" i="1" s="1"/>
  <c r="P154" i="1" s="1"/>
  <c r="P155" i="1" s="1"/>
  <c r="P156" i="1" s="1"/>
  <c r="P157" i="1" s="1"/>
  <c r="P158" i="1" s="1"/>
  <c r="P159" i="1" s="1"/>
  <c r="P160" i="1" s="1"/>
  <c r="P161" i="1" s="1"/>
  <c r="P162" i="1" s="1"/>
  <c r="P163" i="1" s="1"/>
  <c r="P164" i="1" s="1"/>
  <c r="P165" i="1" s="1"/>
  <c r="P166" i="1" s="1"/>
  <c r="P167" i="1" s="1"/>
  <c r="P168" i="1" s="1"/>
  <c r="P169" i="1" s="1"/>
  <c r="P170" i="1" s="1"/>
  <c r="P171" i="1" s="1"/>
  <c r="P172" i="1" s="1"/>
  <c r="P173" i="1" s="1"/>
  <c r="P174" i="1" s="1"/>
  <c r="P175" i="1" s="1"/>
  <c r="P176" i="1" s="1"/>
  <c r="P177" i="1" s="1"/>
  <c r="P178" i="1" s="1"/>
  <c r="P179" i="1" s="1"/>
  <c r="P180" i="1" s="1"/>
  <c r="P181" i="1" s="1"/>
  <c r="P182" i="1" s="1"/>
  <c r="P183" i="1" s="1"/>
  <c r="P184" i="1" s="1"/>
  <c r="P185" i="1" s="1"/>
  <c r="P186" i="1" s="1"/>
  <c r="P187" i="1" s="1"/>
  <c r="P188" i="1" s="1"/>
  <c r="P189" i="1" s="1"/>
  <c r="P190" i="1" s="1"/>
  <c r="P191" i="1" s="1"/>
  <c r="P192" i="1" s="1"/>
  <c r="P193" i="1" s="1"/>
  <c r="P194" i="1" s="1"/>
  <c r="P195" i="1" s="1"/>
  <c r="P196" i="1" s="1"/>
  <c r="P197" i="1" s="1"/>
  <c r="P198" i="1" s="1"/>
  <c r="P199" i="1" s="1"/>
  <c r="P200" i="1" s="1"/>
  <c r="P201" i="1" s="1"/>
  <c r="P202" i="1" s="1"/>
  <c r="P203" i="1" s="1"/>
  <c r="P204" i="1" s="1"/>
  <c r="P205" i="1" s="1"/>
  <c r="P206" i="1" s="1"/>
  <c r="P207" i="1" s="1"/>
  <c r="P208" i="1" s="1"/>
  <c r="P209" i="1" s="1"/>
  <c r="P210" i="1" s="1"/>
  <c r="P211" i="1" s="1"/>
  <c r="P212" i="1" s="1"/>
  <c r="P213" i="1" s="1"/>
  <c r="P214" i="1" s="1"/>
  <c r="P215" i="1" s="1"/>
  <c r="P216" i="1" s="1"/>
  <c r="P217" i="1" s="1"/>
  <c r="P218" i="1" s="1"/>
  <c r="P219" i="1" s="1"/>
  <c r="P220" i="1" s="1"/>
  <c r="P221" i="1" s="1"/>
  <c r="P222" i="1" s="1"/>
  <c r="P223" i="1" s="1"/>
  <c r="P224" i="1" s="1"/>
  <c r="P225" i="1" s="1"/>
  <c r="P226" i="1" s="1"/>
  <c r="P227" i="1" s="1"/>
  <c r="P228" i="1" s="1"/>
  <c r="P229" i="1" s="1"/>
  <c r="P230" i="1" s="1"/>
  <c r="P231" i="1" s="1"/>
  <c r="P232" i="1" s="1"/>
  <c r="P233" i="1" s="1"/>
  <c r="P234" i="1" s="1"/>
  <c r="P235" i="1" s="1"/>
  <c r="P236" i="1" s="1"/>
  <c r="P237" i="1" s="1"/>
  <c r="P238" i="1" s="1"/>
  <c r="P239" i="1" s="1"/>
  <c r="P240" i="1" s="1"/>
  <c r="P241" i="1" s="1"/>
  <c r="P242" i="1" s="1"/>
  <c r="P243" i="1" s="1"/>
  <c r="P244" i="1" s="1"/>
  <c r="P245" i="1" s="1"/>
  <c r="P246" i="1" s="1"/>
  <c r="P247" i="1" s="1"/>
  <c r="P248" i="1" s="1"/>
  <c r="P249" i="1" s="1"/>
  <c r="P250" i="1" s="1"/>
  <c r="P251" i="1" s="1"/>
  <c r="P252" i="1" s="1"/>
  <c r="P253" i="1" s="1"/>
  <c r="P254" i="1" s="1"/>
  <c r="P255" i="1" s="1"/>
  <c r="P256" i="1" s="1"/>
  <c r="P257" i="1" s="1"/>
  <c r="P258" i="1" s="1"/>
  <c r="P259" i="1" s="1"/>
  <c r="P260" i="1" s="1"/>
  <c r="P261" i="1" s="1"/>
  <c r="P262" i="1" s="1"/>
  <c r="P263" i="1" s="1"/>
  <c r="P264" i="1" s="1"/>
  <c r="P265" i="1" s="1"/>
  <c r="P266" i="1" s="1"/>
  <c r="P267" i="1" s="1"/>
  <c r="P268" i="1" s="1"/>
  <c r="P269" i="1" s="1"/>
  <c r="P270" i="1" s="1"/>
  <c r="P271" i="1" s="1"/>
  <c r="P272" i="1" s="1"/>
  <c r="P273" i="1" s="1"/>
  <c r="P274" i="1" s="1"/>
  <c r="P275" i="1" s="1"/>
  <c r="P276" i="1" s="1"/>
  <c r="P277" i="1" s="1"/>
  <c r="P278" i="1" s="1"/>
  <c r="P279" i="1" s="1"/>
  <c r="P280" i="1" s="1"/>
  <c r="P281" i="1" s="1"/>
  <c r="P282" i="1" s="1"/>
  <c r="P283" i="1" s="1"/>
  <c r="P284" i="1" s="1"/>
  <c r="P285" i="1" s="1"/>
  <c r="P286" i="1" s="1"/>
  <c r="P287" i="1" s="1"/>
  <c r="P288" i="1" s="1"/>
  <c r="P289" i="1" s="1"/>
  <c r="P290" i="1" s="1"/>
  <c r="P291" i="1" s="1"/>
  <c r="P292" i="1" s="1"/>
  <c r="P293" i="1" s="1"/>
  <c r="P294" i="1" s="1"/>
  <c r="P295" i="1" s="1"/>
  <c r="P296" i="1" s="1"/>
  <c r="P297" i="1" s="1"/>
  <c r="P298" i="1" s="1"/>
  <c r="P299" i="1" s="1"/>
  <c r="P300" i="1" s="1"/>
  <c r="P301" i="1" s="1"/>
  <c r="P302" i="1" s="1"/>
  <c r="P303" i="1" s="1"/>
  <c r="P304" i="1" s="1"/>
  <c r="P305" i="1" s="1"/>
  <c r="P306" i="1" s="1"/>
  <c r="P307" i="1" s="1"/>
  <c r="P308" i="1" s="1"/>
  <c r="P309" i="1" s="1"/>
  <c r="P310" i="1" s="1"/>
  <c r="P311" i="1" s="1"/>
  <c r="P312" i="1" s="1"/>
  <c r="P313" i="1" s="1"/>
  <c r="P314" i="1" s="1"/>
  <c r="P315" i="1" s="1"/>
  <c r="P316" i="1" s="1"/>
  <c r="P317" i="1" s="1"/>
  <c r="P318" i="1" s="1"/>
  <c r="P319" i="1" s="1"/>
  <c r="P320" i="1" s="1"/>
  <c r="P321" i="1" s="1"/>
  <c r="P322" i="1" s="1"/>
  <c r="P323" i="1" s="1"/>
  <c r="P324" i="1" s="1"/>
  <c r="P325" i="1" s="1"/>
  <c r="P326" i="1" s="1"/>
  <c r="P327" i="1" s="1"/>
  <c r="P328" i="1" s="1"/>
  <c r="P329" i="1" s="1"/>
  <c r="P330" i="1" s="1"/>
  <c r="P331" i="1" s="1"/>
  <c r="R36" i="1"/>
  <c r="S36" i="1" s="1"/>
  <c r="R39" i="1"/>
  <c r="S39" i="1" s="1"/>
  <c r="R51" i="1"/>
  <c r="S51" i="1" s="1"/>
  <c r="R57" i="1"/>
  <c r="S57" i="1" s="1"/>
  <c r="R77" i="1"/>
  <c r="S77" i="1" s="1"/>
  <c r="R95" i="1"/>
  <c r="S95" i="1" s="1"/>
  <c r="R114" i="1"/>
  <c r="S114" i="1" s="1"/>
  <c r="R128" i="1"/>
  <c r="S128" i="1"/>
  <c r="R148" i="1"/>
  <c r="S148" i="1" s="1"/>
  <c r="R167" i="1"/>
  <c r="S167" i="1" s="1"/>
  <c r="R188" i="1"/>
  <c r="S188" i="1" s="1"/>
  <c r="R222" i="1"/>
  <c r="S222" i="1" s="1"/>
  <c r="R235" i="1"/>
  <c r="S235" i="1" s="1"/>
  <c r="R252" i="1"/>
  <c r="S252" i="1" s="1"/>
  <c r="R281" i="1"/>
  <c r="S281" i="1" s="1"/>
  <c r="R297" i="1"/>
  <c r="S297" i="1" s="1"/>
  <c r="R317" i="1"/>
  <c r="S317" i="1" s="1"/>
  <c r="M332" i="1"/>
  <c r="R343" i="1" s="1"/>
  <c r="S343" i="1" s="1"/>
  <c r="M338" i="1"/>
  <c r="M359" i="1"/>
  <c r="M365" i="1"/>
  <c r="R367" i="1"/>
  <c r="S367" i="1" s="1"/>
  <c r="M377" i="1"/>
  <c r="M382" i="1"/>
  <c r="R385" i="1"/>
  <c r="T385" i="1" s="1"/>
  <c r="R411" i="1"/>
  <c r="S411" i="1"/>
  <c r="R435" i="1"/>
  <c r="S435" i="1" s="1"/>
  <c r="R456" i="1"/>
  <c r="S456" i="1" s="1"/>
  <c r="L462" i="1"/>
  <c r="R486" i="1" s="1"/>
  <c r="S486" i="1" s="1"/>
  <c r="R518" i="1"/>
  <c r="S518" i="1" s="1"/>
  <c r="R539" i="1"/>
  <c r="R568" i="1"/>
  <c r="S568" i="1" s="1"/>
  <c r="R588" i="1"/>
  <c r="S588" i="1" s="1"/>
  <c r="O603" i="1"/>
  <c r="O604" i="1" s="1"/>
  <c r="O605" i="1" s="1"/>
  <c r="O607" i="1"/>
  <c r="O608" i="1" s="1"/>
  <c r="O609" i="1" s="1"/>
  <c r="O610" i="1" s="1"/>
  <c r="R613" i="1"/>
  <c r="S613" i="1" s="1"/>
  <c r="B614" i="1"/>
  <c r="O614" i="1"/>
  <c r="O615" i="1" s="1"/>
  <c r="O616" i="1" s="1"/>
  <c r="O617" i="1" s="1"/>
  <c r="O618" i="1" s="1"/>
  <c r="O619" i="1" s="1"/>
  <c r="O620" i="1" s="1"/>
  <c r="O621" i="1" s="1"/>
  <c r="O622" i="1" s="1"/>
  <c r="O623" i="1" s="1"/>
  <c r="O624" i="1" s="1"/>
  <c r="O625" i="1" s="1"/>
  <c r="O626" i="1" s="1"/>
  <c r="O627" i="1" s="1"/>
  <c r="O628" i="1" s="1"/>
  <c r="O629" i="1" s="1"/>
  <c r="O630" i="1" s="1"/>
  <c r="O631" i="1" s="1"/>
  <c r="O632" i="1" s="1"/>
  <c r="O633" i="1" s="1"/>
  <c r="O634" i="1" s="1"/>
  <c r="O635" i="1" s="1"/>
  <c r="O636" i="1" s="1"/>
  <c r="O637" i="1" s="1"/>
  <c r="O638" i="1" s="1"/>
  <c r="O639" i="1" s="1"/>
  <c r="O640" i="1" s="1"/>
  <c r="O641" i="1" s="1"/>
  <c r="O642" i="1" s="1"/>
  <c r="O643" i="1" s="1"/>
  <c r="O644" i="1" s="1"/>
  <c r="O645" i="1" s="1"/>
  <c r="O646" i="1" s="1"/>
  <c r="O647" i="1" s="1"/>
  <c r="O648" i="1" s="1"/>
  <c r="O649" i="1" s="1"/>
  <c r="O650" i="1" s="1"/>
  <c r="O651" i="1" s="1"/>
  <c r="O652" i="1" s="1"/>
  <c r="O653" i="1" s="1"/>
  <c r="O654" i="1" s="1"/>
  <c r="O655" i="1" s="1"/>
  <c r="O656" i="1" s="1"/>
  <c r="O657" i="1" s="1"/>
  <c r="O658" i="1" s="1"/>
  <c r="O659" i="1" s="1"/>
  <c r="O660" i="1" s="1"/>
  <c r="O661" i="1" s="1"/>
  <c r="O662" i="1" s="1"/>
  <c r="O663" i="1" s="1"/>
  <c r="O664" i="1" s="1"/>
  <c r="O665" i="1" s="1"/>
  <c r="O666" i="1" s="1"/>
  <c r="O667" i="1" s="1"/>
  <c r="O668" i="1" s="1"/>
  <c r="O669" i="1" s="1"/>
  <c r="O670" i="1" s="1"/>
  <c r="O671" i="1" s="1"/>
  <c r="O672" i="1" s="1"/>
  <c r="O673" i="1" s="1"/>
  <c r="O674" i="1" s="1"/>
  <c r="O675" i="1" s="1"/>
  <c r="O676" i="1" s="1"/>
  <c r="O677" i="1" s="1"/>
  <c r="O678" i="1" s="1"/>
  <c r="O679" i="1" s="1"/>
  <c r="O680" i="1" s="1"/>
  <c r="O681" i="1" s="1"/>
  <c r="O682" i="1" s="1"/>
  <c r="O683" i="1" s="1"/>
  <c r="O684" i="1" s="1"/>
  <c r="O685" i="1" s="1"/>
  <c r="O686" i="1" s="1"/>
  <c r="O687" i="1" s="1"/>
  <c r="O688" i="1" s="1"/>
  <c r="O689" i="1" s="1"/>
  <c r="O690" i="1" s="1"/>
  <c r="O691" i="1" s="1"/>
  <c r="O692" i="1" s="1"/>
  <c r="O693" i="1" s="1"/>
  <c r="O694" i="1" s="1"/>
  <c r="O695" i="1" s="1"/>
  <c r="O696" i="1" s="1"/>
  <c r="O697" i="1" s="1"/>
  <c r="O698" i="1" s="1"/>
  <c r="O699" i="1" s="1"/>
  <c r="O700" i="1" s="1"/>
  <c r="O701" i="1" s="1"/>
  <c r="O702" i="1" s="1"/>
  <c r="O703" i="1" s="1"/>
  <c r="O704" i="1" s="1"/>
  <c r="O705" i="1" s="1"/>
  <c r="O706" i="1" s="1"/>
  <c r="O707" i="1" s="1"/>
  <c r="O708" i="1" s="1"/>
  <c r="O709" i="1" s="1"/>
  <c r="O710" i="1" s="1"/>
  <c r="O711" i="1" s="1"/>
  <c r="O712" i="1" s="1"/>
  <c r="O713" i="1" s="1"/>
  <c r="O714" i="1" s="1"/>
  <c r="O715" i="1" s="1"/>
  <c r="O716" i="1" s="1"/>
  <c r="O717" i="1" s="1"/>
  <c r="O718" i="1" s="1"/>
  <c r="O719" i="1" s="1"/>
  <c r="O720" i="1" s="1"/>
  <c r="O721" i="1" s="1"/>
  <c r="O722" i="1" s="1"/>
  <c r="O723" i="1" s="1"/>
  <c r="O724" i="1" s="1"/>
  <c r="O725" i="1" s="1"/>
  <c r="O726" i="1" s="1"/>
  <c r="O727" i="1" s="1"/>
  <c r="O728" i="1" s="1"/>
  <c r="O729" i="1" s="1"/>
  <c r="O730" i="1" s="1"/>
  <c r="O731" i="1" s="1"/>
  <c r="O732" i="1" s="1"/>
  <c r="O733" i="1" s="1"/>
  <c r="O734" i="1" s="1"/>
  <c r="O735" i="1" s="1"/>
  <c r="O736" i="1" s="1"/>
  <c r="O737" i="1" s="1"/>
  <c r="O738" i="1" s="1"/>
  <c r="O739" i="1" s="1"/>
  <c r="O740" i="1" s="1"/>
  <c r="O741" i="1" s="1"/>
  <c r="O742" i="1" s="1"/>
  <c r="O743" i="1" s="1"/>
  <c r="O744" i="1" s="1"/>
  <c r="O745" i="1" s="1"/>
  <c r="O746" i="1" s="1"/>
  <c r="O747" i="1" s="1"/>
  <c r="O748" i="1" s="1"/>
  <c r="O749" i="1" s="1"/>
  <c r="O750" i="1" s="1"/>
  <c r="O751" i="1" s="1"/>
  <c r="O752" i="1" s="1"/>
  <c r="O753" i="1" s="1"/>
  <c r="O754" i="1" s="1"/>
  <c r="O755" i="1" s="1"/>
  <c r="O756" i="1" s="1"/>
  <c r="O757" i="1" s="1"/>
  <c r="O758" i="1" s="1"/>
  <c r="O759" i="1" s="1"/>
  <c r="O760" i="1" s="1"/>
  <c r="O761" i="1" s="1"/>
  <c r="O762" i="1" s="1"/>
  <c r="O763" i="1" s="1"/>
  <c r="O764" i="1" s="1"/>
  <c r="O765" i="1" s="1"/>
  <c r="O766" i="1" s="1"/>
  <c r="O767" i="1" s="1"/>
  <c r="O768" i="1" s="1"/>
  <c r="O769" i="1" s="1"/>
  <c r="O770" i="1" s="1"/>
  <c r="O771" i="1" s="1"/>
  <c r="O772" i="1" s="1"/>
  <c r="O773" i="1" s="1"/>
  <c r="O774" i="1" s="1"/>
  <c r="O775" i="1" s="1"/>
  <c r="O776" i="1" s="1"/>
  <c r="O777" i="1" s="1"/>
  <c r="O778" i="1" s="1"/>
  <c r="O779" i="1" s="1"/>
  <c r="O780" i="1" s="1"/>
  <c r="O781" i="1" s="1"/>
  <c r="O782" i="1" s="1"/>
  <c r="O783" i="1" s="1"/>
  <c r="O784" i="1" s="1"/>
  <c r="O785" i="1" s="1"/>
  <c r="O786" i="1" s="1"/>
  <c r="O787" i="1" s="1"/>
  <c r="O788" i="1" s="1"/>
  <c r="O789" i="1" s="1"/>
  <c r="O790" i="1" s="1"/>
  <c r="O791" i="1" s="1"/>
  <c r="O792" i="1" s="1"/>
  <c r="O793" i="1" s="1"/>
  <c r="O794" i="1" s="1"/>
  <c r="O795" i="1" s="1"/>
  <c r="O796" i="1" s="1"/>
  <c r="O797" i="1" s="1"/>
  <c r="O798" i="1" s="1"/>
  <c r="O799" i="1" s="1"/>
  <c r="O800" i="1" s="1"/>
  <c r="O801" i="1" s="1"/>
  <c r="O802" i="1" s="1"/>
  <c r="O803" i="1" s="1"/>
  <c r="O804" i="1" s="1"/>
  <c r="O805" i="1" s="1"/>
  <c r="O806" i="1" s="1"/>
  <c r="O807" i="1" s="1"/>
  <c r="O808" i="1" s="1"/>
  <c r="O809" i="1" s="1"/>
  <c r="O810" i="1" s="1"/>
  <c r="O811" i="1" s="1"/>
  <c r="O812" i="1" s="1"/>
  <c r="O813" i="1" s="1"/>
  <c r="O814" i="1" s="1"/>
  <c r="O815" i="1" s="1"/>
  <c r="O816" i="1" s="1"/>
  <c r="O817" i="1" s="1"/>
  <c r="O818" i="1" s="1"/>
  <c r="O819" i="1" s="1"/>
  <c r="O820" i="1" s="1"/>
  <c r="O821" i="1" s="1"/>
  <c r="O822" i="1" s="1"/>
  <c r="O823" i="1" s="1"/>
  <c r="O824" i="1" s="1"/>
  <c r="O825" i="1" s="1"/>
  <c r="O826" i="1" s="1"/>
  <c r="O827" i="1" s="1"/>
  <c r="O828" i="1" s="1"/>
  <c r="O829" i="1" s="1"/>
  <c r="O830" i="1" s="1"/>
  <c r="O831" i="1" s="1"/>
  <c r="O832" i="1" s="1"/>
  <c r="O833" i="1" s="1"/>
  <c r="O834" i="1" s="1"/>
  <c r="O835" i="1" s="1"/>
  <c r="O836" i="1" s="1"/>
  <c r="O837" i="1" s="1"/>
  <c r="O838" i="1" s="1"/>
  <c r="O839" i="1" s="1"/>
  <c r="O840" i="1" s="1"/>
  <c r="O841" i="1" s="1"/>
  <c r="O842" i="1" s="1"/>
  <c r="O843" i="1" s="1"/>
  <c r="O844" i="1" s="1"/>
  <c r="O845" i="1" s="1"/>
  <c r="O846" i="1" s="1"/>
  <c r="O847" i="1" s="1"/>
  <c r="O848" i="1" s="1"/>
  <c r="O849" i="1" s="1"/>
  <c r="O850" i="1" s="1"/>
  <c r="O851" i="1" s="1"/>
  <c r="O852" i="1" s="1"/>
  <c r="O853" i="1" s="1"/>
  <c r="O854" i="1" s="1"/>
  <c r="O855" i="1" s="1"/>
  <c r="O856" i="1" s="1"/>
  <c r="O857" i="1" s="1"/>
  <c r="O858" i="1" s="1"/>
  <c r="O859" i="1" s="1"/>
  <c r="O860" i="1" s="1"/>
  <c r="O861" i="1" s="1"/>
  <c r="O862" i="1" s="1"/>
  <c r="O863" i="1" s="1"/>
  <c r="O864" i="1" s="1"/>
  <c r="O865" i="1" s="1"/>
  <c r="O866" i="1" s="1"/>
  <c r="O867" i="1" s="1"/>
  <c r="O868" i="1" s="1"/>
  <c r="O869" i="1" s="1"/>
  <c r="O870" i="1" s="1"/>
  <c r="O871" i="1" s="1"/>
  <c r="O872" i="1" s="1"/>
  <c r="O873" i="1" s="1"/>
  <c r="O874" i="1" s="1"/>
  <c r="O875" i="1" s="1"/>
  <c r="O876" i="1" s="1"/>
  <c r="O877" i="1" s="1"/>
  <c r="O878" i="1" s="1"/>
  <c r="O879" i="1" s="1"/>
  <c r="O880" i="1" s="1"/>
  <c r="O881" i="1" s="1"/>
  <c r="O882" i="1" s="1"/>
  <c r="O883" i="1" s="1"/>
  <c r="O884" i="1" s="1"/>
  <c r="O885" i="1" s="1"/>
  <c r="O886" i="1" s="1"/>
  <c r="O887" i="1" s="1"/>
  <c r="O888" i="1" s="1"/>
  <c r="O889" i="1" s="1"/>
  <c r="O890" i="1" s="1"/>
  <c r="O891" i="1" s="1"/>
  <c r="O892" i="1" s="1"/>
  <c r="O893" i="1" s="1"/>
  <c r="O894" i="1" s="1"/>
  <c r="O895" i="1" s="1"/>
  <c r="O896" i="1" s="1"/>
  <c r="O897" i="1" s="1"/>
  <c r="O898" i="1" s="1"/>
  <c r="O899" i="1" s="1"/>
  <c r="O900" i="1" s="1"/>
  <c r="O901" i="1" s="1"/>
  <c r="O902" i="1" s="1"/>
  <c r="O903" i="1" s="1"/>
  <c r="O904" i="1" s="1"/>
  <c r="O905" i="1" s="1"/>
  <c r="O906" i="1" s="1"/>
  <c r="O907" i="1" s="1"/>
  <c r="O908" i="1" s="1"/>
  <c r="O909" i="1" s="1"/>
  <c r="O910" i="1" s="1"/>
  <c r="O911" i="1" s="1"/>
  <c r="O912" i="1" s="1"/>
  <c r="O913" i="1" s="1"/>
  <c r="O914" i="1" s="1"/>
  <c r="O915" i="1" s="1"/>
  <c r="O916" i="1" s="1"/>
  <c r="O917" i="1" s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M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M656" i="1"/>
  <c r="M1191" i="1" s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M680" i="1"/>
  <c r="B681" i="1"/>
  <c r="B682" i="1"/>
  <c r="B683" i="1"/>
  <c r="B684" i="1"/>
  <c r="B685" i="1"/>
  <c r="M685" i="1"/>
  <c r="B686" i="1"/>
  <c r="B687" i="1"/>
  <c r="B688" i="1"/>
  <c r="B689" i="1"/>
  <c r="B690" i="1"/>
  <c r="B691" i="1"/>
  <c r="B692" i="1"/>
  <c r="B693" i="1"/>
  <c r="B694" i="1"/>
  <c r="B695" i="1"/>
  <c r="M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L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M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L918" i="1"/>
  <c r="B919" i="1"/>
  <c r="B920" i="1"/>
  <c r="B921" i="1"/>
  <c r="B922" i="1"/>
  <c r="B923" i="1"/>
  <c r="M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M977" i="1"/>
  <c r="T4" i="1" s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M996" i="1"/>
  <c r="T6" i="1" s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B1026" i="1"/>
  <c r="B1027" i="1"/>
  <c r="B1028" i="1"/>
  <c r="B1029" i="1"/>
  <c r="B1030" i="1"/>
  <c r="B1031" i="1"/>
  <c r="B1032" i="1"/>
  <c r="B1033" i="1"/>
  <c r="B1034" i="1"/>
  <c r="B1035" i="1"/>
  <c r="B1036" i="1"/>
  <c r="B1047" i="1"/>
  <c r="B1048" i="1"/>
  <c r="B1049" i="1"/>
  <c r="B1050" i="1"/>
  <c r="B1051" i="1"/>
  <c r="B1052" i="1"/>
  <c r="B1053" i="1"/>
  <c r="B1054" i="1"/>
  <c r="B1055" i="1"/>
  <c r="B1056" i="1"/>
  <c r="B1057" i="1"/>
  <c r="B1058" i="1"/>
  <c r="B1059" i="1"/>
  <c r="B1060" i="1"/>
  <c r="B1061" i="1"/>
  <c r="B1062" i="1"/>
  <c r="B1063" i="1"/>
  <c r="B1064" i="1"/>
  <c r="B1065" i="1"/>
  <c r="B1066" i="1"/>
  <c r="B1067" i="1"/>
  <c r="B1068" i="1"/>
  <c r="B1069" i="1"/>
  <c r="B1070" i="1"/>
  <c r="B1071" i="1"/>
  <c r="B1072" i="1"/>
  <c r="B1073" i="1"/>
  <c r="B1074" i="1"/>
  <c r="B1075" i="1"/>
  <c r="L1075" i="1"/>
  <c r="S4" i="1" s="1"/>
  <c r="B1076" i="1"/>
  <c r="B1077" i="1"/>
  <c r="B1078" i="1"/>
  <c r="B1079" i="1"/>
  <c r="B1080" i="1"/>
  <c r="B1081" i="1"/>
  <c r="B1082" i="1"/>
  <c r="B1083" i="1"/>
  <c r="B1084" i="1"/>
  <c r="B1085" i="1"/>
  <c r="B1086" i="1"/>
  <c r="B1087" i="1"/>
  <c r="B1088" i="1"/>
  <c r="B1089" i="1"/>
  <c r="B1090" i="1"/>
  <c r="B1091" i="1"/>
  <c r="B1092" i="1"/>
  <c r="B1093" i="1"/>
  <c r="B1094" i="1"/>
  <c r="B1095" i="1"/>
  <c r="B1096" i="1"/>
  <c r="B1097" i="1"/>
  <c r="B1098" i="1"/>
  <c r="B1099" i="1"/>
  <c r="B1100" i="1"/>
  <c r="B1101" i="1"/>
  <c r="B1102" i="1"/>
  <c r="B1103" i="1"/>
  <c r="B1104" i="1"/>
  <c r="B1105" i="1"/>
  <c r="B1106" i="1"/>
  <c r="B1107" i="1"/>
  <c r="B1108" i="1"/>
  <c r="B1109" i="1"/>
  <c r="B1110" i="1"/>
  <c r="B1111" i="1"/>
  <c r="B1112" i="1"/>
  <c r="B1113" i="1"/>
  <c r="B1114" i="1"/>
  <c r="B1115" i="1"/>
  <c r="B1116" i="1"/>
  <c r="B1117" i="1"/>
  <c r="B1118" i="1"/>
  <c r="B1119" i="1"/>
  <c r="B1120" i="1"/>
  <c r="B1121" i="1"/>
  <c r="B1122" i="1"/>
  <c r="B1123" i="1"/>
  <c r="B1124" i="1"/>
  <c r="B1125" i="1"/>
  <c r="B1126" i="1"/>
  <c r="B1127" i="1"/>
  <c r="B1128" i="1"/>
  <c r="B1129" i="1"/>
  <c r="B1130" i="1"/>
  <c r="B1131" i="1"/>
  <c r="B1132" i="1"/>
  <c r="B1133" i="1"/>
  <c r="B1134" i="1"/>
  <c r="B1135" i="1"/>
  <c r="B1136" i="1"/>
  <c r="B1137" i="1"/>
  <c r="B1138" i="1"/>
  <c r="B1139" i="1"/>
  <c r="B1140" i="1"/>
  <c r="B1141" i="1"/>
  <c r="B1142" i="1"/>
  <c r="B1143" i="1"/>
  <c r="B1144" i="1"/>
  <c r="B1145" i="1"/>
  <c r="B1146" i="1"/>
  <c r="B1147" i="1"/>
  <c r="B1148" i="1"/>
  <c r="B1149" i="1"/>
  <c r="B1150" i="1"/>
  <c r="B1151" i="1"/>
  <c r="B1152" i="1"/>
  <c r="B1153" i="1"/>
  <c r="B1154" i="1"/>
  <c r="B1155" i="1"/>
  <c r="B1156" i="1"/>
  <c r="B1157" i="1"/>
  <c r="B1158" i="1"/>
  <c r="B1159" i="1"/>
  <c r="B1160" i="1"/>
  <c r="B1161" i="1"/>
  <c r="B1162" i="1"/>
  <c r="B1163" i="1"/>
  <c r="B1164" i="1"/>
  <c r="B1165" i="1"/>
  <c r="B1166" i="1"/>
  <c r="B1167" i="1"/>
  <c r="B1168" i="1"/>
  <c r="B1169" i="1"/>
  <c r="B1170" i="1"/>
  <c r="B1171" i="1"/>
  <c r="B1172" i="1"/>
  <c r="B1173" i="1"/>
  <c r="B1174" i="1"/>
  <c r="B1175" i="1"/>
  <c r="B1176" i="1"/>
  <c r="B1177" i="1"/>
  <c r="B1178" i="1"/>
  <c r="B1179" i="1"/>
  <c r="B1180" i="1"/>
  <c r="B1181" i="1"/>
  <c r="B1182" i="1"/>
  <c r="B1183" i="1"/>
  <c r="B1184" i="1"/>
  <c r="B1185" i="1"/>
  <c r="B1186" i="1"/>
  <c r="B1187" i="1"/>
  <c r="B1188" i="1"/>
  <c r="L1189" i="1"/>
  <c r="M1189" i="1"/>
  <c r="M1192" i="1"/>
  <c r="U15" i="1" l="1"/>
  <c r="U13" i="1"/>
  <c r="N1189" i="1"/>
  <c r="O918" i="1"/>
  <c r="O919" i="1" s="1"/>
  <c r="O920" i="1" s="1"/>
  <c r="O921" i="1" s="1"/>
  <c r="O922" i="1" s="1"/>
  <c r="O923" i="1" s="1"/>
  <c r="O924" i="1" s="1"/>
  <c r="O925" i="1" s="1"/>
  <c r="O926" i="1" s="1"/>
  <c r="O927" i="1" s="1"/>
  <c r="O928" i="1" s="1"/>
  <c r="O929" i="1" s="1"/>
  <c r="O930" i="1" s="1"/>
  <c r="O931" i="1" s="1"/>
  <c r="O932" i="1" s="1"/>
  <c r="O933" i="1" s="1"/>
  <c r="O934" i="1" s="1"/>
  <c r="O935" i="1" s="1"/>
  <c r="O936" i="1" s="1"/>
  <c r="O937" i="1" s="1"/>
  <c r="O938" i="1" s="1"/>
  <c r="O939" i="1" s="1"/>
  <c r="O940" i="1" s="1"/>
  <c r="O941" i="1" s="1"/>
  <c r="O942" i="1" s="1"/>
  <c r="O943" i="1" s="1"/>
  <c r="O944" i="1" s="1"/>
  <c r="O945" i="1" s="1"/>
  <c r="O946" i="1" s="1"/>
  <c r="O947" i="1" s="1"/>
  <c r="O948" i="1" s="1"/>
  <c r="O949" i="1" s="1"/>
  <c r="O950" i="1" s="1"/>
  <c r="O951" i="1" s="1"/>
  <c r="O952" i="1" s="1"/>
  <c r="O953" i="1" s="1"/>
  <c r="O954" i="1" s="1"/>
  <c r="O955" i="1" s="1"/>
  <c r="O956" i="1" s="1"/>
  <c r="O957" i="1" s="1"/>
  <c r="O958" i="1" s="1"/>
  <c r="O959" i="1" s="1"/>
  <c r="O960" i="1" s="1"/>
  <c r="O961" i="1" s="1"/>
  <c r="O962" i="1" s="1"/>
  <c r="O963" i="1" s="1"/>
  <c r="O964" i="1" s="1"/>
  <c r="O965" i="1" s="1"/>
  <c r="O966" i="1" s="1"/>
  <c r="O967" i="1" s="1"/>
  <c r="O968" i="1" s="1"/>
  <c r="O969" i="1" s="1"/>
  <c r="O970" i="1" s="1"/>
  <c r="O971" i="1" s="1"/>
  <c r="O972" i="1" s="1"/>
  <c r="O973" i="1" s="1"/>
  <c r="L1191" i="1"/>
  <c r="N1191" i="1" s="1"/>
  <c r="U456" i="1"/>
  <c r="T539" i="1"/>
  <c r="T456" i="1"/>
  <c r="S385" i="1"/>
  <c r="U385" i="1" s="1"/>
  <c r="U14" i="1"/>
  <c r="S539" i="1"/>
  <c r="U539" i="1" s="1"/>
  <c r="U11" i="1"/>
  <c r="U4" i="1"/>
  <c r="U613" i="1"/>
  <c r="M1190" i="1"/>
  <c r="S10" i="1"/>
  <c r="U10" i="1" s="1"/>
  <c r="V10" i="1" s="1"/>
  <c r="S9" i="1"/>
  <c r="U9" i="1" s="1"/>
  <c r="L1192" i="1"/>
  <c r="N1192" i="1" s="1"/>
  <c r="L1190" i="1"/>
  <c r="T613" i="1"/>
  <c r="T5" i="1"/>
  <c r="T16" i="1" s="1"/>
  <c r="S8" i="1"/>
  <c r="U8" i="1" s="1"/>
  <c r="S7" i="1"/>
  <c r="U7" i="1" s="1"/>
  <c r="S6" i="1"/>
  <c r="U6" i="1" s="1"/>
  <c r="S5" i="1"/>
  <c r="M5" i="1"/>
  <c r="O974" i="1"/>
  <c r="O975" i="1" s="1"/>
  <c r="O976" i="1" s="1"/>
  <c r="O977" i="1" s="1"/>
  <c r="O978" i="1" s="1"/>
  <c r="O979" i="1" s="1"/>
  <c r="O980" i="1" s="1"/>
  <c r="O981" i="1" s="1"/>
  <c r="O982" i="1" s="1"/>
  <c r="O983" i="1" s="1"/>
  <c r="O984" i="1" s="1"/>
  <c r="O985" i="1" s="1"/>
  <c r="O986" i="1" s="1"/>
  <c r="O987" i="1" s="1"/>
  <c r="O988" i="1" s="1"/>
  <c r="O989" i="1" s="1"/>
  <c r="O990" i="1" s="1"/>
  <c r="O991" i="1" s="1"/>
  <c r="O992" i="1" s="1"/>
  <c r="O993" i="1" s="1"/>
  <c r="O994" i="1" s="1"/>
  <c r="O995" i="1" s="1"/>
  <c r="O996" i="1" s="1"/>
  <c r="O997" i="1" s="1"/>
  <c r="O998" i="1" s="1"/>
  <c r="O999" i="1" s="1"/>
  <c r="O1000" i="1" s="1"/>
  <c r="O1001" i="1" s="1"/>
  <c r="O1002" i="1" s="1"/>
  <c r="O1003" i="1" s="1"/>
  <c r="O1004" i="1" s="1"/>
  <c r="O1005" i="1" s="1"/>
  <c r="O1006" i="1" s="1"/>
  <c r="O1007" i="1" s="1"/>
  <c r="O1008" i="1" s="1"/>
  <c r="O1009" i="1" s="1"/>
  <c r="O1010" i="1" s="1"/>
  <c r="O1011" i="1" s="1"/>
  <c r="O1012" i="1" s="1"/>
  <c r="O1013" i="1" s="1"/>
  <c r="O1014" i="1" s="1"/>
  <c r="O1015" i="1" s="1"/>
  <c r="O1016" i="1" s="1"/>
  <c r="O1017" i="1" s="1"/>
  <c r="O1018" i="1" s="1"/>
  <c r="O1019" i="1" s="1"/>
  <c r="O1020" i="1" s="1"/>
  <c r="O1021" i="1" s="1"/>
  <c r="O1022" i="1" s="1"/>
  <c r="O1023" i="1" s="1"/>
  <c r="O1024" i="1" s="1"/>
  <c r="O1025" i="1" s="1"/>
  <c r="O1026" i="1" s="1"/>
  <c r="O1027" i="1" s="1"/>
  <c r="O1028" i="1" s="1"/>
  <c r="O1029" i="1" s="1"/>
  <c r="O1030" i="1" s="1"/>
  <c r="O1031" i="1" s="1"/>
  <c r="O1032" i="1" s="1"/>
  <c r="O1033" i="1" s="1"/>
  <c r="O1034" i="1" s="1"/>
  <c r="O1035" i="1" s="1"/>
  <c r="O1036" i="1" s="1"/>
  <c r="O1037" i="1" s="1"/>
  <c r="O1038" i="1" s="1"/>
  <c r="O1039" i="1" s="1"/>
  <c r="O1040" i="1" s="1"/>
  <c r="O1041" i="1" s="1"/>
  <c r="P333" i="1"/>
  <c r="P332" i="1"/>
  <c r="P334" i="1" s="1"/>
  <c r="V13" i="1" l="1"/>
  <c r="O1042" i="1"/>
  <c r="O1043" i="1" s="1"/>
  <c r="O1044" i="1" s="1"/>
  <c r="O1045" i="1" s="1"/>
  <c r="O1046" i="1" s="1"/>
  <c r="O1047" i="1" s="1"/>
  <c r="O1048" i="1" s="1"/>
  <c r="O1049" i="1" s="1"/>
  <c r="O1050" i="1" s="1"/>
  <c r="O1051" i="1" s="1"/>
  <c r="O1052" i="1" s="1"/>
  <c r="O1053" i="1" s="1"/>
  <c r="O1054" i="1" s="1"/>
  <c r="O1055" i="1" s="1"/>
  <c r="O1056" i="1" s="1"/>
  <c r="O1057" i="1" s="1"/>
  <c r="O1058" i="1" s="1"/>
  <c r="O1059" i="1" s="1"/>
  <c r="O1060" i="1" s="1"/>
  <c r="O1061" i="1" s="1"/>
  <c r="O1062" i="1" s="1"/>
  <c r="O1063" i="1" s="1"/>
  <c r="O1064" i="1" s="1"/>
  <c r="O1065" i="1" s="1"/>
  <c r="O1066" i="1" s="1"/>
  <c r="O1067" i="1" s="1"/>
  <c r="O1068" i="1" s="1"/>
  <c r="O1069" i="1" s="1"/>
  <c r="O1070" i="1" s="1"/>
  <c r="O1071" i="1" s="1"/>
  <c r="O1072" i="1" s="1"/>
  <c r="O1073" i="1" s="1"/>
  <c r="O1074" i="1" s="1"/>
  <c r="O1075" i="1" s="1"/>
  <c r="O1076" i="1" s="1"/>
  <c r="O1077" i="1" s="1"/>
  <c r="O1078" i="1" s="1"/>
  <c r="O1079" i="1" s="1"/>
  <c r="O1080" i="1" s="1"/>
  <c r="O1081" i="1" s="1"/>
  <c r="O1082" i="1" s="1"/>
  <c r="O1083" i="1" s="1"/>
  <c r="O1084" i="1" s="1"/>
  <c r="O1085" i="1" s="1"/>
  <c r="O1086" i="1" s="1"/>
  <c r="O1087" i="1" s="1"/>
  <c r="O1088" i="1" s="1"/>
  <c r="O1089" i="1" s="1"/>
  <c r="O1090" i="1" s="1"/>
  <c r="O1091" i="1" s="1"/>
  <c r="O1092" i="1" s="1"/>
  <c r="O1093" i="1" s="1"/>
  <c r="O1094" i="1" s="1"/>
  <c r="O1095" i="1" s="1"/>
  <c r="O1096" i="1" s="1"/>
  <c r="O1097" i="1" s="1"/>
  <c r="O1098" i="1" s="1"/>
  <c r="O1099" i="1" s="1"/>
  <c r="O1100" i="1" s="1"/>
  <c r="O1101" i="1" s="1"/>
  <c r="O1102" i="1" s="1"/>
  <c r="O1103" i="1" s="1"/>
  <c r="O1104" i="1" s="1"/>
  <c r="O1105" i="1" s="1"/>
  <c r="O1106" i="1" s="1"/>
  <c r="O1107" i="1" s="1"/>
  <c r="O1108" i="1" s="1"/>
  <c r="O1109" i="1" s="1"/>
  <c r="O1110" i="1" s="1"/>
  <c r="O1111" i="1" s="1"/>
  <c r="O1112" i="1" s="1"/>
  <c r="O1113" i="1" s="1"/>
  <c r="O1114" i="1" s="1"/>
  <c r="O1115" i="1" s="1"/>
  <c r="O1116" i="1" s="1"/>
  <c r="O1117" i="1" s="1"/>
  <c r="O1118" i="1" s="1"/>
  <c r="O1119" i="1" s="1"/>
  <c r="O1120" i="1" s="1"/>
  <c r="O1121" i="1" s="1"/>
  <c r="O1122" i="1" s="1"/>
  <c r="O1123" i="1" s="1"/>
  <c r="O1124" i="1" s="1"/>
  <c r="O1125" i="1" s="1"/>
  <c r="O1126" i="1" s="1"/>
  <c r="O1127" i="1" s="1"/>
  <c r="O1128" i="1" s="1"/>
  <c r="O1129" i="1" s="1"/>
  <c r="O1130" i="1" s="1"/>
  <c r="O1131" i="1" s="1"/>
  <c r="O1132" i="1" s="1"/>
  <c r="O1133" i="1" s="1"/>
  <c r="O1134" i="1" s="1"/>
  <c r="O1135" i="1" s="1"/>
  <c r="O1136" i="1" s="1"/>
  <c r="O1137" i="1" s="1"/>
  <c r="O1138" i="1" s="1"/>
  <c r="O1139" i="1" s="1"/>
  <c r="O1140" i="1" s="1"/>
  <c r="O1141" i="1" s="1"/>
  <c r="O1142" i="1" s="1"/>
  <c r="O1143" i="1" s="1"/>
  <c r="O1144" i="1" s="1"/>
  <c r="O1145" i="1" s="1"/>
  <c r="O1146" i="1" s="1"/>
  <c r="O1147" i="1" s="1"/>
  <c r="O1148" i="1" s="1"/>
  <c r="O1149" i="1" s="1"/>
  <c r="O1150" i="1" s="1"/>
  <c r="O1151" i="1" s="1"/>
  <c r="O1152" i="1" s="1"/>
  <c r="O1153" i="1" s="1"/>
  <c r="O1154" i="1" s="1"/>
  <c r="O1155" i="1" s="1"/>
  <c r="O1156" i="1" s="1"/>
  <c r="O1157" i="1" s="1"/>
  <c r="O1158" i="1" s="1"/>
  <c r="O1159" i="1" s="1"/>
  <c r="O1160" i="1" s="1"/>
  <c r="O1161" i="1" s="1"/>
  <c r="O1162" i="1" s="1"/>
  <c r="O1163" i="1" s="1"/>
  <c r="O1164" i="1" s="1"/>
  <c r="O1165" i="1" s="1"/>
  <c r="O1166" i="1" s="1"/>
  <c r="O1167" i="1" s="1"/>
  <c r="O1168" i="1" s="1"/>
  <c r="O1169" i="1" s="1"/>
  <c r="O1170" i="1" s="1"/>
  <c r="O1171" i="1" s="1"/>
  <c r="O1172" i="1" s="1"/>
  <c r="O1173" i="1" s="1"/>
  <c r="O1174" i="1" s="1"/>
  <c r="O1175" i="1" s="1"/>
  <c r="O1176" i="1" s="1"/>
  <c r="O1177" i="1" s="1"/>
  <c r="O1178" i="1" s="1"/>
  <c r="O1179" i="1" s="1"/>
  <c r="O1180" i="1" s="1"/>
  <c r="O1181" i="1" s="1"/>
  <c r="O1182" i="1" s="1"/>
  <c r="O1183" i="1" s="1"/>
  <c r="O1184" i="1" s="1"/>
  <c r="O1185" i="1" s="1"/>
  <c r="O1186" i="1" s="1"/>
  <c r="O1187" i="1" s="1"/>
  <c r="O1188" i="1" s="1"/>
  <c r="S16" i="1"/>
  <c r="U16" i="1" s="1"/>
  <c r="P1192" i="1"/>
  <c r="V7" i="1"/>
  <c r="N1190" i="1"/>
  <c r="U5" i="1"/>
  <c r="V4" i="1" s="1"/>
  <c r="P335" i="1"/>
  <c r="P337" i="1" s="1"/>
  <c r="P338" i="1" s="1"/>
  <c r="P339" i="1" s="1"/>
  <c r="P340" i="1" s="1"/>
  <c r="P341" i="1" s="1"/>
  <c r="P342" i="1" s="1"/>
  <c r="P343" i="1" s="1"/>
  <c r="P344" i="1" s="1"/>
  <c r="P345" i="1" s="1"/>
  <c r="P346" i="1" s="1"/>
  <c r="P347" i="1" s="1"/>
  <c r="P348" i="1" s="1"/>
  <c r="P349" i="1" s="1"/>
  <c r="P350" i="1" s="1"/>
  <c r="P351" i="1" s="1"/>
  <c r="P352" i="1" s="1"/>
  <c r="P353" i="1" s="1"/>
  <c r="P354" i="1" s="1"/>
  <c r="P355" i="1" s="1"/>
  <c r="P356" i="1" s="1"/>
  <c r="P357" i="1" s="1"/>
  <c r="P358" i="1" s="1"/>
  <c r="P359" i="1" s="1"/>
  <c r="P360" i="1" s="1"/>
  <c r="P361" i="1" s="1"/>
  <c r="P362" i="1" s="1"/>
  <c r="P363" i="1" s="1"/>
  <c r="P364" i="1" s="1"/>
  <c r="P365" i="1" s="1"/>
  <c r="P366" i="1" s="1"/>
  <c r="P367" i="1" s="1"/>
  <c r="P368" i="1" s="1"/>
  <c r="P369" i="1" s="1"/>
  <c r="P370" i="1" s="1"/>
  <c r="P371" i="1" s="1"/>
  <c r="P372" i="1" s="1"/>
  <c r="P373" i="1" s="1"/>
  <c r="P374" i="1" s="1"/>
  <c r="P375" i="1" s="1"/>
  <c r="P376" i="1" s="1"/>
  <c r="P377" i="1" s="1"/>
  <c r="P378" i="1" s="1"/>
  <c r="P379" i="1" s="1"/>
  <c r="P380" i="1" s="1"/>
  <c r="P381" i="1" s="1"/>
  <c r="P382" i="1" s="1"/>
  <c r="P383" i="1" s="1"/>
  <c r="P384" i="1" s="1"/>
  <c r="P385" i="1" s="1"/>
  <c r="P386" i="1" s="1"/>
  <c r="P387" i="1" s="1"/>
  <c r="P388" i="1" s="1"/>
  <c r="P389" i="1" s="1"/>
  <c r="P390" i="1" s="1"/>
  <c r="P391" i="1" s="1"/>
  <c r="P392" i="1" s="1"/>
  <c r="P393" i="1" s="1"/>
  <c r="P394" i="1" s="1"/>
  <c r="P395" i="1" s="1"/>
  <c r="P396" i="1" s="1"/>
  <c r="P397" i="1" s="1"/>
  <c r="P398" i="1" s="1"/>
  <c r="P399" i="1" s="1"/>
  <c r="P400" i="1" s="1"/>
  <c r="P401" i="1" s="1"/>
  <c r="P402" i="1" s="1"/>
  <c r="P403" i="1" s="1"/>
  <c r="P404" i="1" s="1"/>
  <c r="P405" i="1" s="1"/>
  <c r="P406" i="1" s="1"/>
  <c r="P407" i="1" s="1"/>
  <c r="P408" i="1" s="1"/>
  <c r="P409" i="1" s="1"/>
  <c r="P410" i="1" s="1"/>
  <c r="P411" i="1" s="1"/>
  <c r="P412" i="1" s="1"/>
  <c r="P413" i="1" s="1"/>
  <c r="P414" i="1" s="1"/>
  <c r="P415" i="1" s="1"/>
  <c r="P416" i="1" s="1"/>
  <c r="P417" i="1" s="1"/>
  <c r="P418" i="1" s="1"/>
  <c r="P419" i="1" s="1"/>
  <c r="P420" i="1" s="1"/>
  <c r="P421" i="1" s="1"/>
  <c r="P422" i="1" s="1"/>
  <c r="P423" i="1" s="1"/>
  <c r="P424" i="1" s="1"/>
  <c r="P425" i="1" s="1"/>
  <c r="P426" i="1" s="1"/>
  <c r="P427" i="1" s="1"/>
  <c r="P428" i="1" s="1"/>
  <c r="P429" i="1" s="1"/>
  <c r="P430" i="1" s="1"/>
  <c r="P431" i="1" s="1"/>
  <c r="P432" i="1" s="1"/>
  <c r="P433" i="1" s="1"/>
  <c r="P434" i="1" s="1"/>
  <c r="P435" i="1" s="1"/>
  <c r="P436" i="1" s="1"/>
  <c r="P437" i="1" s="1"/>
  <c r="P438" i="1" s="1"/>
  <c r="P439" i="1" s="1"/>
  <c r="P440" i="1" s="1"/>
  <c r="P441" i="1" s="1"/>
  <c r="P442" i="1" s="1"/>
  <c r="P443" i="1" s="1"/>
  <c r="P444" i="1" s="1"/>
  <c r="P445" i="1" s="1"/>
  <c r="P446" i="1" s="1"/>
  <c r="P447" i="1" s="1"/>
  <c r="P448" i="1" s="1"/>
  <c r="P449" i="1" s="1"/>
  <c r="P450" i="1" s="1"/>
  <c r="P451" i="1" s="1"/>
  <c r="P452" i="1" s="1"/>
  <c r="P453" i="1" s="1"/>
  <c r="P454" i="1" s="1"/>
  <c r="P455" i="1" s="1"/>
  <c r="P456" i="1" s="1"/>
  <c r="P457" i="1" s="1"/>
  <c r="P458" i="1" s="1"/>
  <c r="P459" i="1" s="1"/>
  <c r="P460" i="1" s="1"/>
  <c r="P461" i="1" s="1"/>
  <c r="P462" i="1" s="1"/>
  <c r="P463" i="1" s="1"/>
  <c r="P464" i="1" s="1"/>
  <c r="P465" i="1" s="1"/>
  <c r="P466" i="1" s="1"/>
  <c r="P467" i="1" s="1"/>
  <c r="P468" i="1" s="1"/>
  <c r="P469" i="1" s="1"/>
  <c r="P470" i="1" s="1"/>
  <c r="P471" i="1" s="1"/>
  <c r="P472" i="1" s="1"/>
  <c r="P473" i="1" s="1"/>
  <c r="P474" i="1" s="1"/>
  <c r="P475" i="1" s="1"/>
  <c r="P476" i="1" s="1"/>
  <c r="P477" i="1" s="1"/>
  <c r="P478" i="1" s="1"/>
  <c r="P479" i="1" s="1"/>
  <c r="P480" i="1" s="1"/>
  <c r="P481" i="1" s="1"/>
  <c r="P482" i="1" s="1"/>
  <c r="P483" i="1" s="1"/>
  <c r="P484" i="1" s="1"/>
  <c r="P485" i="1" s="1"/>
  <c r="P486" i="1" s="1"/>
  <c r="P487" i="1" s="1"/>
  <c r="P488" i="1" s="1"/>
  <c r="P336" i="1"/>
  <c r="P1190" i="1" l="1"/>
  <c r="P1191" i="1"/>
  <c r="P489" i="1"/>
  <c r="P490" i="1" s="1"/>
  <c r="P491" i="1" s="1"/>
  <c r="P492" i="1" s="1"/>
  <c r="P493" i="1" s="1"/>
  <c r="P494" i="1" s="1"/>
  <c r="P495" i="1" s="1"/>
  <c r="P496" i="1" s="1"/>
  <c r="P497" i="1" s="1"/>
  <c r="P498" i="1" s="1"/>
  <c r="P499" i="1" s="1"/>
  <c r="P500" i="1" s="1"/>
  <c r="P501" i="1" s="1"/>
  <c r="P502" i="1" s="1"/>
  <c r="P503" i="1" s="1"/>
  <c r="P504" i="1" s="1"/>
  <c r="P505" i="1" s="1"/>
  <c r="P506" i="1" s="1"/>
  <c r="P507" i="1" s="1"/>
  <c r="P508" i="1" s="1"/>
  <c r="P509" i="1" s="1"/>
  <c r="P510" i="1" s="1"/>
  <c r="P511" i="1" s="1"/>
  <c r="P512" i="1" s="1"/>
  <c r="P513" i="1" s="1"/>
  <c r="P514" i="1" s="1"/>
  <c r="P515" i="1" s="1"/>
  <c r="P516" i="1" s="1"/>
  <c r="P517" i="1" s="1"/>
  <c r="P518" i="1" s="1"/>
  <c r="P519" i="1" s="1"/>
  <c r="P520" i="1" s="1"/>
  <c r="P521" i="1" s="1"/>
  <c r="P522" i="1" s="1"/>
  <c r="P523" i="1" s="1"/>
  <c r="P524" i="1" s="1"/>
  <c r="P525" i="1" s="1"/>
  <c r="P526" i="1" s="1"/>
  <c r="P527" i="1" s="1"/>
  <c r="P528" i="1" s="1"/>
  <c r="P529" i="1" s="1"/>
  <c r="P530" i="1" s="1"/>
  <c r="P531" i="1" s="1"/>
  <c r="P532" i="1" s="1"/>
  <c r="P533" i="1" s="1"/>
  <c r="P534" i="1" s="1"/>
  <c r="P535" i="1" s="1"/>
  <c r="P536" i="1" s="1"/>
  <c r="P537" i="1" s="1"/>
  <c r="P538" i="1" s="1"/>
  <c r="P539" i="1" s="1"/>
  <c r="P540" i="1" s="1"/>
  <c r="P541" i="1" s="1"/>
  <c r="P542" i="1" s="1"/>
  <c r="P543" i="1" s="1"/>
  <c r="P544" i="1" s="1"/>
  <c r="P545" i="1" s="1"/>
  <c r="P546" i="1" s="1"/>
  <c r="P547" i="1" s="1"/>
  <c r="P548" i="1" s="1"/>
  <c r="P549" i="1" s="1"/>
  <c r="P550" i="1" s="1"/>
  <c r="P551" i="1" s="1"/>
  <c r="P552" i="1" s="1"/>
  <c r="P553" i="1" s="1"/>
  <c r="P554" i="1" s="1"/>
  <c r="P555" i="1" s="1"/>
  <c r="P556" i="1" s="1"/>
  <c r="P557" i="1" s="1"/>
  <c r="P558" i="1" s="1"/>
  <c r="P559" i="1" s="1"/>
  <c r="P560" i="1" s="1"/>
  <c r="P561" i="1" s="1"/>
  <c r="P562" i="1" s="1"/>
  <c r="P563" i="1" s="1"/>
  <c r="P564" i="1" s="1"/>
  <c r="P565" i="1" s="1"/>
  <c r="P566" i="1" s="1"/>
  <c r="P567" i="1" s="1"/>
  <c r="P568" i="1" s="1"/>
  <c r="P569" i="1" s="1"/>
  <c r="P570" i="1" s="1"/>
  <c r="P571" i="1" s="1"/>
  <c r="P572" i="1" s="1"/>
  <c r="P573" i="1" s="1"/>
  <c r="P574" i="1" s="1"/>
  <c r="P575" i="1" s="1"/>
  <c r="P576" i="1" s="1"/>
  <c r="P577" i="1" s="1"/>
  <c r="P578" i="1" s="1"/>
  <c r="P579" i="1" s="1"/>
  <c r="P580" i="1" s="1"/>
  <c r="P581" i="1" s="1"/>
  <c r="P582" i="1" s="1"/>
  <c r="P583" i="1" s="1"/>
  <c r="P584" i="1" s="1"/>
  <c r="P585" i="1" s="1"/>
  <c r="P586" i="1" s="1"/>
  <c r="P587" i="1" s="1"/>
  <c r="P588" i="1" s="1"/>
  <c r="P589" i="1" s="1"/>
  <c r="P590" i="1" s="1"/>
  <c r="P591" i="1" s="1"/>
  <c r="P592" i="1" s="1"/>
  <c r="P593" i="1" s="1"/>
  <c r="P594" i="1" s="1"/>
  <c r="P595" i="1" s="1"/>
  <c r="P596" i="1" s="1"/>
  <c r="P597" i="1" s="1"/>
  <c r="P598" i="1" s="1"/>
  <c r="P599" i="1" s="1"/>
  <c r="P600" i="1" s="1"/>
  <c r="P601" i="1" s="1"/>
  <c r="P602" i="1" s="1"/>
  <c r="P603" i="1" s="1"/>
  <c r="P604" i="1" s="1"/>
  <c r="P605" i="1" s="1"/>
  <c r="P606" i="1" s="1"/>
  <c r="P607" i="1" s="1"/>
  <c r="P608" i="1" s="1"/>
  <c r="P609" i="1" s="1"/>
  <c r="P610" i="1" s="1"/>
  <c r="P611" i="1" s="1"/>
  <c r="P612" i="1" s="1"/>
  <c r="P613" i="1" s="1"/>
  <c r="P614" i="1" s="1"/>
  <c r="P615" i="1" s="1"/>
  <c r="P616" i="1" s="1"/>
  <c r="P617" i="1" s="1"/>
  <c r="P618" i="1" s="1"/>
  <c r="P619" i="1" s="1"/>
  <c r="P620" i="1" s="1"/>
  <c r="P621" i="1" s="1"/>
  <c r="P622" i="1" s="1"/>
  <c r="P623" i="1" s="1"/>
  <c r="P624" i="1" s="1"/>
  <c r="P625" i="1" s="1"/>
  <c r="P626" i="1" s="1"/>
  <c r="P627" i="1" s="1"/>
  <c r="P628" i="1" s="1"/>
  <c r="P629" i="1" s="1"/>
  <c r="P630" i="1" s="1"/>
  <c r="P631" i="1" s="1"/>
  <c r="P632" i="1" s="1"/>
  <c r="P633" i="1" s="1"/>
  <c r="P634" i="1" s="1"/>
  <c r="P635" i="1" s="1"/>
  <c r="P636" i="1" s="1"/>
  <c r="P637" i="1" s="1"/>
  <c r="P638" i="1" s="1"/>
  <c r="P639" i="1" s="1"/>
  <c r="P640" i="1" s="1"/>
  <c r="P641" i="1" s="1"/>
  <c r="P642" i="1" s="1"/>
  <c r="P643" i="1" s="1"/>
  <c r="P644" i="1" s="1"/>
  <c r="P645" i="1" s="1"/>
  <c r="P646" i="1" s="1"/>
  <c r="P647" i="1" s="1"/>
  <c r="P648" i="1" s="1"/>
  <c r="P649" i="1" s="1"/>
  <c r="P650" i="1" s="1"/>
  <c r="P651" i="1" s="1"/>
  <c r="P652" i="1" s="1"/>
  <c r="P653" i="1" s="1"/>
  <c r="P654" i="1" s="1"/>
  <c r="P655" i="1" s="1"/>
  <c r="P656" i="1" s="1"/>
  <c r="P657" i="1" s="1"/>
  <c r="P658" i="1" s="1"/>
  <c r="P659" i="1" s="1"/>
  <c r="P660" i="1" s="1"/>
  <c r="P661" i="1" s="1"/>
  <c r="P662" i="1" s="1"/>
  <c r="P663" i="1" s="1"/>
  <c r="P664" i="1" s="1"/>
  <c r="P665" i="1" s="1"/>
  <c r="P666" i="1" s="1"/>
  <c r="P667" i="1" s="1"/>
  <c r="P668" i="1" s="1"/>
  <c r="P669" i="1" s="1"/>
  <c r="P670" i="1" s="1"/>
  <c r="P671" i="1" s="1"/>
  <c r="P672" i="1" s="1"/>
  <c r="P673" i="1" s="1"/>
  <c r="P674" i="1" s="1"/>
  <c r="P675" i="1" s="1"/>
  <c r="P676" i="1" s="1"/>
  <c r="P677" i="1" s="1"/>
  <c r="P678" i="1" s="1"/>
  <c r="P679" i="1" s="1"/>
  <c r="P680" i="1" s="1"/>
  <c r="P681" i="1" s="1"/>
  <c r="P682" i="1" s="1"/>
  <c r="P683" i="1" s="1"/>
  <c r="P684" i="1" s="1"/>
  <c r="P685" i="1" s="1"/>
  <c r="P686" i="1" s="1"/>
  <c r="P687" i="1" s="1"/>
  <c r="P688" i="1" s="1"/>
  <c r="P689" i="1" s="1"/>
  <c r="P690" i="1" s="1"/>
  <c r="P691" i="1" s="1"/>
  <c r="P692" i="1" s="1"/>
  <c r="P693" i="1" s="1"/>
  <c r="P694" i="1" s="1"/>
  <c r="P695" i="1" s="1"/>
  <c r="P696" i="1" s="1"/>
  <c r="P697" i="1" s="1"/>
  <c r="P698" i="1" s="1"/>
  <c r="P699" i="1" s="1"/>
  <c r="P700" i="1" s="1"/>
  <c r="P701" i="1" s="1"/>
  <c r="P702" i="1" s="1"/>
  <c r="P703" i="1" s="1"/>
  <c r="P704" i="1" s="1"/>
  <c r="P705" i="1" s="1"/>
  <c r="P706" i="1" s="1"/>
  <c r="P707" i="1" s="1"/>
  <c r="P708" i="1" s="1"/>
  <c r="P709" i="1" s="1"/>
  <c r="P710" i="1" s="1"/>
  <c r="P711" i="1" s="1"/>
  <c r="P712" i="1" s="1"/>
  <c r="P713" i="1" s="1"/>
  <c r="P714" i="1" s="1"/>
  <c r="P715" i="1" s="1"/>
  <c r="P716" i="1" s="1"/>
  <c r="P717" i="1" s="1"/>
  <c r="P718" i="1" s="1"/>
  <c r="P719" i="1" s="1"/>
  <c r="P720" i="1" s="1"/>
  <c r="P721" i="1" s="1"/>
  <c r="P722" i="1" s="1"/>
  <c r="P723" i="1" s="1"/>
  <c r="P724" i="1" s="1"/>
  <c r="P725" i="1" s="1"/>
  <c r="P726" i="1" s="1"/>
  <c r="P727" i="1" s="1"/>
  <c r="P728" i="1" s="1"/>
  <c r="P729" i="1" s="1"/>
  <c r="P730" i="1" s="1"/>
  <c r="P731" i="1" s="1"/>
  <c r="P732" i="1" s="1"/>
  <c r="P733" i="1" s="1"/>
  <c r="P734" i="1" s="1"/>
  <c r="P735" i="1" s="1"/>
  <c r="P736" i="1" s="1"/>
  <c r="P737" i="1" s="1"/>
  <c r="P738" i="1" s="1"/>
  <c r="P739" i="1" s="1"/>
  <c r="P740" i="1" s="1"/>
  <c r="P741" i="1" s="1"/>
  <c r="P742" i="1" s="1"/>
  <c r="P743" i="1" s="1"/>
  <c r="P744" i="1" s="1"/>
  <c r="P745" i="1" s="1"/>
  <c r="P746" i="1" s="1"/>
  <c r="P747" i="1" s="1"/>
  <c r="P748" i="1" s="1"/>
  <c r="P749" i="1" s="1"/>
  <c r="P750" i="1" s="1"/>
  <c r="P751" i="1" s="1"/>
  <c r="P752" i="1" s="1"/>
  <c r="P753" i="1" s="1"/>
  <c r="P754" i="1" s="1"/>
  <c r="P755" i="1" s="1"/>
  <c r="P756" i="1" s="1"/>
  <c r="P757" i="1" s="1"/>
  <c r="P758" i="1" s="1"/>
  <c r="P759" i="1" s="1"/>
  <c r="P760" i="1" s="1"/>
  <c r="P761" i="1" s="1"/>
  <c r="P762" i="1" s="1"/>
  <c r="P763" i="1" s="1"/>
  <c r="P764" i="1" s="1"/>
  <c r="P765" i="1" s="1"/>
  <c r="P766" i="1" s="1"/>
  <c r="P767" i="1" s="1"/>
  <c r="P768" i="1" s="1"/>
  <c r="P769" i="1" s="1"/>
  <c r="P770" i="1" s="1"/>
  <c r="P771" i="1" s="1"/>
  <c r="P772" i="1" s="1"/>
  <c r="P773" i="1" s="1"/>
  <c r="P774" i="1" s="1"/>
  <c r="P775" i="1" s="1"/>
  <c r="P776" i="1" s="1"/>
  <c r="P777" i="1" s="1"/>
  <c r="P778" i="1" s="1"/>
  <c r="P779" i="1" s="1"/>
  <c r="P780" i="1" s="1"/>
  <c r="P781" i="1" s="1"/>
  <c r="P782" i="1" s="1"/>
  <c r="P783" i="1" s="1"/>
  <c r="P784" i="1" s="1"/>
  <c r="P785" i="1" s="1"/>
  <c r="P786" i="1" s="1"/>
  <c r="P787" i="1" s="1"/>
  <c r="P788" i="1" s="1"/>
  <c r="P789" i="1" s="1"/>
  <c r="P790" i="1" s="1"/>
  <c r="P791" i="1" s="1"/>
  <c r="P792" i="1" s="1"/>
  <c r="P793" i="1" s="1"/>
  <c r="P794" i="1" s="1"/>
  <c r="P795" i="1" s="1"/>
  <c r="P796" i="1" s="1"/>
  <c r="P797" i="1" s="1"/>
  <c r="P798" i="1" s="1"/>
  <c r="P799" i="1" s="1"/>
  <c r="P800" i="1" s="1"/>
  <c r="P801" i="1" s="1"/>
  <c r="P802" i="1" s="1"/>
  <c r="P803" i="1" s="1"/>
  <c r="P804" i="1" s="1"/>
  <c r="P805" i="1" s="1"/>
  <c r="P806" i="1" s="1"/>
  <c r="P807" i="1" s="1"/>
  <c r="P808" i="1" s="1"/>
  <c r="P809" i="1" s="1"/>
  <c r="P810" i="1" s="1"/>
  <c r="P811" i="1" s="1"/>
  <c r="P812" i="1" s="1"/>
  <c r="P813" i="1" s="1"/>
  <c r="P814" i="1" s="1"/>
  <c r="P815" i="1" s="1"/>
  <c r="P816" i="1" s="1"/>
  <c r="P817" i="1" s="1"/>
  <c r="P818" i="1" s="1"/>
  <c r="P819" i="1" s="1"/>
  <c r="P820" i="1" s="1"/>
  <c r="P821" i="1" s="1"/>
  <c r="P822" i="1" s="1"/>
  <c r="P823" i="1" s="1"/>
  <c r="P824" i="1" s="1"/>
  <c r="P825" i="1" s="1"/>
  <c r="P826" i="1" s="1"/>
  <c r="P827" i="1" s="1"/>
  <c r="P828" i="1" s="1"/>
  <c r="P829" i="1" s="1"/>
  <c r="P830" i="1" s="1"/>
  <c r="P831" i="1" s="1"/>
  <c r="P832" i="1" s="1"/>
  <c r="P833" i="1" s="1"/>
  <c r="P834" i="1" s="1"/>
  <c r="P835" i="1" s="1"/>
  <c r="P836" i="1" s="1"/>
  <c r="P837" i="1" s="1"/>
  <c r="P838" i="1" s="1"/>
  <c r="P839" i="1" s="1"/>
  <c r="P840" i="1" s="1"/>
  <c r="P841" i="1" s="1"/>
  <c r="P842" i="1" s="1"/>
  <c r="P843" i="1" s="1"/>
  <c r="N488" i="1"/>
  <c r="N489" i="1" s="1"/>
  <c r="N490" i="1" s="1"/>
  <c r="N491" i="1" s="1"/>
  <c r="N492" i="1" s="1"/>
  <c r="N493" i="1" s="1"/>
  <c r="N494" i="1" s="1"/>
  <c r="N495" i="1" s="1"/>
  <c r="N496" i="1" s="1"/>
  <c r="N497" i="1" s="1"/>
  <c r="N498" i="1" s="1"/>
  <c r="N499" i="1" s="1"/>
  <c r="N500" i="1" s="1"/>
  <c r="N501" i="1" s="1"/>
  <c r="N502" i="1" s="1"/>
  <c r="N503" i="1" s="1"/>
  <c r="N504" i="1" s="1"/>
  <c r="N505" i="1" s="1"/>
  <c r="N506" i="1" s="1"/>
  <c r="N507" i="1" s="1"/>
  <c r="N508" i="1" s="1"/>
  <c r="N509" i="1" s="1"/>
  <c r="N510" i="1" s="1"/>
  <c r="N511" i="1" s="1"/>
  <c r="N512" i="1" s="1"/>
  <c r="N513" i="1" s="1"/>
  <c r="N514" i="1" s="1"/>
  <c r="N515" i="1" s="1"/>
  <c r="N516" i="1" s="1"/>
  <c r="N517" i="1" s="1"/>
  <c r="N518" i="1" s="1"/>
  <c r="N519" i="1" s="1"/>
  <c r="N520" i="1" s="1"/>
  <c r="N521" i="1" s="1"/>
  <c r="N522" i="1" s="1"/>
  <c r="N523" i="1" s="1"/>
  <c r="N524" i="1" s="1"/>
  <c r="N525" i="1" s="1"/>
  <c r="N526" i="1" s="1"/>
  <c r="N527" i="1" s="1"/>
  <c r="N528" i="1" s="1"/>
  <c r="N529" i="1" s="1"/>
  <c r="N530" i="1" s="1"/>
  <c r="N531" i="1" s="1"/>
  <c r="N532" i="1" s="1"/>
  <c r="N533" i="1" s="1"/>
  <c r="N534" i="1" s="1"/>
  <c r="N535" i="1" s="1"/>
  <c r="N536" i="1" s="1"/>
  <c r="N537" i="1" s="1"/>
  <c r="N538" i="1" s="1"/>
  <c r="N539" i="1" s="1"/>
  <c r="N540" i="1" s="1"/>
  <c r="N541" i="1" s="1"/>
  <c r="N542" i="1" s="1"/>
  <c r="N543" i="1" s="1"/>
  <c r="N544" i="1" s="1"/>
  <c r="N545" i="1" s="1"/>
  <c r="N546" i="1" s="1"/>
  <c r="N547" i="1" s="1"/>
  <c r="N548" i="1" s="1"/>
  <c r="N549" i="1" s="1"/>
  <c r="N550" i="1" s="1"/>
  <c r="N551" i="1" s="1"/>
  <c r="N552" i="1" s="1"/>
  <c r="N553" i="1" s="1"/>
  <c r="N554" i="1" s="1"/>
  <c r="N555" i="1" s="1"/>
  <c r="N556" i="1" s="1"/>
  <c r="N557" i="1" s="1"/>
  <c r="N558" i="1" s="1"/>
  <c r="N559" i="1" s="1"/>
  <c r="N560" i="1" s="1"/>
  <c r="N561" i="1" s="1"/>
  <c r="N562" i="1" s="1"/>
  <c r="N563" i="1" s="1"/>
  <c r="N564" i="1" s="1"/>
  <c r="N565" i="1" s="1"/>
  <c r="N566" i="1" s="1"/>
  <c r="N567" i="1" s="1"/>
  <c r="N568" i="1" s="1"/>
  <c r="N569" i="1" s="1"/>
  <c r="N570" i="1" s="1"/>
  <c r="N571" i="1" s="1"/>
  <c r="N572" i="1" s="1"/>
  <c r="N573" i="1" s="1"/>
  <c r="N574" i="1" s="1"/>
  <c r="N575" i="1" s="1"/>
  <c r="N576" i="1" s="1"/>
  <c r="N577" i="1" s="1"/>
  <c r="N578" i="1" s="1"/>
  <c r="N579" i="1" s="1"/>
  <c r="N580" i="1" s="1"/>
  <c r="N581" i="1" s="1"/>
  <c r="N582" i="1" s="1"/>
  <c r="N583" i="1" s="1"/>
  <c r="N584" i="1" s="1"/>
  <c r="N585" i="1" s="1"/>
  <c r="N586" i="1" s="1"/>
  <c r="N587" i="1" s="1"/>
  <c r="N588" i="1" s="1"/>
  <c r="N589" i="1" s="1"/>
  <c r="N590" i="1" s="1"/>
  <c r="N591" i="1" s="1"/>
  <c r="N592" i="1" s="1"/>
  <c r="N593" i="1" s="1"/>
  <c r="N594" i="1" s="1"/>
  <c r="N595" i="1" s="1"/>
  <c r="N596" i="1" s="1"/>
  <c r="N597" i="1" s="1"/>
  <c r="N598" i="1" s="1"/>
  <c r="N599" i="1" s="1"/>
  <c r="N600" i="1" s="1"/>
  <c r="N601" i="1" s="1"/>
  <c r="N602" i="1" s="1"/>
  <c r="N603" i="1" s="1"/>
  <c r="N604" i="1" s="1"/>
  <c r="N605" i="1" s="1"/>
  <c r="N606" i="1" s="1"/>
  <c r="N607" i="1" s="1"/>
  <c r="N608" i="1" s="1"/>
  <c r="N609" i="1" l="1"/>
  <c r="N610" i="1" s="1"/>
  <c r="N611" i="1" s="1"/>
  <c r="N612" i="1" s="1"/>
  <c r="N613" i="1" s="1"/>
  <c r="N614" i="1" s="1"/>
  <c r="N615" i="1" s="1"/>
  <c r="N616" i="1" s="1"/>
  <c r="N617" i="1" s="1"/>
  <c r="N618" i="1" s="1"/>
  <c r="N619" i="1" s="1"/>
  <c r="N620" i="1" s="1"/>
  <c r="N621" i="1" s="1"/>
  <c r="N622" i="1" s="1"/>
  <c r="N623" i="1" s="1"/>
  <c r="N624" i="1" s="1"/>
  <c r="N625" i="1" s="1"/>
  <c r="N626" i="1" s="1"/>
  <c r="N627" i="1" s="1"/>
  <c r="N628" i="1" s="1"/>
  <c r="N629" i="1" s="1"/>
  <c r="N630" i="1" s="1"/>
  <c r="N631" i="1" s="1"/>
  <c r="N632" i="1" s="1"/>
  <c r="N633" i="1" s="1"/>
  <c r="N634" i="1" s="1"/>
  <c r="N635" i="1" s="1"/>
  <c r="N636" i="1" s="1"/>
  <c r="N637" i="1" s="1"/>
  <c r="N638" i="1" s="1"/>
  <c r="N639" i="1" s="1"/>
  <c r="N640" i="1" s="1"/>
  <c r="N641" i="1" s="1"/>
  <c r="N642" i="1" s="1"/>
  <c r="N643" i="1" s="1"/>
  <c r="N644" i="1" s="1"/>
  <c r="N645" i="1" s="1"/>
  <c r="N646" i="1" s="1"/>
  <c r="N647" i="1" s="1"/>
  <c r="N648" i="1" s="1"/>
  <c r="N649" i="1" s="1"/>
  <c r="N650" i="1" s="1"/>
  <c r="N651" i="1" s="1"/>
  <c r="N652" i="1" s="1"/>
  <c r="N653" i="1" s="1"/>
  <c r="N654" i="1" s="1"/>
  <c r="N655" i="1" s="1"/>
  <c r="N656" i="1" s="1"/>
  <c r="N657" i="1" s="1"/>
  <c r="N658" i="1" s="1"/>
  <c r="N659" i="1" s="1"/>
  <c r="N660" i="1" s="1"/>
  <c r="N661" i="1" s="1"/>
  <c r="N662" i="1" s="1"/>
  <c r="N663" i="1" s="1"/>
  <c r="N664" i="1" s="1"/>
  <c r="N665" i="1" s="1"/>
  <c r="N666" i="1" s="1"/>
  <c r="N667" i="1" s="1"/>
  <c r="N668" i="1" s="1"/>
  <c r="N669" i="1" s="1"/>
  <c r="N670" i="1" s="1"/>
  <c r="N671" i="1" s="1"/>
  <c r="N672" i="1" s="1"/>
  <c r="N673" i="1" s="1"/>
  <c r="N674" i="1" s="1"/>
  <c r="N675" i="1" s="1"/>
  <c r="N676" i="1" s="1"/>
  <c r="N677" i="1" s="1"/>
  <c r="N678" i="1" s="1"/>
  <c r="N679" i="1" s="1"/>
  <c r="N680" i="1" s="1"/>
  <c r="N681" i="1" s="1"/>
  <c r="N682" i="1" s="1"/>
  <c r="N683" i="1" s="1"/>
  <c r="N684" i="1" s="1"/>
  <c r="N685" i="1" s="1"/>
  <c r="N686" i="1" s="1"/>
  <c r="N687" i="1" s="1"/>
  <c r="N688" i="1" s="1"/>
  <c r="N689" i="1" s="1"/>
  <c r="N690" i="1" s="1"/>
  <c r="N691" i="1" s="1"/>
  <c r="N692" i="1" s="1"/>
  <c r="N693" i="1" s="1"/>
  <c r="N694" i="1" s="1"/>
  <c r="N695" i="1" s="1"/>
  <c r="N696" i="1" s="1"/>
  <c r="N697" i="1" s="1"/>
  <c r="N698" i="1" s="1"/>
  <c r="N699" i="1" s="1"/>
  <c r="N700" i="1" s="1"/>
  <c r="N701" i="1" s="1"/>
  <c r="N702" i="1" s="1"/>
  <c r="N703" i="1" s="1"/>
  <c r="N704" i="1" s="1"/>
  <c r="N705" i="1" s="1"/>
  <c r="N706" i="1" s="1"/>
  <c r="N707" i="1" s="1"/>
  <c r="N708" i="1" s="1"/>
  <c r="N709" i="1" s="1"/>
  <c r="N710" i="1" s="1"/>
  <c r="N711" i="1" s="1"/>
  <c r="N712" i="1" s="1"/>
  <c r="N713" i="1" s="1"/>
  <c r="N714" i="1" s="1"/>
  <c r="N715" i="1" s="1"/>
  <c r="N716" i="1" s="1"/>
  <c r="N717" i="1" s="1"/>
  <c r="N718" i="1" s="1"/>
  <c r="N719" i="1" s="1"/>
  <c r="N720" i="1" s="1"/>
  <c r="N721" i="1" s="1"/>
  <c r="N722" i="1" s="1"/>
  <c r="N723" i="1" s="1"/>
  <c r="N724" i="1" s="1"/>
  <c r="N725" i="1" s="1"/>
  <c r="N726" i="1" s="1"/>
  <c r="N727" i="1" s="1"/>
  <c r="N728" i="1" s="1"/>
  <c r="N729" i="1" s="1"/>
  <c r="N730" i="1" s="1"/>
  <c r="N731" i="1" s="1"/>
  <c r="N732" i="1" s="1"/>
  <c r="N733" i="1" s="1"/>
  <c r="N734" i="1" s="1"/>
  <c r="N735" i="1" s="1"/>
  <c r="N736" i="1" s="1"/>
  <c r="N737" i="1" s="1"/>
  <c r="N738" i="1" s="1"/>
  <c r="N739" i="1" s="1"/>
  <c r="N740" i="1" s="1"/>
  <c r="N741" i="1" s="1"/>
  <c r="N742" i="1" s="1"/>
  <c r="N743" i="1" s="1"/>
  <c r="N744" i="1" s="1"/>
  <c r="N745" i="1" s="1"/>
  <c r="N746" i="1" s="1"/>
  <c r="N747" i="1" s="1"/>
  <c r="N748" i="1" s="1"/>
  <c r="N749" i="1" s="1"/>
  <c r="N750" i="1" s="1"/>
  <c r="N751" i="1" s="1"/>
  <c r="N752" i="1" s="1"/>
  <c r="N753" i="1" s="1"/>
  <c r="N754" i="1" s="1"/>
  <c r="N755" i="1" s="1"/>
  <c r="N756" i="1" s="1"/>
  <c r="N757" i="1" s="1"/>
  <c r="N758" i="1" s="1"/>
  <c r="N759" i="1" s="1"/>
  <c r="N760" i="1" s="1"/>
  <c r="N761" i="1" s="1"/>
  <c r="N762" i="1" s="1"/>
  <c r="N763" i="1" s="1"/>
  <c r="N764" i="1" s="1"/>
  <c r="N765" i="1" s="1"/>
  <c r="N766" i="1" s="1"/>
  <c r="N767" i="1" s="1"/>
  <c r="N768" i="1" s="1"/>
  <c r="N769" i="1" s="1"/>
  <c r="N770" i="1" s="1"/>
  <c r="N771" i="1" s="1"/>
  <c r="N772" i="1" s="1"/>
  <c r="N773" i="1" s="1"/>
  <c r="N774" i="1" s="1"/>
  <c r="N775" i="1" s="1"/>
  <c r="N776" i="1" s="1"/>
  <c r="N777" i="1" s="1"/>
  <c r="N778" i="1" s="1"/>
  <c r="N779" i="1" s="1"/>
  <c r="N780" i="1" s="1"/>
  <c r="N781" i="1" s="1"/>
  <c r="N782" i="1" s="1"/>
  <c r="N783" i="1" s="1"/>
  <c r="N784" i="1" s="1"/>
  <c r="N785" i="1" s="1"/>
  <c r="N786" i="1" s="1"/>
  <c r="N787" i="1" s="1"/>
  <c r="N788" i="1" s="1"/>
  <c r="N789" i="1" s="1"/>
  <c r="N790" i="1" s="1"/>
  <c r="N791" i="1" s="1"/>
  <c r="N792" i="1" s="1"/>
  <c r="N793" i="1" s="1"/>
  <c r="N794" i="1" s="1"/>
  <c r="N795" i="1" s="1"/>
  <c r="N796" i="1" s="1"/>
  <c r="N797" i="1" s="1"/>
  <c r="N798" i="1" s="1"/>
  <c r="N799" i="1" s="1"/>
  <c r="N800" i="1" s="1"/>
  <c r="N801" i="1" s="1"/>
  <c r="N802" i="1" s="1"/>
  <c r="N803" i="1" s="1"/>
  <c r="N804" i="1" s="1"/>
  <c r="N805" i="1" s="1"/>
  <c r="N806" i="1" s="1"/>
  <c r="N807" i="1" s="1"/>
  <c r="N808" i="1" s="1"/>
  <c r="N809" i="1" s="1"/>
  <c r="N810" i="1" s="1"/>
  <c r="N811" i="1" s="1"/>
  <c r="N812" i="1" s="1"/>
  <c r="N813" i="1" s="1"/>
  <c r="N814" i="1" s="1"/>
  <c r="N815" i="1" s="1"/>
  <c r="N816" i="1" s="1"/>
  <c r="N817" i="1" s="1"/>
  <c r="N818" i="1" s="1"/>
  <c r="N819" i="1" s="1"/>
  <c r="N820" i="1" s="1"/>
  <c r="N821" i="1" s="1"/>
  <c r="N822" i="1" s="1"/>
  <c r="N823" i="1" s="1"/>
  <c r="N824" i="1" s="1"/>
  <c r="N825" i="1" s="1"/>
  <c r="N826" i="1" s="1"/>
  <c r="N827" i="1" s="1"/>
  <c r="N828" i="1" s="1"/>
  <c r="N829" i="1" s="1"/>
  <c r="N830" i="1" s="1"/>
  <c r="N831" i="1" s="1"/>
  <c r="N832" i="1" s="1"/>
  <c r="N833" i="1" s="1"/>
  <c r="N834" i="1" s="1"/>
  <c r="N835" i="1" s="1"/>
  <c r="N836" i="1" s="1"/>
  <c r="N837" i="1" s="1"/>
  <c r="N838" i="1" s="1"/>
  <c r="N839" i="1" s="1"/>
  <c r="N840" i="1" s="1"/>
  <c r="N841" i="1" s="1"/>
  <c r="N842" i="1" s="1"/>
  <c r="N843" i="1" s="1"/>
  <c r="N844" i="1" s="1"/>
  <c r="N845" i="1" s="1"/>
  <c r="N846" i="1" s="1"/>
  <c r="N847" i="1" s="1"/>
  <c r="N848" i="1" s="1"/>
  <c r="N849" i="1" s="1"/>
  <c r="N850" i="1" s="1"/>
  <c r="N851" i="1" s="1"/>
  <c r="N852" i="1" s="1"/>
  <c r="N853" i="1" s="1"/>
  <c r="N854" i="1" s="1"/>
  <c r="N855" i="1" s="1"/>
  <c r="N856" i="1" s="1"/>
  <c r="N857" i="1" s="1"/>
  <c r="N858" i="1" s="1"/>
  <c r="N859" i="1" s="1"/>
  <c r="N860" i="1" s="1"/>
  <c r="N861" i="1" s="1"/>
  <c r="N862" i="1" s="1"/>
  <c r="N863" i="1" s="1"/>
  <c r="N864" i="1" s="1"/>
  <c r="N865" i="1" s="1"/>
  <c r="N866" i="1" s="1"/>
  <c r="N867" i="1" s="1"/>
  <c r="N868" i="1" s="1"/>
  <c r="N869" i="1" s="1"/>
  <c r="N870" i="1" s="1"/>
  <c r="N871" i="1" s="1"/>
  <c r="N872" i="1" s="1"/>
  <c r="N873" i="1" s="1"/>
  <c r="N874" i="1" s="1"/>
  <c r="N875" i="1" s="1"/>
  <c r="N876" i="1" s="1"/>
  <c r="N877" i="1" s="1"/>
  <c r="N878" i="1" s="1"/>
  <c r="N879" i="1" s="1"/>
  <c r="N880" i="1" s="1"/>
  <c r="N881" i="1" s="1"/>
  <c r="N882" i="1" s="1"/>
  <c r="N883" i="1" s="1"/>
  <c r="N884" i="1" s="1"/>
  <c r="N885" i="1" s="1"/>
  <c r="N886" i="1" s="1"/>
  <c r="N887" i="1" s="1"/>
  <c r="N888" i="1" s="1"/>
  <c r="N889" i="1" s="1"/>
  <c r="N890" i="1" s="1"/>
  <c r="N891" i="1" s="1"/>
  <c r="N892" i="1" s="1"/>
  <c r="N893" i="1" s="1"/>
  <c r="N894" i="1" s="1"/>
  <c r="N895" i="1" s="1"/>
  <c r="N896" i="1" s="1"/>
  <c r="P844" i="1"/>
  <c r="P845" i="1" s="1"/>
  <c r="P846" i="1" s="1"/>
  <c r="P847" i="1" s="1"/>
  <c r="P848" i="1" s="1"/>
  <c r="P849" i="1" s="1"/>
  <c r="P850" i="1" s="1"/>
  <c r="P851" i="1" s="1"/>
  <c r="P852" i="1" s="1"/>
  <c r="P853" i="1" s="1"/>
  <c r="P854" i="1" s="1"/>
  <c r="P855" i="1" s="1"/>
  <c r="P856" i="1" s="1"/>
  <c r="P857" i="1" s="1"/>
  <c r="P858" i="1" s="1"/>
  <c r="P859" i="1" s="1"/>
  <c r="P860" i="1" s="1"/>
  <c r="P861" i="1" s="1"/>
  <c r="P862" i="1" s="1"/>
  <c r="P863" i="1" s="1"/>
  <c r="P864" i="1" s="1"/>
  <c r="P865" i="1" s="1"/>
  <c r="P866" i="1" s="1"/>
  <c r="P867" i="1" s="1"/>
  <c r="P868" i="1" s="1"/>
  <c r="P869" i="1" s="1"/>
  <c r="P870" i="1" s="1"/>
  <c r="P871" i="1" s="1"/>
  <c r="P872" i="1" s="1"/>
  <c r="P873" i="1" s="1"/>
  <c r="P874" i="1" s="1"/>
  <c r="P875" i="1" s="1"/>
  <c r="P876" i="1" s="1"/>
  <c r="P877" i="1" s="1"/>
  <c r="P878" i="1" s="1"/>
  <c r="P879" i="1" s="1"/>
  <c r="P880" i="1" s="1"/>
  <c r="P881" i="1" s="1"/>
  <c r="P882" i="1" s="1"/>
  <c r="P883" i="1" s="1"/>
  <c r="P884" i="1" s="1"/>
  <c r="P885" i="1" s="1"/>
  <c r="P886" i="1" s="1"/>
  <c r="P887" i="1" s="1"/>
  <c r="P888" i="1" s="1"/>
  <c r="P889" i="1" s="1"/>
  <c r="P890" i="1" s="1"/>
  <c r="P891" i="1" s="1"/>
  <c r="P892" i="1" s="1"/>
  <c r="P893" i="1" s="1"/>
  <c r="P894" i="1" s="1"/>
  <c r="P895" i="1" s="1"/>
  <c r="P896" i="1" s="1"/>
  <c r="P897" i="1" s="1"/>
  <c r="N897" i="1" l="1"/>
  <c r="N898" i="1" s="1"/>
  <c r="P898" i="1"/>
  <c r="P899" i="1" s="1"/>
  <c r="P900" i="1" s="1"/>
  <c r="P901" i="1" s="1"/>
  <c r="P902" i="1" s="1"/>
  <c r="P903" i="1" l="1"/>
  <c r="N899" i="1"/>
  <c r="N900" i="1" s="1"/>
  <c r="N901" i="1" s="1"/>
  <c r="N902" i="1" s="1"/>
  <c r="N903" i="1" l="1"/>
  <c r="N904" i="1" s="1"/>
  <c r="N905" i="1" s="1"/>
  <c r="N906" i="1" s="1"/>
  <c r="N907" i="1" s="1"/>
  <c r="N908" i="1" s="1"/>
  <c r="N909" i="1" s="1"/>
  <c r="N910" i="1" s="1"/>
  <c r="N911" i="1" s="1"/>
  <c r="N912" i="1" s="1"/>
  <c r="N913" i="1" s="1"/>
  <c r="N914" i="1" s="1"/>
  <c r="N915" i="1" s="1"/>
  <c r="N916" i="1" s="1"/>
  <c r="N917" i="1" s="1"/>
  <c r="N918" i="1" s="1"/>
  <c r="N919" i="1" s="1"/>
  <c r="N920" i="1" s="1"/>
  <c r="N921" i="1" s="1"/>
  <c r="P904" i="1"/>
  <c r="P905" i="1" s="1"/>
  <c r="P906" i="1" s="1"/>
  <c r="P907" i="1" s="1"/>
  <c r="P908" i="1" s="1"/>
  <c r="P909" i="1" s="1"/>
  <c r="P910" i="1" s="1"/>
  <c r="P911" i="1" s="1"/>
  <c r="P912" i="1" s="1"/>
  <c r="P913" i="1" s="1"/>
  <c r="P914" i="1" s="1"/>
  <c r="P915" i="1" s="1"/>
  <c r="P916" i="1" s="1"/>
  <c r="P917" i="1" s="1"/>
  <c r="P918" i="1" s="1"/>
  <c r="P919" i="1" s="1"/>
  <c r="P920" i="1" s="1"/>
  <c r="P921" i="1" s="1"/>
  <c r="P922" i="1" s="1"/>
  <c r="P923" i="1" l="1"/>
  <c r="N922" i="1"/>
  <c r="P924" i="1" l="1"/>
  <c r="N923" i="1"/>
  <c r="P925" i="1" l="1"/>
  <c r="P926" i="1" s="1"/>
  <c r="P927" i="1" s="1"/>
  <c r="P928" i="1" s="1"/>
  <c r="P929" i="1" s="1"/>
  <c r="P930" i="1" s="1"/>
  <c r="P931" i="1" s="1"/>
  <c r="P932" i="1" s="1"/>
  <c r="P933" i="1" s="1"/>
  <c r="P934" i="1" s="1"/>
  <c r="N924" i="1"/>
  <c r="N925" i="1" s="1"/>
  <c r="N926" i="1" s="1"/>
  <c r="N927" i="1" s="1"/>
  <c r="N928" i="1" s="1"/>
  <c r="N929" i="1" s="1"/>
  <c r="N930" i="1" s="1"/>
  <c r="N931" i="1" s="1"/>
  <c r="N932" i="1" s="1"/>
  <c r="N933" i="1" s="1"/>
  <c r="P935" i="1" l="1"/>
  <c r="P936" i="1" s="1"/>
  <c r="P937" i="1" s="1"/>
  <c r="P938" i="1" s="1"/>
  <c r="P939" i="1" s="1"/>
  <c r="P940" i="1" s="1"/>
  <c r="P941" i="1" s="1"/>
  <c r="P942" i="1" s="1"/>
  <c r="P943" i="1" s="1"/>
  <c r="P944" i="1" s="1"/>
  <c r="P945" i="1" s="1"/>
  <c r="P946" i="1" s="1"/>
  <c r="P947" i="1" s="1"/>
  <c r="P948" i="1" s="1"/>
  <c r="N934" i="1"/>
  <c r="N935" i="1" s="1"/>
  <c r="N936" i="1" s="1"/>
  <c r="N937" i="1" s="1"/>
  <c r="N938" i="1" s="1"/>
  <c r="N939" i="1" s="1"/>
  <c r="N940" i="1" s="1"/>
  <c r="N941" i="1" s="1"/>
  <c r="N942" i="1" s="1"/>
  <c r="N943" i="1" s="1"/>
  <c r="N944" i="1" s="1"/>
  <c r="N945" i="1" s="1"/>
  <c r="N946" i="1" s="1"/>
  <c r="N947" i="1" s="1"/>
  <c r="P949" i="1" l="1"/>
  <c r="N948" i="1"/>
  <c r="P950" i="1" l="1"/>
  <c r="N949" i="1"/>
  <c r="P951" i="1" l="1"/>
  <c r="P952" i="1" s="1"/>
  <c r="P953" i="1" s="1"/>
  <c r="N950" i="1"/>
  <c r="N951" i="1" s="1"/>
  <c r="N952" i="1" s="1"/>
  <c r="P954" i="1" l="1"/>
  <c r="P955" i="1" s="1"/>
  <c r="P956" i="1" s="1"/>
  <c r="P957" i="1" s="1"/>
  <c r="N953" i="1"/>
  <c r="N954" i="1" s="1"/>
  <c r="N955" i="1" s="1"/>
  <c r="N956" i="1" s="1"/>
  <c r="P958" i="1" l="1"/>
  <c r="P959" i="1" s="1"/>
  <c r="N957" i="1"/>
  <c r="N958" i="1" s="1"/>
  <c r="P960" i="1" l="1"/>
  <c r="P961" i="1" s="1"/>
  <c r="N959" i="1"/>
  <c r="N960" i="1" s="1"/>
  <c r="P962" i="1" l="1"/>
  <c r="P963" i="1" s="1"/>
  <c r="P964" i="1" s="1"/>
  <c r="P965" i="1" s="1"/>
  <c r="P966" i="1" s="1"/>
  <c r="P967" i="1" s="1"/>
  <c r="N961" i="1"/>
  <c r="N962" i="1" s="1"/>
  <c r="N963" i="1" s="1"/>
  <c r="N964" i="1" s="1"/>
  <c r="N965" i="1" s="1"/>
  <c r="N966" i="1" s="1"/>
  <c r="P968" i="1" l="1"/>
  <c r="N967" i="1"/>
  <c r="P969" i="1" l="1"/>
  <c r="P970" i="1" s="1"/>
  <c r="P971" i="1" s="1"/>
  <c r="N968" i="1"/>
  <c r="N969" i="1" s="1"/>
  <c r="N970" i="1" s="1"/>
  <c r="P972" i="1" l="1"/>
  <c r="P973" i="1" s="1"/>
  <c r="N971" i="1"/>
  <c r="N972" i="1" s="1"/>
  <c r="N973" i="1" l="1"/>
  <c r="N974" i="1" s="1"/>
  <c r="K5" i="1"/>
  <c r="P974" i="1"/>
  <c r="P975" i="1" s="1"/>
  <c r="F10" i="1"/>
  <c r="D12" i="1" s="1"/>
  <c r="D13" i="1" s="1"/>
  <c r="P976" i="1" l="1"/>
  <c r="N975" i="1"/>
  <c r="N976" i="1" l="1"/>
  <c r="P977" i="1"/>
  <c r="N977" i="1" l="1"/>
  <c r="P978" i="1"/>
  <c r="N978" i="1" l="1"/>
  <c r="P979" i="1"/>
  <c r="N979" i="1" l="1"/>
  <c r="P980" i="1"/>
  <c r="N980" i="1" l="1"/>
  <c r="P981" i="1"/>
  <c r="N981" i="1" l="1"/>
  <c r="P982" i="1"/>
  <c r="P983" i="1" l="1"/>
  <c r="N982" i="1"/>
  <c r="N983" i="1" l="1"/>
  <c r="P984" i="1"/>
  <c r="P985" i="1" l="1"/>
  <c r="N984" i="1"/>
  <c r="N985" i="1" l="1"/>
  <c r="P986" i="1"/>
  <c r="N986" i="1" l="1"/>
  <c r="P987" i="1"/>
  <c r="N987" i="1" l="1"/>
  <c r="P988" i="1"/>
  <c r="N988" i="1" l="1"/>
  <c r="P989" i="1"/>
  <c r="N989" i="1" l="1"/>
  <c r="P990" i="1"/>
  <c r="P991" i="1" l="1"/>
  <c r="N990" i="1"/>
  <c r="N991" i="1" l="1"/>
  <c r="P992" i="1"/>
  <c r="P993" i="1" l="1"/>
  <c r="N992" i="1"/>
  <c r="N993" i="1" l="1"/>
  <c r="P994" i="1"/>
  <c r="N994" i="1" l="1"/>
  <c r="P995" i="1"/>
  <c r="N995" i="1" l="1"/>
  <c r="P996" i="1"/>
  <c r="N996" i="1" l="1"/>
  <c r="P997" i="1"/>
  <c r="N997" i="1" l="1"/>
  <c r="P998" i="1"/>
  <c r="N998" i="1" l="1"/>
  <c r="P999" i="1"/>
  <c r="N999" i="1" l="1"/>
  <c r="P1000" i="1"/>
  <c r="N1000" i="1" l="1"/>
  <c r="P1001" i="1"/>
  <c r="N1001" i="1" l="1"/>
  <c r="P1002" i="1"/>
  <c r="N1002" i="1" l="1"/>
  <c r="P1003" i="1"/>
  <c r="N1003" i="1" l="1"/>
  <c r="P1004" i="1"/>
  <c r="N1004" i="1" l="1"/>
  <c r="P1005" i="1"/>
  <c r="N1005" i="1" l="1"/>
  <c r="P1006" i="1"/>
  <c r="N1006" i="1" l="1"/>
  <c r="P1007" i="1"/>
  <c r="N1007" i="1" l="1"/>
  <c r="P1008" i="1"/>
  <c r="N1008" i="1" l="1"/>
  <c r="P1009" i="1"/>
  <c r="N1009" i="1" l="1"/>
  <c r="P1010" i="1"/>
  <c r="N1010" i="1" l="1"/>
  <c r="P1011" i="1"/>
  <c r="N1011" i="1" l="1"/>
  <c r="P1012" i="1"/>
  <c r="N1012" i="1" l="1"/>
  <c r="P1013" i="1"/>
  <c r="N1013" i="1" l="1"/>
  <c r="P1014" i="1"/>
  <c r="N1014" i="1" l="1"/>
  <c r="P1015" i="1"/>
  <c r="N1015" i="1" l="1"/>
  <c r="P1016" i="1"/>
  <c r="N1016" i="1" l="1"/>
  <c r="P1017" i="1"/>
  <c r="N1017" i="1" l="1"/>
  <c r="P1018" i="1"/>
  <c r="N1018" i="1" l="1"/>
  <c r="P1019" i="1"/>
  <c r="N1019" i="1" l="1"/>
  <c r="P1020" i="1"/>
  <c r="N1020" i="1" l="1"/>
  <c r="P1021" i="1"/>
  <c r="N1021" i="1" l="1"/>
  <c r="P1022" i="1"/>
  <c r="N1022" i="1" l="1"/>
  <c r="P1023" i="1"/>
  <c r="N1023" i="1" l="1"/>
  <c r="P1024" i="1"/>
  <c r="P1025" i="1" l="1"/>
  <c r="N1024" i="1"/>
  <c r="P1026" i="1" l="1"/>
  <c r="N1025" i="1"/>
  <c r="P1027" i="1" l="1"/>
  <c r="N1026" i="1"/>
  <c r="P1028" i="1" l="1"/>
  <c r="N1027" i="1"/>
  <c r="P1029" i="1" l="1"/>
  <c r="N1028" i="1"/>
  <c r="P1030" i="1" l="1"/>
  <c r="N1029" i="1"/>
  <c r="P1031" i="1" l="1"/>
  <c r="N1030" i="1"/>
  <c r="P1032" i="1" l="1"/>
  <c r="N1031" i="1"/>
  <c r="P1033" i="1" l="1"/>
  <c r="N1032" i="1"/>
  <c r="P1034" i="1" l="1"/>
  <c r="N1033" i="1"/>
  <c r="P1035" i="1" l="1"/>
  <c r="N1034" i="1"/>
  <c r="P1036" i="1" l="1"/>
  <c r="N1035" i="1"/>
  <c r="P1037" i="1" l="1"/>
  <c r="N1036" i="1"/>
  <c r="N1037" i="1" l="1"/>
  <c r="P1038" i="1"/>
  <c r="N1038" i="1" l="1"/>
  <c r="P1039" i="1"/>
  <c r="N1039" i="1" l="1"/>
  <c r="P1040" i="1"/>
  <c r="P1041" i="1" s="1"/>
  <c r="N1041" i="1" l="1"/>
  <c r="N1040" i="1"/>
  <c r="P1042" i="1" l="1"/>
  <c r="N1042" i="1" l="1"/>
  <c r="P1043" i="1"/>
  <c r="N1043" i="1" l="1"/>
  <c r="P1044" i="1"/>
  <c r="P1045" i="1" l="1"/>
  <c r="N1044" i="1"/>
  <c r="N1045" i="1" l="1"/>
  <c r="P1046" i="1"/>
  <c r="N1046" i="1" l="1"/>
  <c r="P1047" i="1"/>
  <c r="N1047" i="1" l="1"/>
  <c r="P1048" i="1"/>
  <c r="N1048" i="1" l="1"/>
  <c r="P1049" i="1"/>
  <c r="N1049" i="1" l="1"/>
  <c r="P1050" i="1"/>
  <c r="N1050" i="1" l="1"/>
  <c r="P1051" i="1"/>
  <c r="N1051" i="1" l="1"/>
  <c r="P1052" i="1"/>
  <c r="N1052" i="1" l="1"/>
  <c r="P1053" i="1"/>
  <c r="N1053" i="1" l="1"/>
  <c r="P1054" i="1"/>
  <c r="N1054" i="1" l="1"/>
  <c r="P1055" i="1"/>
  <c r="N1055" i="1" l="1"/>
  <c r="P1056" i="1"/>
  <c r="N1056" i="1" l="1"/>
  <c r="P1057" i="1"/>
  <c r="N1057" i="1" l="1"/>
  <c r="P1058" i="1"/>
  <c r="N1058" i="1" l="1"/>
  <c r="P1059" i="1"/>
  <c r="N1059" i="1" l="1"/>
  <c r="P1060" i="1"/>
  <c r="N1060" i="1" l="1"/>
  <c r="P1061" i="1"/>
  <c r="N1061" i="1" l="1"/>
  <c r="P1062" i="1"/>
  <c r="N1062" i="1" l="1"/>
  <c r="P1063" i="1"/>
  <c r="N1063" i="1" l="1"/>
  <c r="P1064" i="1"/>
  <c r="N1064" i="1" l="1"/>
  <c r="P1065" i="1"/>
  <c r="N1065" i="1" l="1"/>
  <c r="P1066" i="1"/>
  <c r="N1066" i="1" l="1"/>
  <c r="P1067" i="1"/>
  <c r="N1067" i="1" l="1"/>
  <c r="P1068" i="1"/>
  <c r="N1068" i="1" l="1"/>
  <c r="P1069" i="1"/>
  <c r="N1069" i="1" l="1"/>
  <c r="P1070" i="1"/>
  <c r="N1070" i="1" l="1"/>
  <c r="P1071" i="1"/>
  <c r="N1071" i="1" l="1"/>
  <c r="P1072" i="1"/>
  <c r="N1072" i="1" l="1"/>
  <c r="P1073" i="1"/>
  <c r="N1073" i="1" l="1"/>
  <c r="P1074" i="1"/>
  <c r="P1075" i="1" l="1"/>
  <c r="N1074" i="1"/>
  <c r="P1076" i="1" l="1"/>
  <c r="N1075" i="1"/>
  <c r="P1077" i="1" l="1"/>
  <c r="N1076" i="1"/>
  <c r="P1078" i="1" l="1"/>
  <c r="N1077" i="1"/>
  <c r="P1079" i="1" l="1"/>
  <c r="N1078" i="1"/>
  <c r="P1080" i="1" l="1"/>
  <c r="N1079" i="1"/>
  <c r="P1081" i="1" l="1"/>
  <c r="N1080" i="1"/>
  <c r="P1082" i="1" l="1"/>
  <c r="N1081" i="1"/>
  <c r="P1083" i="1" l="1"/>
  <c r="N1082" i="1"/>
  <c r="P1084" i="1" l="1"/>
  <c r="N1083" i="1"/>
  <c r="P1085" i="1" l="1"/>
  <c r="N1084" i="1"/>
  <c r="P1086" i="1" l="1"/>
  <c r="N1085" i="1"/>
  <c r="P1087" i="1" l="1"/>
  <c r="N1086" i="1"/>
  <c r="P1088" i="1" l="1"/>
  <c r="N1087" i="1"/>
  <c r="P1089" i="1" l="1"/>
  <c r="N1088" i="1"/>
  <c r="P1090" i="1" l="1"/>
  <c r="N1089" i="1"/>
  <c r="P1091" i="1" l="1"/>
  <c r="N1090" i="1"/>
  <c r="P1092" i="1" l="1"/>
  <c r="N1091" i="1"/>
  <c r="P1093" i="1" l="1"/>
  <c r="N1092" i="1"/>
  <c r="P1094" i="1" l="1"/>
  <c r="N1093" i="1"/>
  <c r="P1095" i="1" l="1"/>
  <c r="N1094" i="1"/>
  <c r="P1096" i="1" l="1"/>
  <c r="N1095" i="1"/>
  <c r="P1097" i="1" l="1"/>
  <c r="N1096" i="1"/>
  <c r="P1098" i="1" l="1"/>
  <c r="N1097" i="1"/>
  <c r="P1099" i="1" l="1"/>
  <c r="N1098" i="1"/>
  <c r="P1100" i="1" l="1"/>
  <c r="N1099" i="1"/>
  <c r="P1101" i="1" l="1"/>
  <c r="N1100" i="1"/>
  <c r="P1102" i="1" l="1"/>
  <c r="N1101" i="1"/>
  <c r="P1103" i="1" l="1"/>
  <c r="N1102" i="1"/>
  <c r="P1104" i="1" l="1"/>
  <c r="N1103" i="1"/>
  <c r="P1105" i="1" l="1"/>
  <c r="N1104" i="1"/>
  <c r="P1106" i="1" l="1"/>
  <c r="N1105" i="1"/>
  <c r="P1107" i="1" l="1"/>
  <c r="N1106" i="1"/>
  <c r="P1108" i="1" l="1"/>
  <c r="N1107" i="1"/>
  <c r="P1109" i="1" l="1"/>
  <c r="N1108" i="1"/>
  <c r="P1110" i="1" l="1"/>
  <c r="N1109" i="1"/>
  <c r="P1111" i="1" l="1"/>
  <c r="N1110" i="1"/>
  <c r="P1112" i="1" l="1"/>
  <c r="N1111" i="1"/>
  <c r="P1113" i="1" l="1"/>
  <c r="N1112" i="1"/>
  <c r="P1114" i="1" l="1"/>
  <c r="N1113" i="1"/>
  <c r="P1115" i="1" l="1"/>
  <c r="N1114" i="1"/>
  <c r="P1116" i="1" l="1"/>
  <c r="N1115" i="1"/>
  <c r="P1117" i="1" l="1"/>
  <c r="N1116" i="1"/>
  <c r="P1118" i="1" l="1"/>
  <c r="N1117" i="1"/>
  <c r="P1119" i="1" l="1"/>
  <c r="N1118" i="1"/>
  <c r="P1120" i="1" l="1"/>
  <c r="N1119" i="1"/>
  <c r="P1121" i="1" l="1"/>
  <c r="N1120" i="1"/>
  <c r="P1122" i="1" l="1"/>
  <c r="N1121" i="1"/>
  <c r="P1123" i="1" l="1"/>
  <c r="N1122" i="1"/>
  <c r="P1124" i="1" l="1"/>
  <c r="N1123" i="1"/>
  <c r="P1125" i="1" l="1"/>
  <c r="N1124" i="1"/>
  <c r="P1126" i="1" l="1"/>
  <c r="N1125" i="1"/>
  <c r="P1127" i="1" l="1"/>
  <c r="N1126" i="1"/>
  <c r="P1128" i="1" l="1"/>
  <c r="N1127" i="1"/>
  <c r="P1129" i="1" l="1"/>
  <c r="N1128" i="1"/>
  <c r="P1130" i="1" l="1"/>
  <c r="N1129" i="1"/>
  <c r="P1131" i="1" l="1"/>
  <c r="N1130" i="1"/>
  <c r="P1132" i="1" l="1"/>
  <c r="N1131" i="1"/>
  <c r="P1133" i="1" l="1"/>
  <c r="N1132" i="1"/>
  <c r="P1134" i="1" l="1"/>
  <c r="N1133" i="1"/>
  <c r="P1135" i="1" l="1"/>
  <c r="N1134" i="1"/>
  <c r="P1136" i="1" l="1"/>
  <c r="N1135" i="1"/>
  <c r="P1137" i="1" l="1"/>
  <c r="N1136" i="1"/>
  <c r="P1138" i="1" l="1"/>
  <c r="N1137" i="1"/>
  <c r="P1139" i="1" l="1"/>
  <c r="N1138" i="1"/>
  <c r="P1140" i="1" l="1"/>
  <c r="N1139" i="1"/>
  <c r="P1141" i="1" l="1"/>
  <c r="N1140" i="1"/>
  <c r="P1142" i="1" l="1"/>
  <c r="N1141" i="1"/>
  <c r="P1143" i="1" l="1"/>
  <c r="N1142" i="1"/>
  <c r="P1144" i="1" l="1"/>
  <c r="N1143" i="1"/>
  <c r="P1145" i="1" l="1"/>
  <c r="N1144" i="1"/>
  <c r="P1146" i="1" l="1"/>
  <c r="N1145" i="1"/>
  <c r="P1147" i="1" l="1"/>
  <c r="N1146" i="1"/>
  <c r="P1148" i="1" l="1"/>
  <c r="N1147" i="1"/>
  <c r="P1149" i="1" l="1"/>
  <c r="N1148" i="1"/>
  <c r="P1150" i="1" l="1"/>
  <c r="N1149" i="1"/>
  <c r="P1151" i="1" l="1"/>
  <c r="N1150" i="1"/>
  <c r="P1152" i="1" l="1"/>
  <c r="N1151" i="1"/>
  <c r="P1153" i="1" l="1"/>
  <c r="N1152" i="1"/>
  <c r="P1154" i="1" l="1"/>
  <c r="N1153" i="1"/>
  <c r="P1155" i="1" l="1"/>
  <c r="N1154" i="1"/>
  <c r="P1156" i="1" l="1"/>
  <c r="N1155" i="1"/>
  <c r="P1157" i="1" l="1"/>
  <c r="N1156" i="1"/>
  <c r="P1158" i="1" l="1"/>
  <c r="N1157" i="1"/>
  <c r="P1159" i="1" l="1"/>
  <c r="N1158" i="1"/>
  <c r="P1160" i="1" l="1"/>
  <c r="N1159" i="1"/>
  <c r="P1161" i="1" l="1"/>
  <c r="N1160" i="1"/>
  <c r="P1162" i="1" l="1"/>
  <c r="N1161" i="1"/>
  <c r="P1163" i="1" l="1"/>
  <c r="N1162" i="1"/>
  <c r="P1164" i="1" l="1"/>
  <c r="N1163" i="1"/>
  <c r="P1165" i="1" l="1"/>
  <c r="N1164" i="1"/>
  <c r="P1166" i="1" l="1"/>
  <c r="N1165" i="1"/>
  <c r="P1167" i="1" l="1"/>
  <c r="N1166" i="1"/>
  <c r="P1168" i="1" l="1"/>
  <c r="N1167" i="1"/>
  <c r="P1169" i="1" l="1"/>
  <c r="N1168" i="1"/>
  <c r="P1170" i="1" l="1"/>
  <c r="N1169" i="1"/>
  <c r="P1171" i="1" l="1"/>
  <c r="N1170" i="1"/>
  <c r="P1172" i="1" l="1"/>
  <c r="N1171" i="1"/>
  <c r="P1173" i="1" l="1"/>
  <c r="N1172" i="1"/>
  <c r="P1174" i="1" l="1"/>
  <c r="N1173" i="1"/>
  <c r="P1175" i="1" l="1"/>
  <c r="N1174" i="1"/>
  <c r="P1176" i="1" l="1"/>
  <c r="N1175" i="1"/>
  <c r="P1177" i="1" l="1"/>
  <c r="N1176" i="1"/>
  <c r="P1178" i="1" l="1"/>
  <c r="N1177" i="1"/>
  <c r="P1179" i="1" l="1"/>
  <c r="N1178" i="1"/>
  <c r="P1180" i="1" l="1"/>
  <c r="N1179" i="1"/>
  <c r="P1181" i="1" l="1"/>
  <c r="N1180" i="1"/>
  <c r="P1182" i="1" l="1"/>
  <c r="N1181" i="1"/>
  <c r="P1183" i="1" l="1"/>
  <c r="N1182" i="1"/>
  <c r="P1184" i="1" l="1"/>
  <c r="N1183" i="1"/>
  <c r="P1185" i="1" l="1"/>
  <c r="N1184" i="1"/>
  <c r="P1186" i="1" l="1"/>
  <c r="N1185" i="1"/>
  <c r="P1187" i="1" l="1"/>
  <c r="N1186" i="1"/>
  <c r="P1188" i="1" l="1"/>
  <c r="N1187" i="1"/>
  <c r="N1188" i="1" l="1"/>
  <c r="AL187" i="1" l="1"/>
  <c r="D6" i="1"/>
  <c r="L5" i="1" l="1"/>
  <c r="E6" i="1"/>
</calcChain>
</file>

<file path=xl/sharedStrings.xml><?xml version="1.0" encoding="utf-8"?>
<sst xmlns="http://schemas.openxmlformats.org/spreadsheetml/2006/main" count="2831" uniqueCount="143">
  <si>
    <t>BENEFICES</t>
  </si>
  <si>
    <t>TOTAUX 2017</t>
  </si>
  <si>
    <t>TOTAUX 2016</t>
  </si>
  <si>
    <t>TOTAUX 2015</t>
  </si>
  <si>
    <t>TOTAUX 2013/2014</t>
  </si>
  <si>
    <t>Salaire</t>
  </si>
  <si>
    <t>Secrétaire</t>
  </si>
  <si>
    <t>Agent de service</t>
  </si>
  <si>
    <t>Frais Comptable</t>
  </si>
  <si>
    <t>Gestion</t>
  </si>
  <si>
    <t>Bureau</t>
  </si>
  <si>
    <t>Contrat</t>
  </si>
  <si>
    <t>Copropriété</t>
  </si>
  <si>
    <t>Virement</t>
  </si>
  <si>
    <t>Loyer</t>
  </si>
  <si>
    <t>Charge</t>
  </si>
  <si>
    <t>Site Internet</t>
  </si>
  <si>
    <t>Publicité</t>
  </si>
  <si>
    <t>Web</t>
  </si>
  <si>
    <t>Cotisation foncière</t>
  </si>
  <si>
    <t>Caisse d'épargne</t>
  </si>
  <si>
    <t>Banque</t>
  </si>
  <si>
    <t>Fonctionnement</t>
  </si>
  <si>
    <t>TVA</t>
  </si>
  <si>
    <t>Retraite</t>
  </si>
  <si>
    <t>URSSAF</t>
  </si>
  <si>
    <t>Prévoyance</t>
  </si>
  <si>
    <t>Mutuelle</t>
  </si>
  <si>
    <t>Assurance</t>
  </si>
  <si>
    <t>Logiciel</t>
  </si>
  <si>
    <t>Fourniture</t>
  </si>
  <si>
    <t>Assemblée Générale</t>
  </si>
  <si>
    <t>Remplacement</t>
  </si>
  <si>
    <t>xc</t>
  </si>
  <si>
    <t>Remboursement 2016</t>
  </si>
  <si>
    <t>x</t>
  </si>
  <si>
    <t>Restaurant</t>
  </si>
  <si>
    <t>Représentation</t>
  </si>
  <si>
    <t>Formation Professionnelle</t>
  </si>
  <si>
    <t>c</t>
  </si>
  <si>
    <t>Taxe Apprentissage</t>
  </si>
  <si>
    <t>Produits / Matériels</t>
  </si>
  <si>
    <t>Médecine travail</t>
  </si>
  <si>
    <t>Comptabilité</t>
  </si>
  <si>
    <t>Cadeau</t>
  </si>
  <si>
    <t>Remise en état</t>
  </si>
  <si>
    <t>Essence</t>
  </si>
  <si>
    <t>Appartement</t>
  </si>
  <si>
    <t>Ponctuel</t>
  </si>
  <si>
    <t>Vitre</t>
  </si>
  <si>
    <t>Remboursement</t>
  </si>
  <si>
    <t>Formation Pro</t>
  </si>
  <si>
    <t>Apprentissage</t>
  </si>
  <si>
    <t>HT</t>
  </si>
  <si>
    <t>TTC</t>
  </si>
  <si>
    <t>Décembre 2015</t>
  </si>
  <si>
    <t>Trimestre 4</t>
  </si>
  <si>
    <t>Novembre2015</t>
  </si>
  <si>
    <t>Déplacement</t>
  </si>
  <si>
    <t>Octobre 2015</t>
  </si>
  <si>
    <t>Trimestre 3</t>
  </si>
  <si>
    <t>Autres service</t>
  </si>
  <si>
    <t>Septembre 2015</t>
  </si>
  <si>
    <t>Août 2015</t>
  </si>
  <si>
    <t>Juillet</t>
  </si>
  <si>
    <t>Juillet 2015</t>
  </si>
  <si>
    <t>Trimestre 2</t>
  </si>
  <si>
    <t>Juin 2015</t>
  </si>
  <si>
    <t>Mai 2015</t>
  </si>
  <si>
    <t>Avril</t>
  </si>
  <si>
    <t>Avril 2015</t>
  </si>
  <si>
    <t>Mars</t>
  </si>
  <si>
    <t>Trimestre 1</t>
  </si>
  <si>
    <t>Mars 2015</t>
  </si>
  <si>
    <t>Février</t>
  </si>
  <si>
    <t>Subvention</t>
  </si>
  <si>
    <t>Février 2015</t>
  </si>
  <si>
    <t>Janvier 2015</t>
  </si>
  <si>
    <t>Décembre</t>
  </si>
  <si>
    <t>Décembre 2014</t>
  </si>
  <si>
    <t>Novembre</t>
  </si>
  <si>
    <t>NOVEMBRE 2014</t>
  </si>
  <si>
    <t>Octobre</t>
  </si>
  <si>
    <t>OCTOBRE 2014</t>
  </si>
  <si>
    <t>Septembre</t>
  </si>
  <si>
    <r>
      <t>S</t>
    </r>
    <r>
      <rPr>
        <b/>
        <sz val="16"/>
        <color rgb="FF000000"/>
        <rFont val="Century Gothic"/>
        <family val="2"/>
      </rPr>
      <t>EPTEMBRE 2014</t>
    </r>
  </si>
  <si>
    <t>Aout</t>
  </si>
  <si>
    <t>AOUT 2014</t>
  </si>
  <si>
    <t>JUILLET 2014</t>
  </si>
  <si>
    <r>
      <t xml:space="preserve">eMail : </t>
    </r>
    <r>
      <rPr>
        <sz val="10"/>
        <color rgb="FF000000"/>
        <rFont val="Century Gothic"/>
        <family val="2"/>
      </rPr>
      <t>francois.ferrandini@cepac.caisse-epargne.fr</t>
    </r>
  </si>
  <si>
    <t>06 84 76 76 42</t>
  </si>
  <si>
    <t>Téléphone :</t>
  </si>
  <si>
    <t>Solde :</t>
  </si>
  <si>
    <t>Juin</t>
  </si>
  <si>
    <t>FERRANDINI François</t>
  </si>
  <si>
    <t>Conseillier :</t>
  </si>
  <si>
    <t>Id :</t>
  </si>
  <si>
    <t>16 boulevard Paoli, 20200 Bastia</t>
  </si>
  <si>
    <t>Adresse :</t>
  </si>
  <si>
    <t>11315 00001 08007487416 06</t>
  </si>
  <si>
    <t>RIB :</t>
  </si>
  <si>
    <t>Etablissement :</t>
  </si>
  <si>
    <t>08007487416</t>
  </si>
  <si>
    <t>Numéro :</t>
  </si>
  <si>
    <t>Contact banque :</t>
  </si>
  <si>
    <t>Compte Bancaire :</t>
  </si>
  <si>
    <t>TOTAL</t>
  </si>
  <si>
    <t>JUIN 2014</t>
  </si>
  <si>
    <t>Mai</t>
  </si>
  <si>
    <t>Mai 2014</t>
  </si>
  <si>
    <t>MAI 2014</t>
  </si>
  <si>
    <t>Avril 2014</t>
  </si>
  <si>
    <t>AVRIL 2014</t>
  </si>
  <si>
    <t>Mars 2014</t>
  </si>
  <si>
    <t>MARS 2014</t>
  </si>
  <si>
    <t>Février 2014</t>
  </si>
  <si>
    <t>FEVRIER 2014</t>
  </si>
  <si>
    <t>Janvier</t>
  </si>
  <si>
    <t>Janvier 2014</t>
  </si>
  <si>
    <t>JANVIER 2014</t>
  </si>
  <si>
    <t>Solde Mensuel</t>
  </si>
  <si>
    <t>Solde</t>
  </si>
  <si>
    <t>Solde critique</t>
  </si>
  <si>
    <t>Solde réel</t>
  </si>
  <si>
    <t>Crédit</t>
  </si>
  <si>
    <t>Débit</t>
  </si>
  <si>
    <t>Date d'encaissement</t>
  </si>
  <si>
    <t>Mode de paiement</t>
  </si>
  <si>
    <t>Date de paiement</t>
  </si>
  <si>
    <t>Description</t>
  </si>
  <si>
    <t>Bénéficiaire</t>
  </si>
  <si>
    <t>Date d'éxigibilité</t>
  </si>
  <si>
    <t>Sous type</t>
  </si>
  <si>
    <t>Type</t>
  </si>
  <si>
    <t>Etat</t>
  </si>
  <si>
    <t>Montant bordereau :</t>
  </si>
  <si>
    <t>critique</t>
  </si>
  <si>
    <t>Diff.</t>
  </si>
  <si>
    <t>SOLDE</t>
  </si>
  <si>
    <t>Trimestres</t>
  </si>
  <si>
    <t>Résultats</t>
  </si>
  <si>
    <t>Recettes</t>
  </si>
  <si>
    <t>Dépenses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</si>
</sst>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€&quot;_-;\-* #,##0.00\ &quot;€&quot;_-;_-* &quot;-&quot;??\ &quot;€&quot;_-;_-@_-"/>
    <numFmt numFmtId="164" formatCode="#,##0.00\ &quot;€&quot;"/>
    <numFmt numFmtId="165" formatCode="mmmm\ yyyy"/>
    <numFmt numFmtId="166" formatCode="dd/mm/yyyy"/>
  </numFmts>
  <fonts count="42">
    <font>
      <sz val="10"/>
      <color theme="1"/>
      <name val="AvantGarde Bk BT"/>
      <family val="2"/>
    </font>
    <font>
      <sz val="11"/>
      <color theme="1"/>
      <name val="Century Gothic"/>
      <family val="2"/>
    </font>
    <font>
      <b/>
      <sz val="11"/>
      <color theme="0"/>
      <name val="Century Gothic"/>
      <family val="2"/>
    </font>
    <font>
      <sz val="11"/>
      <color rgb="FFFF0000"/>
      <name val="Century Gothic"/>
      <family val="2"/>
    </font>
    <font>
      <b/>
      <sz val="11"/>
      <color theme="1"/>
      <name val="Century Gothic"/>
      <family val="2"/>
    </font>
    <font>
      <sz val="11"/>
      <color theme="0"/>
      <name val="Century Gothic"/>
      <family val="2"/>
    </font>
    <font>
      <sz val="10"/>
      <color theme="1"/>
      <name val="Century Gothic"/>
      <family val="2"/>
    </font>
    <font>
      <b/>
      <sz val="10"/>
      <color theme="1"/>
      <name val="Century Gothic"/>
      <family val="2"/>
    </font>
    <font>
      <b/>
      <sz val="14"/>
      <color theme="0"/>
      <name val="Century Gothic"/>
      <family val="2"/>
    </font>
    <font>
      <sz val="11"/>
      <color theme="1"/>
      <name val="Calibri"/>
      <family val="2"/>
      <scheme val="minor"/>
    </font>
    <font>
      <sz val="10"/>
      <name val="Century Gothic"/>
      <family val="2"/>
    </font>
    <font>
      <b/>
      <sz val="12"/>
      <color theme="1"/>
      <name val="Century Gothic"/>
      <family val="2"/>
    </font>
    <font>
      <b/>
      <i/>
      <sz val="10"/>
      <color theme="1"/>
      <name val="Century Gothic"/>
      <family val="2"/>
    </font>
    <font>
      <b/>
      <sz val="14"/>
      <color theme="1"/>
      <name val="Century Gothic"/>
      <family val="2"/>
    </font>
    <font>
      <sz val="10"/>
      <color rgb="FF0D75C3"/>
      <name val="Century Gothic"/>
      <family val="2"/>
    </font>
    <font>
      <sz val="10"/>
      <color rgb="FF000000"/>
      <name val="Century Gothic"/>
      <family val="2"/>
    </font>
    <font>
      <b/>
      <sz val="18"/>
      <color theme="1"/>
      <name val="Century Gothic"/>
      <family val="2"/>
    </font>
    <font>
      <b/>
      <sz val="16"/>
      <color theme="1"/>
      <name val="Century Gothic"/>
      <family val="2"/>
    </font>
    <font>
      <b/>
      <sz val="16"/>
      <name val="Century Gothic"/>
      <family val="2"/>
    </font>
    <font>
      <b/>
      <sz val="16"/>
      <color rgb="FF000000"/>
      <name val="Century Gothic"/>
      <family val="2"/>
    </font>
    <font>
      <u/>
      <sz val="11"/>
      <color theme="10"/>
      <name val="Calibri"/>
      <family val="2"/>
      <scheme val="minor"/>
    </font>
    <font>
      <sz val="9"/>
      <name val="Century Gothic"/>
      <family val="2"/>
    </font>
    <font>
      <sz val="12"/>
      <color rgb="FFFF3399"/>
      <name val="Century Gothic"/>
      <family val="2"/>
    </font>
    <font>
      <b/>
      <sz val="26"/>
      <name val="Calibri"/>
      <family val="2"/>
      <scheme val="minor"/>
    </font>
    <font>
      <b/>
      <sz val="48"/>
      <color rgb="FFFF3399"/>
      <name val="Calibri"/>
      <family val="2"/>
      <scheme val="minor"/>
    </font>
    <font>
      <sz val="11"/>
      <name val="Century Gothic"/>
      <family val="2"/>
    </font>
    <font>
      <b/>
      <sz val="10"/>
      <color theme="8"/>
      <name val="Century Gothic"/>
      <family val="2"/>
    </font>
    <font>
      <b/>
      <sz val="10"/>
      <name val="Century Gothic"/>
      <family val="2"/>
    </font>
    <font>
      <b/>
      <sz val="48"/>
      <color rgb="FFFF3399"/>
      <name val="Century Gothic"/>
      <family val="2"/>
    </font>
    <font>
      <sz val="9"/>
      <color theme="1"/>
      <name val="Century Gothic"/>
      <family val="2"/>
    </font>
    <font>
      <sz val="11"/>
      <color rgb="FFFF3399"/>
      <name val="Century Gothic"/>
      <family val="2"/>
    </font>
    <font>
      <b/>
      <sz val="11"/>
      <color rgb="FFFF0000"/>
      <name val="Century Gothic"/>
      <family val="2"/>
    </font>
    <font>
      <b/>
      <sz val="9"/>
      <color theme="1"/>
      <name val="Century Gothic"/>
      <family val="2"/>
    </font>
    <font>
      <sz val="9"/>
      <color rgb="FFFF0000"/>
      <name val="Century Gothic"/>
      <family val="2"/>
    </font>
    <font>
      <b/>
      <u/>
      <sz val="9"/>
      <color theme="1"/>
      <name val="Century Gothic"/>
      <family val="2"/>
    </font>
    <font>
      <b/>
      <sz val="48"/>
      <color theme="0" tint="-0.249977111117893"/>
      <name val="Century Gothic"/>
      <family val="2"/>
    </font>
    <font>
      <sz val="10"/>
      <color theme="0" tint="-0.249977111117893"/>
      <name val="Century Gothic"/>
      <family val="2"/>
    </font>
    <font>
      <b/>
      <u/>
      <sz val="9"/>
      <color theme="0" tint="-0.249977111117893"/>
      <name val="Century Gothic"/>
      <family val="2"/>
    </font>
    <font>
      <sz val="9"/>
      <color theme="0" tint="-0.249977111117893"/>
      <name val="Century Gothic"/>
      <family val="2"/>
    </font>
    <font>
      <sz val="9"/>
      <color rgb="FFFF3399"/>
      <name val="Century Gothic"/>
      <family val="2"/>
    </font>
    <font>
      <b/>
      <sz val="9"/>
      <color rgb="FFFF3399"/>
      <name val="Century Gothic"/>
      <family val="2"/>
    </font>
    <font>
      <sz val="10"/>
      <color rgb="FF000000"/>
      <name val="AvantGarde Bk BT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3FA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66CC"/>
        <bgColor indexed="64"/>
      </patternFill>
    </fill>
  </fills>
  <borders count="41">
    <border>
      <left/>
      <right/>
      <top/>
      <bottom/>
      <diagonal/>
    </border>
    <border>
      <left style="dashed">
        <color auto="1"/>
      </left>
      <right/>
      <top/>
      <bottom/>
      <diagonal/>
    </border>
    <border>
      <left/>
      <right style="dashed">
        <color auto="1"/>
      </right>
      <top/>
      <bottom/>
      <diagonal/>
    </border>
    <border>
      <left/>
      <right/>
      <top style="medium">
        <color auto="1"/>
      </top>
      <bottom/>
      <diagonal/>
    </border>
    <border>
      <left style="mediumDashed">
        <color auto="1"/>
      </left>
      <right/>
      <top/>
      <bottom/>
      <diagonal/>
    </border>
    <border>
      <left/>
      <right/>
      <top/>
      <bottom style="medium">
        <color auto="1"/>
      </bottom>
      <diagonal/>
    </border>
    <border>
      <left style="mediumDashed">
        <color auto="1"/>
      </left>
      <right/>
      <top/>
      <bottom style="medium">
        <color auto="1"/>
      </bottom>
      <diagonal/>
    </border>
    <border>
      <left style="dashed">
        <color auto="1"/>
      </left>
      <right/>
      <top style="medium">
        <color auto="1"/>
      </top>
      <bottom/>
      <diagonal/>
    </border>
    <border>
      <left/>
      <right style="dashed">
        <color auto="1"/>
      </right>
      <top style="medium">
        <color auto="1"/>
      </top>
      <bottom/>
      <diagonal/>
    </border>
    <border>
      <left/>
      <right style="dashed">
        <color auto="1"/>
      </right>
      <top/>
      <bottom style="medium">
        <color auto="1"/>
      </bottom>
      <diagonal/>
    </border>
    <border>
      <left style="dashed">
        <color auto="1"/>
      </left>
      <right/>
      <top/>
      <bottom style="medium">
        <color auto="1"/>
      </bottom>
      <diagonal/>
    </border>
    <border>
      <left/>
      <right style="dashed">
        <color auto="1"/>
      </right>
      <top style="thick">
        <color theme="8"/>
      </top>
      <bottom/>
      <diagonal/>
    </border>
    <border>
      <left style="dashed">
        <color auto="1"/>
      </left>
      <right/>
      <top style="thick">
        <color theme="8"/>
      </top>
      <bottom/>
      <diagonal/>
    </border>
    <border>
      <left/>
      <right/>
      <top style="thick">
        <color theme="8"/>
      </top>
      <bottom style="thick">
        <color theme="8"/>
      </bottom>
      <diagonal/>
    </border>
    <border>
      <left/>
      <right/>
      <top/>
      <bottom style="thick">
        <color theme="8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</borders>
  <cellStyleXfs count="4">
    <xf numFmtId="0" fontId="0" fillId="0" borderId="0"/>
    <xf numFmtId="44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20" fillId="0" borderId="0" applyNumberFormat="0" applyFill="0" applyBorder="0" applyAlignment="0" applyProtection="0"/>
  </cellStyleXfs>
  <cellXfs count="242">
    <xf numFmtId="0" fontId="0" fillId="0" borderId="0" xfId="0"/>
    <xf numFmtId="0" fontId="6" fillId="0" borderId="0" xfId="0" applyFont="1"/>
    <xf numFmtId="0" fontId="6" fillId="0" borderId="0" xfId="0" applyFont="1" applyFill="1"/>
    <xf numFmtId="0" fontId="6" fillId="0" borderId="0" xfId="0" applyFont="1" applyAlignment="1">
      <alignment horizontal="center"/>
    </xf>
    <xf numFmtId="0" fontId="6" fillId="0" borderId="0" xfId="0" applyFont="1" applyBorder="1"/>
    <xf numFmtId="0" fontId="7" fillId="0" borderId="0" xfId="0" applyFont="1" applyAlignment="1">
      <alignment wrapText="1"/>
    </xf>
    <xf numFmtId="2" fontId="6" fillId="0" borderId="0" xfId="0" applyNumberFormat="1" applyFont="1" applyFill="1" applyAlignment="1">
      <alignment horizontal="center"/>
    </xf>
    <xf numFmtId="2" fontId="6" fillId="0" borderId="0" xfId="0" applyNumberFormat="1" applyFont="1" applyFill="1" applyBorder="1" applyAlignment="1">
      <alignment horizontal="center" vertical="center"/>
    </xf>
    <xf numFmtId="2" fontId="6" fillId="0" borderId="0" xfId="0" applyNumberFormat="1" applyFont="1" applyFill="1" applyAlignment="1">
      <alignment horizontal="center" vertical="center"/>
    </xf>
    <xf numFmtId="0" fontId="6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164" fontId="8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right" vertical="center"/>
    </xf>
    <xf numFmtId="10" fontId="2" fillId="2" borderId="0" xfId="2" applyNumberFormat="1" applyFont="1" applyFill="1" applyBorder="1" applyAlignment="1">
      <alignment horizontal="center"/>
    </xf>
    <xf numFmtId="164" fontId="2" fillId="2" borderId="0" xfId="0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right" vertical="center"/>
    </xf>
    <xf numFmtId="0" fontId="2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wrapText="1"/>
    </xf>
    <xf numFmtId="0" fontId="2" fillId="2" borderId="0" xfId="0" applyFont="1" applyFill="1" applyBorder="1" applyAlignment="1">
      <alignment horizontal="center" wrapText="1"/>
    </xf>
    <xf numFmtId="0" fontId="2" fillId="2" borderId="0" xfId="0" applyFont="1" applyFill="1" applyBorder="1" applyAlignment="1">
      <alignment horizontal="center" vertical="center"/>
    </xf>
    <xf numFmtId="164" fontId="2" fillId="2" borderId="0" xfId="0" applyNumberFormat="1" applyFont="1" applyFill="1" applyBorder="1" applyAlignment="1">
      <alignment horizontal="center"/>
    </xf>
    <xf numFmtId="164" fontId="6" fillId="0" borderId="0" xfId="0" applyNumberFormat="1" applyFont="1" applyFill="1" applyBorder="1" applyAlignment="1">
      <alignment horizontal="center" vertical="center"/>
    </xf>
    <xf numFmtId="2" fontId="6" fillId="0" borderId="0" xfId="0" applyNumberFormat="1" applyFont="1" applyFill="1" applyBorder="1" applyAlignment="1">
      <alignment horizontal="center" vertical="center" wrapText="1"/>
    </xf>
    <xf numFmtId="0" fontId="6" fillId="3" borderId="0" xfId="0" applyFont="1" applyFill="1"/>
    <xf numFmtId="2" fontId="10" fillId="0" borderId="0" xfId="0" applyNumberFormat="1" applyFont="1" applyFill="1" applyBorder="1" applyAlignment="1">
      <alignment horizontal="center" vertical="center"/>
    </xf>
    <xf numFmtId="2" fontId="10" fillId="0" borderId="1" xfId="0" applyNumberFormat="1" applyFont="1" applyFill="1" applyBorder="1" applyAlignment="1">
      <alignment horizontal="center" vertical="center"/>
    </xf>
    <xf numFmtId="2" fontId="6" fillId="0" borderId="2" xfId="0" applyNumberFormat="1" applyFont="1" applyFill="1" applyBorder="1" applyAlignment="1">
      <alignment horizontal="center" vertical="center"/>
    </xf>
    <xf numFmtId="2" fontId="6" fillId="0" borderId="1" xfId="0" applyNumberFormat="1" applyFont="1" applyFill="1" applyBorder="1" applyAlignment="1">
      <alignment horizontal="center" vertical="center"/>
    </xf>
    <xf numFmtId="14" fontId="6" fillId="0" borderId="0" xfId="0" applyNumberFormat="1" applyFont="1" applyFill="1" applyBorder="1" applyAlignment="1">
      <alignment horizontal="center" vertical="center" wrapText="1"/>
    </xf>
    <xf numFmtId="14" fontId="6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14" fontId="6" fillId="0" borderId="0" xfId="0" applyNumberFormat="1" applyFont="1" applyFill="1" applyBorder="1" applyAlignment="1">
      <alignment horizontal="center" vertical="center"/>
    </xf>
    <xf numFmtId="165" fontId="11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166" fontId="7" fillId="0" borderId="0" xfId="0" applyNumberFormat="1" applyFont="1" applyFill="1" applyBorder="1" applyAlignment="1">
      <alignment horizontal="center" vertical="center" wrapText="1"/>
    </xf>
    <xf numFmtId="2" fontId="6" fillId="0" borderId="0" xfId="0" applyNumberFormat="1" applyFont="1" applyBorder="1"/>
    <xf numFmtId="0" fontId="6" fillId="0" borderId="0" xfId="0" applyNumberFormat="1" applyFont="1" applyFill="1" applyBorder="1" applyAlignment="1">
      <alignment horizontal="center" vertical="center"/>
    </xf>
    <xf numFmtId="2" fontId="6" fillId="0" borderId="0" xfId="0" applyNumberFormat="1" applyFont="1"/>
    <xf numFmtId="0" fontId="6" fillId="0" borderId="0" xfId="0" applyFont="1" applyBorder="1" applyAlignment="1">
      <alignment horizontal="center" vertical="center"/>
    </xf>
    <xf numFmtId="14" fontId="7" fillId="0" borderId="0" xfId="0" applyNumberFormat="1" applyFont="1" applyBorder="1" applyAlignment="1">
      <alignment horizontal="center" vertical="center"/>
    </xf>
    <xf numFmtId="164" fontId="6" fillId="0" borderId="3" xfId="0" applyNumberFormat="1" applyFont="1" applyFill="1" applyBorder="1" applyAlignment="1">
      <alignment horizontal="center" vertical="center"/>
    </xf>
    <xf numFmtId="164" fontId="6" fillId="0" borderId="4" xfId="0" applyNumberFormat="1" applyFont="1" applyFill="1" applyBorder="1" applyAlignment="1">
      <alignment horizontal="center" vertical="center"/>
    </xf>
    <xf numFmtId="49" fontId="13" fillId="0" borderId="0" xfId="0" applyNumberFormat="1" applyFont="1" applyBorder="1" applyAlignment="1">
      <alignment horizontal="center" vertical="center" textRotation="90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164" fontId="6" fillId="0" borderId="0" xfId="0" applyNumberFormat="1" applyFont="1"/>
    <xf numFmtId="164" fontId="6" fillId="0" borderId="0" xfId="0" applyNumberFormat="1" applyFont="1" applyFill="1" applyAlignment="1">
      <alignment horizontal="center"/>
    </xf>
    <xf numFmtId="49" fontId="13" fillId="0" borderId="3" xfId="0" applyNumberFormat="1" applyFont="1" applyBorder="1" applyAlignment="1">
      <alignment horizontal="center" vertical="center" textRotation="90"/>
    </xf>
    <xf numFmtId="49" fontId="13" fillId="0" borderId="5" xfId="0" applyNumberFormat="1" applyFont="1" applyBorder="1" applyAlignment="1">
      <alignment horizontal="center" vertical="center" textRotation="90"/>
    </xf>
    <xf numFmtId="2" fontId="14" fillId="0" borderId="0" xfId="0" applyNumberFormat="1" applyFont="1" applyFill="1" applyAlignment="1">
      <alignment horizontal="center"/>
    </xf>
    <xf numFmtId="2" fontId="14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/>
    </xf>
    <xf numFmtId="0" fontId="6" fillId="0" borderId="0" xfId="0" applyFont="1" applyFill="1" applyBorder="1"/>
    <xf numFmtId="49" fontId="16" fillId="0" borderId="5" xfId="0" applyNumberFormat="1" applyFont="1" applyBorder="1" applyAlignment="1">
      <alignment horizontal="center" vertical="center" textRotation="90"/>
    </xf>
    <xf numFmtId="49" fontId="16" fillId="0" borderId="0" xfId="0" applyNumberFormat="1" applyFont="1" applyBorder="1" applyAlignment="1">
      <alignment horizontal="center" vertical="center" textRotation="90"/>
    </xf>
    <xf numFmtId="14" fontId="6" fillId="0" borderId="0" xfId="0" applyNumberFormat="1" applyFont="1" applyAlignment="1">
      <alignment horizontal="center" vertical="center"/>
    </xf>
    <xf numFmtId="2" fontId="10" fillId="0" borderId="3" xfId="0" applyNumberFormat="1" applyFont="1" applyFill="1" applyBorder="1" applyAlignment="1">
      <alignment horizontal="center" vertical="center"/>
    </xf>
    <xf numFmtId="2" fontId="10" fillId="0" borderId="7" xfId="0" applyNumberFormat="1" applyFont="1" applyFill="1" applyBorder="1" applyAlignment="1">
      <alignment horizontal="center" vertical="center"/>
    </xf>
    <xf numFmtId="2" fontId="6" fillId="0" borderId="8" xfId="0" applyNumberFormat="1" applyFont="1" applyFill="1" applyBorder="1" applyAlignment="1">
      <alignment horizontal="center" vertical="center"/>
    </xf>
    <xf numFmtId="2" fontId="6" fillId="0" borderId="7" xfId="0" applyNumberFormat="1" applyFont="1" applyFill="1" applyBorder="1" applyAlignment="1">
      <alignment horizontal="center" vertical="center"/>
    </xf>
    <xf numFmtId="14" fontId="6" fillId="0" borderId="3" xfId="0" applyNumberFormat="1" applyFont="1" applyFill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/>
    </xf>
    <xf numFmtId="14" fontId="6" fillId="0" borderId="3" xfId="0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49" fontId="16" fillId="0" borderId="3" xfId="0" applyNumberFormat="1" applyFont="1" applyBorder="1" applyAlignment="1">
      <alignment horizontal="center" vertical="center" textRotation="90"/>
    </xf>
    <xf numFmtId="49" fontId="17" fillId="0" borderId="5" xfId="0" applyNumberFormat="1" applyFont="1" applyBorder="1" applyAlignment="1">
      <alignment horizontal="center" vertical="center" textRotation="90"/>
    </xf>
    <xf numFmtId="49" fontId="17" fillId="0" borderId="0" xfId="0" applyNumberFormat="1" applyFont="1" applyBorder="1" applyAlignment="1">
      <alignment horizontal="center" vertical="center" textRotation="90"/>
    </xf>
    <xf numFmtId="0" fontId="6" fillId="0" borderId="0" xfId="0" applyFont="1" applyBorder="1" applyAlignment="1">
      <alignment horizontal="center" vertical="center" wrapText="1"/>
    </xf>
    <xf numFmtId="49" fontId="17" fillId="0" borderId="3" xfId="0" applyNumberFormat="1" applyFont="1" applyBorder="1" applyAlignment="1">
      <alignment horizontal="center" vertical="center" textRotation="90"/>
    </xf>
    <xf numFmtId="49" fontId="18" fillId="0" borderId="5" xfId="0" applyNumberFormat="1" applyFont="1" applyBorder="1" applyAlignment="1">
      <alignment horizontal="center" vertical="center" textRotation="90"/>
    </xf>
    <xf numFmtId="49" fontId="18" fillId="0" borderId="0" xfId="0" applyNumberFormat="1" applyFont="1" applyBorder="1" applyAlignment="1">
      <alignment horizontal="center" vertical="center" textRotation="90"/>
    </xf>
    <xf numFmtId="0" fontId="6" fillId="0" borderId="0" xfId="0" applyFont="1" applyAlignment="1">
      <alignment vertical="center"/>
    </xf>
    <xf numFmtId="49" fontId="18" fillId="0" borderId="3" xfId="0" applyNumberFormat="1" applyFont="1" applyBorder="1" applyAlignment="1">
      <alignment horizontal="center" vertical="center" textRotation="90"/>
    </xf>
    <xf numFmtId="0" fontId="17" fillId="0" borderId="5" xfId="0" applyFont="1" applyBorder="1" applyAlignment="1">
      <alignment horizontal="center" vertical="center" textRotation="90"/>
    </xf>
    <xf numFmtId="0" fontId="17" fillId="0" borderId="0" xfId="0" applyFont="1" applyBorder="1" applyAlignment="1">
      <alignment horizontal="center" vertical="center" textRotation="90"/>
    </xf>
    <xf numFmtId="2" fontId="10" fillId="0" borderId="0" xfId="0" applyNumberFormat="1" applyFont="1" applyFill="1" applyAlignment="1">
      <alignment horizontal="center" vertical="center"/>
    </xf>
    <xf numFmtId="2" fontId="6" fillId="0" borderId="0" xfId="0" applyNumberFormat="1" applyFont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3" borderId="0" xfId="0" applyFont="1" applyFill="1" applyAlignment="1">
      <alignment vertical="center"/>
    </xf>
    <xf numFmtId="0" fontId="17" fillId="0" borderId="3" xfId="0" applyFont="1" applyBorder="1" applyAlignment="1">
      <alignment horizontal="center" vertical="center" textRotation="90"/>
    </xf>
    <xf numFmtId="0" fontId="3" fillId="0" borderId="0" xfId="0" applyFont="1" applyAlignment="1">
      <alignment vertical="center"/>
    </xf>
    <xf numFmtId="0" fontId="1" fillId="4" borderId="0" xfId="0" applyFont="1" applyFill="1"/>
    <xf numFmtId="0" fontId="4" fillId="4" borderId="0" xfId="0" applyFont="1" applyFill="1"/>
    <xf numFmtId="0" fontId="6" fillId="4" borderId="0" xfId="0" applyFont="1" applyFill="1"/>
    <xf numFmtId="0" fontId="3" fillId="4" borderId="0" xfId="0" applyFont="1" applyFill="1"/>
    <xf numFmtId="0" fontId="21" fillId="4" borderId="0" xfId="3" applyFont="1" applyFill="1" applyAlignment="1">
      <alignment vertical="center"/>
    </xf>
    <xf numFmtId="0" fontId="4" fillId="4" borderId="0" xfId="0" applyFont="1" applyFill="1" applyAlignment="1">
      <alignment vertical="center"/>
    </xf>
    <xf numFmtId="0" fontId="6" fillId="4" borderId="0" xfId="0" applyFont="1" applyFill="1" applyBorder="1"/>
    <xf numFmtId="2" fontId="10" fillId="0" borderId="5" xfId="0" applyNumberFormat="1" applyFont="1" applyFill="1" applyBorder="1" applyAlignment="1">
      <alignment horizontal="center" vertical="center"/>
    </xf>
    <xf numFmtId="2" fontId="6" fillId="0" borderId="9" xfId="0" applyNumberFormat="1" applyFont="1" applyFill="1" applyBorder="1" applyAlignment="1">
      <alignment horizontal="center" vertical="center"/>
    </xf>
    <xf numFmtId="2" fontId="6" fillId="0" borderId="10" xfId="0" applyNumberFormat="1" applyFont="1" applyFill="1" applyBorder="1" applyAlignment="1">
      <alignment horizontal="center" vertical="center"/>
    </xf>
    <xf numFmtId="14" fontId="6" fillId="0" borderId="5" xfId="0" applyNumberFormat="1" applyFont="1" applyFill="1" applyBorder="1" applyAlignment="1">
      <alignment horizontal="center" vertical="center" wrapText="1"/>
    </xf>
    <xf numFmtId="14" fontId="6" fillId="0" borderId="5" xfId="0" applyNumberFormat="1" applyFont="1" applyBorder="1" applyAlignment="1">
      <alignment horizontal="center" vertical="center"/>
    </xf>
    <xf numFmtId="14" fontId="6" fillId="0" borderId="5" xfId="0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49" fontId="1" fillId="4" borderId="0" xfId="0" applyNumberFormat="1" applyFont="1" applyFill="1" applyAlignment="1">
      <alignment vertical="center"/>
    </xf>
    <xf numFmtId="164" fontId="11" fillId="4" borderId="5" xfId="0" applyNumberFormat="1" applyFont="1" applyFill="1" applyBorder="1" applyAlignment="1">
      <alignment horizontal="center"/>
    </xf>
    <xf numFmtId="0" fontId="11" fillId="4" borderId="5" xfId="0" applyFont="1" applyFill="1" applyBorder="1" applyAlignment="1"/>
    <xf numFmtId="0" fontId="1" fillId="4" borderId="0" xfId="0" applyFont="1" applyFill="1" applyAlignment="1">
      <alignment vertical="center"/>
    </xf>
    <xf numFmtId="0" fontId="6" fillId="4" borderId="0" xfId="0" applyFont="1" applyFill="1" applyAlignment="1">
      <alignment vertical="center"/>
    </xf>
    <xf numFmtId="0" fontId="1" fillId="4" borderId="0" xfId="1" applyNumberFormat="1" applyFont="1" applyFill="1" applyBorder="1" applyAlignment="1">
      <alignment horizontal="left" vertical="center"/>
    </xf>
    <xf numFmtId="0" fontId="4" fillId="4" borderId="0" xfId="0" applyFont="1" applyFill="1" applyBorder="1" applyAlignment="1">
      <alignment vertical="center"/>
    </xf>
    <xf numFmtId="0" fontId="6" fillId="4" borderId="0" xfId="0" applyFont="1" applyFill="1" applyBorder="1" applyAlignment="1">
      <alignment vertical="center"/>
    </xf>
    <xf numFmtId="0" fontId="1" fillId="4" borderId="0" xfId="0" applyFont="1" applyFill="1" applyBorder="1" applyAlignment="1">
      <alignment vertical="center"/>
    </xf>
    <xf numFmtId="0" fontId="1" fillId="4" borderId="0" xfId="0" applyFont="1" applyFill="1" applyBorder="1" applyAlignment="1">
      <alignment horizontal="left" vertical="center"/>
    </xf>
    <xf numFmtId="49" fontId="1" fillId="4" borderId="0" xfId="0" applyNumberFormat="1" applyFont="1" applyFill="1" applyBorder="1" applyAlignment="1">
      <alignment horizontal="left" vertical="center"/>
    </xf>
    <xf numFmtId="0" fontId="4" fillId="4" borderId="0" xfId="0" applyFont="1" applyFill="1" applyBorder="1" applyAlignment="1">
      <alignment horizontal="left" vertical="center"/>
    </xf>
    <xf numFmtId="0" fontId="22" fillId="0" borderId="0" xfId="0" applyFont="1" applyAlignment="1">
      <alignment horizontal="left"/>
    </xf>
    <xf numFmtId="0" fontId="6" fillId="0" borderId="0" xfId="0" applyFont="1" applyAlignment="1"/>
    <xf numFmtId="14" fontId="15" fillId="0" borderId="0" xfId="0" applyNumberFormat="1" applyFont="1" applyFill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2" fontId="1" fillId="0" borderId="0" xfId="0" applyNumberFormat="1" applyFont="1" applyAlignment="1">
      <alignment vertical="center"/>
    </xf>
    <xf numFmtId="0" fontId="18" fillId="0" borderId="5" xfId="0" applyFont="1" applyBorder="1" applyAlignment="1">
      <alignment horizontal="center" vertical="center" textRotation="90"/>
    </xf>
    <xf numFmtId="0" fontId="18" fillId="0" borderId="0" xfId="0" applyFont="1" applyBorder="1" applyAlignment="1">
      <alignment horizontal="center" vertical="center" textRotation="90"/>
    </xf>
    <xf numFmtId="0" fontId="18" fillId="0" borderId="3" xfId="0" applyFont="1" applyBorder="1" applyAlignment="1">
      <alignment horizontal="center" vertical="center" textRotation="90"/>
    </xf>
    <xf numFmtId="0" fontId="0" fillId="0" borderId="0" xfId="0" applyFill="1"/>
    <xf numFmtId="0" fontId="0" fillId="0" borderId="0" xfId="0" applyAlignment="1">
      <alignment horizontal="center"/>
    </xf>
    <xf numFmtId="0" fontId="0" fillId="0" borderId="0" xfId="0" applyBorder="1"/>
    <xf numFmtId="0" fontId="0" fillId="3" borderId="0" xfId="0" applyFill="1"/>
    <xf numFmtId="2" fontId="14" fillId="0" borderId="5" xfId="0" applyNumberFormat="1" applyFont="1" applyFill="1" applyBorder="1" applyAlignment="1">
      <alignment horizontal="center" vertical="center"/>
    </xf>
    <xf numFmtId="49" fontId="23" fillId="0" borderId="5" xfId="0" applyNumberFormat="1" applyFont="1" applyBorder="1" applyAlignment="1">
      <alignment vertical="center" textRotation="90"/>
    </xf>
    <xf numFmtId="2" fontId="14" fillId="0" borderId="0" xfId="0" applyNumberFormat="1" applyFont="1" applyFill="1" applyAlignment="1">
      <alignment horizontal="center" vertical="center"/>
    </xf>
    <xf numFmtId="49" fontId="23" fillId="0" borderId="0" xfId="0" applyNumberFormat="1" applyFont="1" applyBorder="1" applyAlignment="1">
      <alignment vertical="center" textRotation="90"/>
    </xf>
    <xf numFmtId="2" fontId="14" fillId="0" borderId="1" xfId="0" applyNumberFormat="1" applyFont="1" applyFill="1" applyBorder="1" applyAlignment="1">
      <alignment horizontal="center" vertical="center"/>
    </xf>
    <xf numFmtId="0" fontId="24" fillId="0" borderId="0" xfId="0" applyFont="1" applyAlignment="1"/>
    <xf numFmtId="14" fontId="6" fillId="0" borderId="0" xfId="0" applyNumberFormat="1" applyFont="1" applyFill="1" applyAlignment="1">
      <alignment horizontal="center" vertical="center" wrapText="1"/>
    </xf>
    <xf numFmtId="14" fontId="6" fillId="0" borderId="0" xfId="0" applyNumberFormat="1" applyFont="1" applyFill="1" applyAlignment="1">
      <alignment horizontal="center" vertical="center"/>
    </xf>
    <xf numFmtId="2" fontId="14" fillId="0" borderId="10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/>
    </xf>
    <xf numFmtId="2" fontId="6" fillId="0" borderId="11" xfId="0" applyNumberFormat="1" applyFont="1" applyFill="1" applyBorder="1" applyAlignment="1">
      <alignment horizontal="center" vertical="center"/>
    </xf>
    <xf numFmtId="2" fontId="6" fillId="0" borderId="12" xfId="0" applyNumberFormat="1" applyFont="1" applyFill="1" applyBorder="1" applyAlignment="1">
      <alignment horizontal="center" vertical="center"/>
    </xf>
    <xf numFmtId="0" fontId="26" fillId="0" borderId="13" xfId="0" applyFont="1" applyBorder="1" applyAlignment="1">
      <alignment horizontal="center" vertical="center" wrapText="1"/>
    </xf>
    <xf numFmtId="2" fontId="27" fillId="0" borderId="14" xfId="0" applyNumberFormat="1" applyFont="1" applyFill="1" applyBorder="1" applyAlignment="1">
      <alignment horizontal="center" vertical="center"/>
    </xf>
    <xf numFmtId="2" fontId="27" fillId="0" borderId="14" xfId="0" applyNumberFormat="1" applyFont="1" applyFill="1" applyBorder="1" applyAlignment="1">
      <alignment horizontal="center" vertical="center" wrapText="1"/>
    </xf>
    <xf numFmtId="2" fontId="26" fillId="0" borderId="14" xfId="0" applyNumberFormat="1" applyFont="1" applyFill="1" applyBorder="1" applyAlignment="1">
      <alignment horizontal="center" vertical="center"/>
    </xf>
    <xf numFmtId="0" fontId="26" fillId="0" borderId="14" xfId="0" applyFont="1" applyFill="1" applyBorder="1" applyAlignment="1">
      <alignment horizontal="center" vertical="center" wrapText="1"/>
    </xf>
    <xf numFmtId="0" fontId="26" fillId="0" borderId="14" xfId="0" applyFont="1" applyFill="1" applyBorder="1" applyAlignment="1">
      <alignment horizontal="center" vertical="center"/>
    </xf>
    <xf numFmtId="0" fontId="28" fillId="0" borderId="0" xfId="0" applyFont="1" applyAlignment="1"/>
    <xf numFmtId="165" fontId="29" fillId="0" borderId="0" xfId="0" applyNumberFormat="1" applyFont="1" applyAlignment="1">
      <alignment horizontal="center" vertical="center"/>
    </xf>
    <xf numFmtId="0" fontId="30" fillId="0" borderId="0" xfId="0" applyFont="1" applyAlignment="1"/>
    <xf numFmtId="0" fontId="30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6" fillId="0" borderId="0" xfId="0" applyNumberFormat="1" applyFont="1"/>
    <xf numFmtId="0" fontId="29" fillId="0" borderId="0" xfId="0" applyNumberFormat="1" applyFont="1" applyAlignment="1">
      <alignment horizontal="center" vertical="center"/>
    </xf>
    <xf numFmtId="14" fontId="31" fillId="0" borderId="0" xfId="0" applyNumberFormat="1" applyFont="1" applyAlignment="1">
      <alignment wrapText="1"/>
    </xf>
    <xf numFmtId="14" fontId="3" fillId="0" borderId="0" xfId="0" applyNumberFormat="1" applyFont="1" applyAlignment="1"/>
    <xf numFmtId="164" fontId="3" fillId="0" borderId="0" xfId="0" applyNumberFormat="1" applyFont="1"/>
    <xf numFmtId="164" fontId="30" fillId="0" borderId="0" xfId="0" applyNumberFormat="1" applyFont="1" applyAlignment="1"/>
    <xf numFmtId="164" fontId="7" fillId="0" borderId="0" xfId="0" applyNumberFormat="1" applyFont="1" applyAlignment="1">
      <alignment horizontal="center"/>
    </xf>
    <xf numFmtId="164" fontId="7" fillId="0" borderId="0" xfId="0" applyNumberFormat="1" applyFont="1"/>
    <xf numFmtId="165" fontId="7" fillId="0" borderId="0" xfId="0" applyNumberFormat="1" applyFont="1" applyAlignment="1">
      <alignment horizontal="center" vertical="center"/>
    </xf>
    <xf numFmtId="164" fontId="6" fillId="0" borderId="15" xfId="0" applyNumberFormat="1" applyFont="1" applyBorder="1" applyAlignment="1">
      <alignment horizontal="center" vertical="center"/>
    </xf>
    <xf numFmtId="164" fontId="6" fillId="0" borderId="16" xfId="0" applyNumberFormat="1" applyFont="1" applyBorder="1" applyAlignment="1">
      <alignment horizontal="center"/>
    </xf>
    <xf numFmtId="164" fontId="6" fillId="5" borderId="17" xfId="0" applyNumberFormat="1" applyFont="1" applyFill="1" applyBorder="1"/>
    <xf numFmtId="164" fontId="6" fillId="6" borderId="17" xfId="0" applyNumberFormat="1" applyFont="1" applyFill="1" applyBorder="1"/>
    <xf numFmtId="49" fontId="6" fillId="0" borderId="18" xfId="0" applyNumberFormat="1" applyFont="1" applyBorder="1" applyAlignment="1">
      <alignment horizontal="center" vertical="center"/>
    </xf>
    <xf numFmtId="164" fontId="6" fillId="0" borderId="19" xfId="0" applyNumberFormat="1" applyFont="1" applyBorder="1" applyAlignment="1">
      <alignment horizontal="center" vertical="center"/>
    </xf>
    <xf numFmtId="164" fontId="6" fillId="0" borderId="20" xfId="0" applyNumberFormat="1" applyFont="1" applyBorder="1" applyAlignment="1">
      <alignment horizontal="center"/>
    </xf>
    <xf numFmtId="164" fontId="6" fillId="5" borderId="21" xfId="0" applyNumberFormat="1" applyFont="1" applyFill="1" applyBorder="1"/>
    <xf numFmtId="164" fontId="6" fillId="6" borderId="21" xfId="0" applyNumberFormat="1" applyFont="1" applyFill="1" applyBorder="1"/>
    <xf numFmtId="49" fontId="6" fillId="0" borderId="22" xfId="0" applyNumberFormat="1" applyFont="1" applyBorder="1" applyAlignment="1">
      <alignment horizontal="center" vertical="center"/>
    </xf>
    <xf numFmtId="164" fontId="6" fillId="0" borderId="23" xfId="0" applyNumberFormat="1" applyFont="1" applyBorder="1" applyAlignment="1">
      <alignment horizontal="center" vertical="center"/>
    </xf>
    <xf numFmtId="164" fontId="6" fillId="0" borderId="24" xfId="0" applyNumberFormat="1" applyFont="1" applyBorder="1" applyAlignment="1">
      <alignment horizontal="center"/>
    </xf>
    <xf numFmtId="164" fontId="6" fillId="5" borderId="25" xfId="0" applyNumberFormat="1" applyFont="1" applyFill="1" applyBorder="1"/>
    <xf numFmtId="164" fontId="6" fillId="6" borderId="25" xfId="0" applyNumberFormat="1" applyFont="1" applyFill="1" applyBorder="1"/>
    <xf numFmtId="164" fontId="6" fillId="0" borderId="26" xfId="0" applyNumberFormat="1" applyFont="1" applyBorder="1" applyAlignment="1">
      <alignment horizontal="center" vertical="center"/>
    </xf>
    <xf numFmtId="164" fontId="6" fillId="5" borderId="27" xfId="0" applyNumberFormat="1" applyFont="1" applyFill="1" applyBorder="1"/>
    <xf numFmtId="164" fontId="6" fillId="6" borderId="27" xfId="0" applyNumberFormat="1" applyFont="1" applyFill="1" applyBorder="1"/>
    <xf numFmtId="164" fontId="6" fillId="0" borderId="28" xfId="0" applyNumberFormat="1" applyFont="1" applyBorder="1" applyAlignment="1">
      <alignment horizontal="center" vertical="center"/>
    </xf>
    <xf numFmtId="164" fontId="31" fillId="0" borderId="0" xfId="0" applyNumberFormat="1" applyFont="1" applyAlignment="1">
      <alignment vertical="center" wrapText="1"/>
    </xf>
    <xf numFmtId="164" fontId="3" fillId="0" borderId="0" xfId="0" applyNumberFormat="1" applyFont="1" applyAlignment="1">
      <alignment vertical="center"/>
    </xf>
    <xf numFmtId="14" fontId="3" fillId="0" borderId="0" xfId="0" applyNumberFormat="1" applyFont="1" applyAlignment="1">
      <alignment vertical="center"/>
    </xf>
    <xf numFmtId="164" fontId="6" fillId="0" borderId="29" xfId="0" applyNumberFormat="1" applyFont="1" applyBorder="1" applyAlignment="1">
      <alignment horizontal="center" vertical="center"/>
    </xf>
    <xf numFmtId="164" fontId="0" fillId="0" borderId="0" xfId="0" applyNumberFormat="1" applyFont="1" applyAlignment="1">
      <alignment vertical="center"/>
    </xf>
    <xf numFmtId="49" fontId="6" fillId="0" borderId="30" xfId="0" applyNumberFormat="1" applyFont="1" applyBorder="1" applyAlignment="1">
      <alignment horizontal="center" vertical="center"/>
    </xf>
    <xf numFmtId="0" fontId="29" fillId="0" borderId="0" xfId="0" applyFont="1"/>
    <xf numFmtId="0" fontId="29" fillId="0" borderId="0" xfId="0" applyFont="1" applyFill="1"/>
    <xf numFmtId="0" fontId="29" fillId="0" borderId="0" xfId="0" applyFont="1" applyAlignment="1">
      <alignment horizontal="center"/>
    </xf>
    <xf numFmtId="0" fontId="29" fillId="0" borderId="0" xfId="0" applyFont="1" applyBorder="1"/>
    <xf numFmtId="0" fontId="32" fillId="4" borderId="0" xfId="0" applyFont="1" applyFill="1"/>
    <xf numFmtId="0" fontId="29" fillId="4" borderId="0" xfId="0" applyFont="1" applyFill="1"/>
    <xf numFmtId="0" fontId="32" fillId="0" borderId="0" xfId="0" applyFont="1" applyAlignment="1">
      <alignment horizontal="center" wrapText="1"/>
    </xf>
    <xf numFmtId="0" fontId="33" fillId="4" borderId="0" xfId="0" applyFont="1" applyFill="1"/>
    <xf numFmtId="0" fontId="33" fillId="0" borderId="0" xfId="0" applyFont="1" applyFill="1"/>
    <xf numFmtId="164" fontId="29" fillId="0" borderId="31" xfId="0" applyNumberFormat="1" applyFont="1" applyBorder="1" applyAlignment="1">
      <alignment horizontal="center" vertical="center"/>
    </xf>
    <xf numFmtId="0" fontId="29" fillId="0" borderId="32" xfId="0" applyFont="1" applyFill="1" applyBorder="1" applyAlignment="1">
      <alignment horizontal="right" vertical="center"/>
    </xf>
    <xf numFmtId="0" fontId="29" fillId="0" borderId="33" xfId="0" applyFont="1" applyFill="1" applyBorder="1" applyAlignment="1">
      <alignment horizontal="right" vertical="center"/>
    </xf>
    <xf numFmtId="0" fontId="32" fillId="4" borderId="0" xfId="0" applyFont="1" applyFill="1" applyAlignment="1">
      <alignment vertical="center"/>
    </xf>
    <xf numFmtId="0" fontId="29" fillId="4" borderId="0" xfId="0" applyFont="1" applyFill="1" applyBorder="1"/>
    <xf numFmtId="0" fontId="29" fillId="0" borderId="0" xfId="0" applyFont="1" applyFill="1" applyBorder="1"/>
    <xf numFmtId="49" fontId="29" fillId="4" borderId="0" xfId="0" applyNumberFormat="1" applyFont="1" applyFill="1" applyAlignment="1">
      <alignment vertical="center"/>
    </xf>
    <xf numFmtId="164" fontId="32" fillId="4" borderId="34" xfId="0" applyNumberFormat="1" applyFont="1" applyFill="1" applyBorder="1" applyAlignment="1">
      <alignment horizontal="center" vertical="center"/>
    </xf>
    <xf numFmtId="164" fontId="13" fillId="4" borderId="5" xfId="0" applyNumberFormat="1" applyFont="1" applyFill="1" applyBorder="1" applyAlignment="1">
      <alignment horizontal="center" vertical="center"/>
    </xf>
    <xf numFmtId="0" fontId="32" fillId="4" borderId="5" xfId="0" applyFont="1" applyFill="1" applyBorder="1" applyAlignment="1">
      <alignment horizontal="right" vertical="center"/>
    </xf>
    <xf numFmtId="164" fontId="7" fillId="0" borderId="24" xfId="0" applyNumberFormat="1" applyFont="1" applyBorder="1" applyAlignment="1">
      <alignment horizontal="center"/>
    </xf>
    <xf numFmtId="164" fontId="7" fillId="5" borderId="27" xfId="0" applyNumberFormat="1" applyFont="1" applyFill="1" applyBorder="1"/>
    <xf numFmtId="164" fontId="7" fillId="6" borderId="27" xfId="0" applyNumberFormat="1" applyFont="1" applyFill="1" applyBorder="1"/>
    <xf numFmtId="49" fontId="7" fillId="0" borderId="30" xfId="0" applyNumberFormat="1" applyFont="1" applyBorder="1" applyAlignment="1">
      <alignment horizontal="center" vertical="center"/>
    </xf>
    <xf numFmtId="164" fontId="29" fillId="0" borderId="0" xfId="0" applyNumberFormat="1" applyFont="1" applyAlignment="1">
      <alignment horizontal="center" vertical="center"/>
    </xf>
    <xf numFmtId="164" fontId="32" fillId="0" borderId="0" xfId="0" applyNumberFormat="1" applyFont="1" applyAlignment="1">
      <alignment horizontal="center" vertical="center"/>
    </xf>
    <xf numFmtId="164" fontId="34" fillId="0" borderId="0" xfId="0" applyNumberFormat="1" applyFont="1" applyAlignment="1">
      <alignment vertical="center"/>
    </xf>
    <xf numFmtId="0" fontId="29" fillId="4" borderId="0" xfId="0" applyFont="1" applyFill="1" applyAlignment="1">
      <alignment vertical="center"/>
    </xf>
    <xf numFmtId="0" fontId="29" fillId="4" borderId="0" xfId="1" applyNumberFormat="1" applyFont="1" applyFill="1" applyBorder="1" applyAlignment="1">
      <alignment horizontal="left" vertical="center"/>
    </xf>
    <xf numFmtId="0" fontId="32" fillId="4" borderId="0" xfId="0" applyFont="1" applyFill="1" applyBorder="1" applyAlignment="1">
      <alignment horizontal="right" vertical="center"/>
    </xf>
    <xf numFmtId="164" fontId="6" fillId="0" borderId="35" xfId="0" applyNumberFormat="1" applyFont="1" applyBorder="1" applyAlignment="1">
      <alignment horizontal="center" vertical="center"/>
    </xf>
    <xf numFmtId="164" fontId="6" fillId="0" borderId="36" xfId="0" applyNumberFormat="1" applyFont="1" applyBorder="1" applyAlignment="1">
      <alignment horizontal="center"/>
    </xf>
    <xf numFmtId="49" fontId="6" fillId="0" borderId="37" xfId="0" applyNumberFormat="1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4" borderId="0" xfId="0" applyFont="1" applyFill="1" applyBorder="1" applyAlignment="1">
      <alignment horizontal="left" vertical="center"/>
    </xf>
    <xf numFmtId="0" fontId="6" fillId="0" borderId="38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/>
    </xf>
    <xf numFmtId="0" fontId="6" fillId="5" borderId="40" xfId="0" applyFont="1" applyFill="1" applyBorder="1" applyAlignment="1">
      <alignment horizontal="center" vertical="center"/>
    </xf>
    <xf numFmtId="0" fontId="6" fillId="6" borderId="39" xfId="0" applyFont="1" applyFill="1" applyBorder="1" applyAlignment="1">
      <alignment horizontal="center" vertical="center"/>
    </xf>
    <xf numFmtId="0" fontId="7" fillId="0" borderId="15" xfId="0" applyFont="1" applyBorder="1" applyAlignment="1">
      <alignment horizontal="left"/>
    </xf>
    <xf numFmtId="0" fontId="29" fillId="0" borderId="0" xfId="0" applyFont="1" applyFill="1" applyAlignment="1">
      <alignment vertical="center"/>
    </xf>
    <xf numFmtId="49" fontId="29" fillId="4" borderId="0" xfId="0" applyNumberFormat="1" applyFont="1" applyFill="1" applyBorder="1" applyAlignment="1">
      <alignment vertical="center"/>
    </xf>
    <xf numFmtId="0" fontId="35" fillId="0" borderId="0" xfId="0" applyFont="1" applyAlignment="1"/>
    <xf numFmtId="0" fontId="36" fillId="0" borderId="0" xfId="0" applyFont="1"/>
    <xf numFmtId="0" fontId="6" fillId="7" borderId="0" xfId="0" applyFont="1" applyFill="1"/>
    <xf numFmtId="0" fontId="7" fillId="0" borderId="0" xfId="0" applyFont="1" applyAlignment="1">
      <alignment horizontal="center" wrapText="1"/>
    </xf>
    <xf numFmtId="0" fontId="6" fillId="7" borderId="0" xfId="0" applyFont="1" applyFill="1" applyBorder="1"/>
    <xf numFmtId="0" fontId="29" fillId="0" borderId="0" xfId="0" applyNumberFormat="1" applyFont="1" applyAlignment="1">
      <alignment horizontal="left" vertical="center"/>
    </xf>
    <xf numFmtId="0" fontId="29" fillId="0" borderId="0" xfId="0" applyNumberFormat="1" applyFont="1" applyFill="1" applyAlignment="1">
      <alignment horizontal="left" vertical="center"/>
    </xf>
    <xf numFmtId="0" fontId="29" fillId="0" borderId="0" xfId="0" applyNumberFormat="1" applyFont="1" applyBorder="1" applyAlignment="1">
      <alignment horizontal="left" vertical="center"/>
    </xf>
    <xf numFmtId="164" fontId="37" fillId="0" borderId="0" xfId="0" applyNumberFormat="1" applyFont="1" applyAlignment="1">
      <alignment vertical="center"/>
    </xf>
    <xf numFmtId="0" fontId="38" fillId="0" borderId="0" xfId="0" applyNumberFormat="1" applyFont="1" applyAlignment="1">
      <alignment horizontal="left" vertical="center"/>
    </xf>
    <xf numFmtId="0" fontId="39" fillId="0" borderId="0" xfId="0" applyNumberFormat="1" applyFont="1" applyAlignment="1">
      <alignment horizontal="left" vertical="center"/>
    </xf>
    <xf numFmtId="0" fontId="40" fillId="0" borderId="0" xfId="0" applyNumberFormat="1" applyFont="1" applyAlignment="1">
      <alignment horizontal="left" vertical="center"/>
    </xf>
    <xf numFmtId="0" fontId="32" fillId="0" borderId="0" xfId="0" applyNumberFormat="1" applyFont="1" applyAlignment="1">
      <alignment horizontal="center" vertical="center" wrapText="1"/>
    </xf>
  </cellXfs>
  <cellStyles count="4">
    <cellStyle name="Lien hypertexte" xfId="3" builtinId="8"/>
    <cellStyle name="Monétaire" xfId="1" builtinId="4"/>
    <cellStyle name="Normal" xfId="0" builtinId="0"/>
    <cellStyle name="Pourcentage" xfId="2" builtinId="5"/>
  </cellStyles>
  <dxfs count="53"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font>
        <color theme="5"/>
      </font>
    </dxf>
    <dxf>
      <font>
        <b val="0"/>
        <i val="0"/>
        <strike val="0"/>
        <color rgb="FFFF6699"/>
      </font>
      <fill>
        <patternFill patternType="none">
          <bgColor auto="1"/>
        </patternFill>
      </fill>
    </dxf>
    <dxf>
      <font>
        <color rgb="FF00B050"/>
      </font>
    </dxf>
    <dxf>
      <font>
        <color rgb="FFFF0000"/>
      </font>
    </dxf>
    <dxf>
      <font>
        <color theme="5"/>
      </font>
    </dxf>
    <dxf>
      <font>
        <b val="0"/>
        <i val="0"/>
        <strike val="0"/>
        <color rgb="FFFF6699"/>
      </font>
      <fill>
        <patternFill patternType="none">
          <bgColor auto="1"/>
        </patternFill>
      </fill>
    </dxf>
    <dxf>
      <font>
        <color rgb="FF00B050"/>
      </font>
    </dxf>
    <dxf>
      <font>
        <color rgb="FFFF0000"/>
      </font>
    </dxf>
    <dxf>
      <font>
        <color auto="1"/>
      </font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ont>
        <color auto="1"/>
      </font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ont>
        <color auto="1"/>
      </font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ont>
        <color auto="1"/>
      </font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border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vantGarde Bk BT"/>
        <scheme val="none"/>
      </font>
      <numFmt numFmtId="164" formatCode="#,##0.00\ &quot;€&quot;"/>
      <fill>
        <patternFill patternType="solid">
          <fgColor indexed="64"/>
          <bgColor rgb="FF0070C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ck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vantGarde Bk BT"/>
        <scheme val="none"/>
      </font>
      <numFmt numFmtId="164" formatCode="#,##0.00\ &quot;€&quot;"/>
      <fill>
        <patternFill patternType="solid">
          <fgColor indexed="64"/>
          <bgColor rgb="FF0070C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ck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vantGarde Bk BT"/>
        <scheme val="none"/>
      </font>
      <numFmt numFmtId="164" formatCode="#,##0.00\ &quot;€&quot;"/>
      <fill>
        <patternFill patternType="solid">
          <fgColor indexed="64"/>
          <bgColor rgb="FF0070C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ck">
          <color auto="1"/>
        </top>
        <bottom/>
      </border>
    </dxf>
    <dxf>
      <border diagonalUp="0" diagonalDown="0">
        <left/>
        <right style="dashed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vantGarde Bk BT"/>
        <scheme val="none"/>
      </font>
      <numFmt numFmtId="164" formatCode="#,##0.00\ &quot;€&quot;"/>
      <fill>
        <patternFill patternType="solid">
          <fgColor indexed="64"/>
          <bgColor rgb="FF0070C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ck">
          <color auto="1"/>
        </top>
        <bottom/>
      </border>
    </dxf>
    <dxf>
      <border diagonalUp="0" diagonalDown="0">
        <left style="dashed">
          <color auto="1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vantGarde Bk BT"/>
        <scheme val="none"/>
      </font>
      <numFmt numFmtId="164" formatCode="#,##0.00\ &quot;€&quot;"/>
      <fill>
        <patternFill patternType="solid">
          <fgColor indexed="64"/>
          <bgColor rgb="FF0070C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ck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numFmt numFmtId="19" formatCode="dd/mm/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vantGarde Bk BT"/>
        <scheme val="none"/>
      </font>
      <fill>
        <patternFill patternType="solid">
          <fgColor indexed="64"/>
          <bgColor rgb="FF0070C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ck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vantGarde Bk BT"/>
        <scheme val="none"/>
      </font>
      <fill>
        <patternFill patternType="solid">
          <fgColor indexed="64"/>
          <bgColor rgb="FF0070C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ck">
          <color auto="1"/>
        </top>
        <bottom/>
      </border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vantGarde Bk BT"/>
        <scheme val="none"/>
      </font>
      <fill>
        <patternFill patternType="solid">
          <fgColor indexed="64"/>
          <bgColor rgb="FF0070C0"/>
        </patternFill>
      </fill>
      <border diagonalUp="0" diagonalDown="0" outline="0">
        <left/>
        <right/>
        <top style="thick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vantGarde Bk BT"/>
        <scheme val="none"/>
      </font>
      <fill>
        <patternFill patternType="solid">
          <fgColor indexed="64"/>
          <bgColor rgb="FF0070C0"/>
        </patternFill>
      </fill>
      <border diagonalUp="0" diagonalDown="0" outline="0">
        <left/>
        <right/>
        <top style="thick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66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vantGarde Bk BT"/>
        <scheme val="none"/>
      </font>
      <fill>
        <patternFill patternType="solid">
          <fgColor indexed="64"/>
          <bgColor rgb="FF0070C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ck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vantGarde Bk BT"/>
        <scheme val="none"/>
      </font>
      <fill>
        <patternFill patternType="solid">
          <fgColor indexed="64"/>
          <bgColor rgb="FF0070C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ck">
          <color auto="1"/>
        </top>
        <bottom/>
      </border>
    </dxf>
    <dxf>
      <font>
        <strike val="0"/>
        <outline val="0"/>
        <shadow val="0"/>
        <vertAlign val="baseline"/>
        <name val="Century Gothic"/>
        <scheme val="none"/>
      </font>
    </dxf>
    <dxf>
      <fill>
        <patternFill>
          <bgColor theme="4" tint="0.79998168889431442"/>
        </patternFill>
      </fill>
    </dxf>
    <dxf>
      <border>
        <top style="thick">
          <color theme="8"/>
        </top>
        <bottom style="thick">
          <color theme="8"/>
        </bottom>
      </border>
    </dxf>
  </dxfs>
  <tableStyles count="1" defaultTableStyle="TableStyleMedium2" defaultPivotStyle="PivotStyleLight16">
    <tableStyle name="Style de tableau 1" pivot="0" count="2">
      <tableStyleElement type="headerRow" dxfId="52"/>
      <tableStyleElement type="firstRowStripe" dxfId="5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7893081826233904E-2"/>
          <c:y val="3.7817620531530101E-2"/>
          <c:w val="0.89743230075658498"/>
          <c:h val="0.93025671726101999"/>
        </c:manualLayout>
      </c:layout>
      <c:barChart>
        <c:barDir val="col"/>
        <c:grouping val="clustered"/>
        <c:varyColors val="0"/>
        <c:ser>
          <c:idx val="0"/>
          <c:order val="0"/>
          <c:tx>
            <c:v>CA 2014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chemeClr val="accent5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12"/>
              <c:pt idx="0">
                <c:v>Janvier</c:v>
              </c:pt>
              <c:pt idx="1">
                <c:v>Février</c:v>
              </c:pt>
              <c:pt idx="2">
                <c:v>Mars</c:v>
              </c:pt>
              <c:pt idx="3">
                <c:v>Avril</c:v>
              </c:pt>
              <c:pt idx="4">
                <c:v>Mai</c:v>
              </c:pt>
              <c:pt idx="5">
                <c:v>Juin</c:v>
              </c:pt>
              <c:pt idx="6">
                <c:v>Juillet</c:v>
              </c:pt>
              <c:pt idx="7">
                <c:v>Août</c:v>
              </c:pt>
              <c:pt idx="8">
                <c:v>Septembre</c:v>
              </c:pt>
              <c:pt idx="9">
                <c:v>Octobre</c:v>
              </c:pt>
              <c:pt idx="10">
                <c:v>Novembre</c:v>
              </c:pt>
              <c:pt idx="11">
                <c:v>Décembre</c:v>
              </c:pt>
            </c:strLit>
          </c:cat>
          <c:val>
            <c:numRef>
              <c:f>('Compte Bancaire'!$R$95,'Compte Bancaire'!$R$114,'Compte Bancaire'!$R$128,'Compte Bancaire'!$R$148,'Compte Bancaire'!$R$167,'Compte Bancaire'!$R$188,'Compte Bancaire'!$R$222,'Compte Bancaire'!$R$235,'Compte Bancaire'!$R$252,'Compte Bancaire'!$R$281,'Compte Bancaire'!$R$297,'Compte Bancaire'!$R$317)</c:f>
            </c:numRef>
          </c:val>
          <c:extLst>
            <c:ext xmlns:c16="http://schemas.microsoft.com/office/drawing/2014/chart" uri="{C3380CC4-5D6E-409C-BE32-E72D297353CC}">
              <c16:uniqueId val="{00000000-B0BC-4FE2-ACC6-683B0326FEDB}"/>
            </c:ext>
          </c:extLst>
        </c:ser>
        <c:ser>
          <c:idx val="1"/>
          <c:order val="1"/>
          <c:tx>
            <c:v>CA 2015</c:v>
          </c:tx>
          <c:spPr>
            <a:solidFill>
              <a:srgbClr val="FF669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rgbClr val="FF6699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Lit>
              <c:ptCount val="12"/>
              <c:pt idx="0">
                <c:v>Janvier</c:v>
              </c:pt>
              <c:pt idx="1">
                <c:v>Février</c:v>
              </c:pt>
              <c:pt idx="2">
                <c:v>Mars</c:v>
              </c:pt>
              <c:pt idx="3">
                <c:v>Avril</c:v>
              </c:pt>
              <c:pt idx="4">
                <c:v>Mai</c:v>
              </c:pt>
              <c:pt idx="5">
                <c:v>Juin</c:v>
              </c:pt>
              <c:pt idx="6">
                <c:v>Juillet</c:v>
              </c:pt>
              <c:pt idx="7">
                <c:v>Août</c:v>
              </c:pt>
              <c:pt idx="8">
                <c:v>Septembre</c:v>
              </c:pt>
              <c:pt idx="9">
                <c:v>Octobre</c:v>
              </c:pt>
              <c:pt idx="10">
                <c:v>Novembre</c:v>
              </c:pt>
              <c:pt idx="11">
                <c:v>Décembre</c:v>
              </c:pt>
            </c:strLit>
          </c:cat>
          <c:val>
            <c:numRef>
              <c:f>('Compte Bancaire'!$R$343,'Compte Bancaire'!$R$367,'Compte Bancaire'!$R$385,'Compte Bancaire'!$R$411,'Compte Bancaire'!$R$435,'Compte Bancaire'!$R$456,'Compte Bancaire'!$R$486,'Compte Bancaire'!$R$518,'Compte Bancaire'!$R$539,'Compte Bancaire'!$R$568,'Compte Bancaire'!$R$588,'Compte Bancaire'!$R$613)</c:f>
            </c:numRef>
          </c:val>
          <c:extLst>
            <c:ext xmlns:c16="http://schemas.microsoft.com/office/drawing/2014/chart" uri="{C3380CC4-5D6E-409C-BE32-E72D297353CC}">
              <c16:uniqueId val="{00000001-B0BC-4FE2-ACC6-683B0326FEDB}"/>
            </c:ext>
          </c:extLst>
        </c:ser>
        <c:ser>
          <c:idx val="2"/>
          <c:order val="2"/>
          <c:tx>
            <c:v>CA2016</c:v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numFmt formatCode="#,##0.00\ &quot;€&quot;" sourceLinked="0"/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rgbClr val="00B05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2700" cap="rnd">
                <a:solidFill>
                  <a:srgbClr val="FF0000"/>
                </a:solidFill>
                <a:prstDash val="dash"/>
              </a:ln>
              <a:effectLst/>
            </c:spPr>
            <c:trendlineType val="poly"/>
            <c:order val="6"/>
            <c:dispRSqr val="0"/>
            <c:dispEq val="0"/>
          </c:trendline>
          <c:val>
            <c:numRef>
              <c:f>('Compte Bancaire'!$R$641,'Compte Bancaire'!$R$668,'Compte Bancaire'!$R$691,'Compte Bancaire'!$R$722,'Compte Bancaire'!$R$749,'Compte Bancaire'!$R$769,'Compte Bancaire'!$R$801,'Compte Bancaire'!$R$831,'Compte Bancaire'!$R$854,'Compte Bancaire'!$R$883,'Compte Bancaire'!$R$909,'Compte Bancaire'!$R$935)</c:f>
            </c:numRef>
          </c:val>
          <c:extLst>
            <c:ext xmlns:c16="http://schemas.microsoft.com/office/drawing/2014/chart" uri="{C3380CC4-5D6E-409C-BE32-E72D297353CC}">
              <c16:uniqueId val="{00000003-B0BC-4FE2-ACC6-683B0326FED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1086402496"/>
        <c:axId val="1086407120"/>
      </c:barChart>
      <c:catAx>
        <c:axId val="10864024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1" i="0" u="none" strike="noStrike" kern="1200" baseline="0">
                <a:solidFill>
                  <a:sysClr val="windowText" lastClr="000000"/>
                </a:solidFill>
                <a:latin typeface="+mj-lt"/>
                <a:ea typeface="+mn-ea"/>
                <a:cs typeface="+mn-cs"/>
              </a:defRPr>
            </a:pPr>
            <a:endParaRPr lang="fr-FR"/>
          </a:p>
        </c:txPr>
        <c:crossAx val="1086407120"/>
        <c:crosses val="autoZero"/>
        <c:auto val="1"/>
        <c:lblAlgn val="ctr"/>
        <c:lblOffset val="100"/>
        <c:noMultiLvlLbl val="0"/>
      </c:catAx>
      <c:valAx>
        <c:axId val="1086407120"/>
        <c:scaling>
          <c:orientation val="minMax"/>
          <c:min val="-6000"/>
        </c:scaling>
        <c:delete val="0"/>
        <c:axPos val="l"/>
        <c:numFmt formatCode="General" sourceLinked="0"/>
        <c:majorTickMark val="cross"/>
        <c:minorTickMark val="none"/>
        <c:tickLblPos val="nextTo"/>
        <c:spPr>
          <a:noFill/>
          <a:ln>
            <a:solidFill>
              <a:schemeClr val="bg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864024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7515602536256056"/>
          <c:y val="0.12868517368460336"/>
          <c:w val="0.64066844426399039"/>
          <c:h val="7.545109271956840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2" l="0.70000000000000095" r="0.70000000000000095" t="0.750000000000002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v>Dépenses</c:v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val>
            <c:numRef>
              <c:f>'Compte Bancaire'!$L$1191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AC6-4A98-9D71-CD9FE24CE3BF}"/>
            </c:ext>
          </c:extLst>
        </c:ser>
        <c:ser>
          <c:idx val="1"/>
          <c:order val="1"/>
          <c:tx>
            <c:v>Recettes</c:v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val>
            <c:numRef>
              <c:f>'Compte Bancaire'!$M$1191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AC6-4A98-9D71-CD9FE24CE3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4"/>
        <c:axId val="1086445728"/>
        <c:axId val="1086449600"/>
      </c:barChart>
      <c:catAx>
        <c:axId val="1086445728"/>
        <c:scaling>
          <c:orientation val="minMax"/>
        </c:scaling>
        <c:delete val="1"/>
        <c:axPos val="b"/>
        <c:majorTickMark val="none"/>
        <c:minorTickMark val="none"/>
        <c:tickLblPos val="nextTo"/>
        <c:crossAx val="1086449600"/>
        <c:crosses val="autoZero"/>
        <c:auto val="1"/>
        <c:lblAlgn val="ctr"/>
        <c:lblOffset val="100"/>
        <c:noMultiLvlLbl val="0"/>
      </c:catAx>
      <c:valAx>
        <c:axId val="1086449600"/>
        <c:scaling>
          <c:orientation val="minMax"/>
          <c:max val="50000"/>
          <c:min val="35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86445728"/>
        <c:crosses val="autoZero"/>
        <c:crossBetween val="between"/>
        <c:majorUnit val="1000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userShapes r:id="rId3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v>Activ'Net</c:v>
          </c:tx>
          <c:marker>
            <c:symbol val="none"/>
          </c:marker>
          <c:cat>
            <c:numRef>
              <c:f>'Compte Bancaire'!$F$29:$F$1189</c:f>
              <c:numCache>
                <c:formatCode>m/d/yyyy</c:formatCode>
                <c:ptCount val="254"/>
                <c:pt idx="0">
                  <c:v>42737</c:v>
                </c:pt>
                <c:pt idx="1">
                  <c:v>42740</c:v>
                </c:pt>
                <c:pt idx="2">
                  <c:v>42741</c:v>
                </c:pt>
                <c:pt idx="3">
                  <c:v>42744</c:v>
                </c:pt>
                <c:pt idx="4">
                  <c:v>42750</c:v>
                </c:pt>
                <c:pt idx="5">
                  <c:v>42750</c:v>
                </c:pt>
                <c:pt idx="6">
                  <c:v>42752</c:v>
                </c:pt>
                <c:pt idx="7">
                  <c:v>42755</c:v>
                </c:pt>
                <c:pt idx="8">
                  <c:v>42758</c:v>
                </c:pt>
                <c:pt idx="9">
                  <c:v>42759</c:v>
                </c:pt>
                <c:pt idx="10">
                  <c:v>42760</c:v>
                </c:pt>
                <c:pt idx="11">
                  <c:v>42760</c:v>
                </c:pt>
                <c:pt idx="12">
                  <c:v>42765</c:v>
                </c:pt>
                <c:pt idx="13">
                  <c:v>42765</c:v>
                </c:pt>
                <c:pt idx="14">
                  <c:v>42765</c:v>
                </c:pt>
                <c:pt idx="15">
                  <c:v>42765</c:v>
                </c:pt>
                <c:pt idx="16">
                  <c:v>42765</c:v>
                </c:pt>
                <c:pt idx="17">
                  <c:v>42765</c:v>
                </c:pt>
                <c:pt idx="18">
                  <c:v>42765</c:v>
                </c:pt>
                <c:pt idx="19">
                  <c:v>42765</c:v>
                </c:pt>
                <c:pt idx="20">
                  <c:v>42765</c:v>
                </c:pt>
                <c:pt idx="21">
                  <c:v>42765</c:v>
                </c:pt>
                <c:pt idx="22">
                  <c:v>42765</c:v>
                </c:pt>
                <c:pt idx="23">
                  <c:v>42765</c:v>
                </c:pt>
                <c:pt idx="24">
                  <c:v>42765</c:v>
                </c:pt>
                <c:pt idx="25">
                  <c:v>42765</c:v>
                </c:pt>
                <c:pt idx="26">
                  <c:v>42766</c:v>
                </c:pt>
                <c:pt idx="27">
                  <c:v>42766</c:v>
                </c:pt>
                <c:pt idx="28">
                  <c:v>42766</c:v>
                </c:pt>
                <c:pt idx="29">
                  <c:v>42775</c:v>
                </c:pt>
                <c:pt idx="30">
                  <c:v>42780</c:v>
                </c:pt>
                <c:pt idx="31">
                  <c:v>42780</c:v>
                </c:pt>
                <c:pt idx="32">
                  <c:v>42780</c:v>
                </c:pt>
                <c:pt idx="33">
                  <c:v>42781</c:v>
                </c:pt>
                <c:pt idx="34">
                  <c:v>42784</c:v>
                </c:pt>
                <c:pt idx="35">
                  <c:v>42786</c:v>
                </c:pt>
                <c:pt idx="36">
                  <c:v>42786</c:v>
                </c:pt>
                <c:pt idx="37">
                  <c:v>42786</c:v>
                </c:pt>
                <c:pt idx="38">
                  <c:v>42787</c:v>
                </c:pt>
                <c:pt idx="39">
                  <c:v>42794</c:v>
                </c:pt>
                <c:pt idx="40">
                  <c:v>42794</c:v>
                </c:pt>
                <c:pt idx="41">
                  <c:v>42794</c:v>
                </c:pt>
                <c:pt idx="42">
                  <c:v>42794</c:v>
                </c:pt>
                <c:pt idx="43">
                  <c:v>42794</c:v>
                </c:pt>
                <c:pt idx="44">
                  <c:v>42794</c:v>
                </c:pt>
                <c:pt idx="45">
                  <c:v>42794</c:v>
                </c:pt>
                <c:pt idx="46">
                  <c:v>42794</c:v>
                </c:pt>
                <c:pt idx="47">
                  <c:v>42794</c:v>
                </c:pt>
                <c:pt idx="48">
                  <c:v>42794</c:v>
                </c:pt>
                <c:pt idx="49">
                  <c:v>42794</c:v>
                </c:pt>
                <c:pt idx="50">
                  <c:v>42794</c:v>
                </c:pt>
                <c:pt idx="51">
                  <c:v>42794</c:v>
                </c:pt>
                <c:pt idx="52">
                  <c:v>42794</c:v>
                </c:pt>
                <c:pt idx="53">
                  <c:v>42794</c:v>
                </c:pt>
                <c:pt idx="54">
                  <c:v>42794</c:v>
                </c:pt>
                <c:pt idx="55">
                  <c:v>42803</c:v>
                </c:pt>
                <c:pt idx="56">
                  <c:v>42809</c:v>
                </c:pt>
                <c:pt idx="57">
                  <c:v>42814</c:v>
                </c:pt>
                <c:pt idx="58">
                  <c:v>42815</c:v>
                </c:pt>
                <c:pt idx="59">
                  <c:v>42824</c:v>
                </c:pt>
                <c:pt idx="60">
                  <c:v>42824</c:v>
                </c:pt>
                <c:pt idx="61">
                  <c:v>42824</c:v>
                </c:pt>
                <c:pt idx="62">
                  <c:v>42824</c:v>
                </c:pt>
                <c:pt idx="63">
                  <c:v>42824</c:v>
                </c:pt>
                <c:pt idx="64">
                  <c:v>42824</c:v>
                </c:pt>
                <c:pt idx="65">
                  <c:v>42824</c:v>
                </c:pt>
                <c:pt idx="66">
                  <c:v>42824</c:v>
                </c:pt>
                <c:pt idx="67">
                  <c:v>42824</c:v>
                </c:pt>
                <c:pt idx="68">
                  <c:v>42824</c:v>
                </c:pt>
                <c:pt idx="69">
                  <c:v>42825</c:v>
                </c:pt>
                <c:pt idx="70">
                  <c:v>42825</c:v>
                </c:pt>
                <c:pt idx="71">
                  <c:v>42825</c:v>
                </c:pt>
                <c:pt idx="72">
                  <c:v>42834</c:v>
                </c:pt>
                <c:pt idx="73">
                  <c:v>42840</c:v>
                </c:pt>
                <c:pt idx="74">
                  <c:v>42840</c:v>
                </c:pt>
                <c:pt idx="75">
                  <c:v>42840</c:v>
                </c:pt>
                <c:pt idx="76">
                  <c:v>42840</c:v>
                </c:pt>
                <c:pt idx="77">
                  <c:v>42840</c:v>
                </c:pt>
                <c:pt idx="78">
                  <c:v>42845</c:v>
                </c:pt>
                <c:pt idx="79">
                  <c:v>42846</c:v>
                </c:pt>
                <c:pt idx="80">
                  <c:v>42855</c:v>
                </c:pt>
                <c:pt idx="81">
                  <c:v>42855</c:v>
                </c:pt>
                <c:pt idx="82">
                  <c:v>42855</c:v>
                </c:pt>
                <c:pt idx="83">
                  <c:v>42855</c:v>
                </c:pt>
                <c:pt idx="84">
                  <c:v>42855</c:v>
                </c:pt>
                <c:pt idx="85">
                  <c:v>42855</c:v>
                </c:pt>
                <c:pt idx="86">
                  <c:v>42855</c:v>
                </c:pt>
                <c:pt idx="87">
                  <c:v>42855</c:v>
                </c:pt>
                <c:pt idx="88">
                  <c:v>42855</c:v>
                </c:pt>
                <c:pt idx="89">
                  <c:v>42855</c:v>
                </c:pt>
                <c:pt idx="90">
                  <c:v>42855</c:v>
                </c:pt>
                <c:pt idx="91">
                  <c:v>42855</c:v>
                </c:pt>
                <c:pt idx="92">
                  <c:v>42855</c:v>
                </c:pt>
                <c:pt idx="93">
                  <c:v>42855</c:v>
                </c:pt>
                <c:pt idx="94">
                  <c:v>42858</c:v>
                </c:pt>
                <c:pt idx="95">
                  <c:v>42860</c:v>
                </c:pt>
                <c:pt idx="96">
                  <c:v>42870</c:v>
                </c:pt>
                <c:pt idx="97">
                  <c:v>42875</c:v>
                </c:pt>
                <c:pt idx="98">
                  <c:v>42876</c:v>
                </c:pt>
                <c:pt idx="99">
                  <c:v>42885</c:v>
                </c:pt>
                <c:pt idx="100">
                  <c:v>42885</c:v>
                </c:pt>
                <c:pt idx="101">
                  <c:v>42885</c:v>
                </c:pt>
                <c:pt idx="102">
                  <c:v>42885</c:v>
                </c:pt>
                <c:pt idx="103">
                  <c:v>42885</c:v>
                </c:pt>
                <c:pt idx="104">
                  <c:v>42885</c:v>
                </c:pt>
                <c:pt idx="105">
                  <c:v>42885</c:v>
                </c:pt>
                <c:pt idx="106">
                  <c:v>42885</c:v>
                </c:pt>
                <c:pt idx="107">
                  <c:v>42885</c:v>
                </c:pt>
                <c:pt idx="108">
                  <c:v>42885</c:v>
                </c:pt>
                <c:pt idx="109">
                  <c:v>42885</c:v>
                </c:pt>
                <c:pt idx="110">
                  <c:v>42885</c:v>
                </c:pt>
                <c:pt idx="111">
                  <c:v>42885</c:v>
                </c:pt>
                <c:pt idx="112">
                  <c:v>42885</c:v>
                </c:pt>
                <c:pt idx="113">
                  <c:v>42885</c:v>
                </c:pt>
                <c:pt idx="114">
                  <c:v>42889</c:v>
                </c:pt>
                <c:pt idx="115">
                  <c:v>42895</c:v>
                </c:pt>
                <c:pt idx="116">
                  <c:v>42901</c:v>
                </c:pt>
                <c:pt idx="117">
                  <c:v>42906</c:v>
                </c:pt>
                <c:pt idx="118">
                  <c:v>42907</c:v>
                </c:pt>
                <c:pt idx="119">
                  <c:v>42916</c:v>
                </c:pt>
                <c:pt idx="120">
                  <c:v>42916</c:v>
                </c:pt>
                <c:pt idx="121">
                  <c:v>42916</c:v>
                </c:pt>
                <c:pt idx="122">
                  <c:v>42916</c:v>
                </c:pt>
                <c:pt idx="123">
                  <c:v>42916</c:v>
                </c:pt>
                <c:pt idx="124">
                  <c:v>42916</c:v>
                </c:pt>
                <c:pt idx="125">
                  <c:v>42916</c:v>
                </c:pt>
                <c:pt idx="126">
                  <c:v>42916</c:v>
                </c:pt>
                <c:pt idx="127">
                  <c:v>42916</c:v>
                </c:pt>
                <c:pt idx="128">
                  <c:v>42916</c:v>
                </c:pt>
                <c:pt idx="129">
                  <c:v>42916</c:v>
                </c:pt>
                <c:pt idx="130">
                  <c:v>42916</c:v>
                </c:pt>
                <c:pt idx="131">
                  <c:v>42916</c:v>
                </c:pt>
                <c:pt idx="132">
                  <c:v>42916</c:v>
                </c:pt>
                <c:pt idx="133">
                  <c:v>42925</c:v>
                </c:pt>
                <c:pt idx="134">
                  <c:v>42928</c:v>
                </c:pt>
                <c:pt idx="135">
                  <c:v>42929</c:v>
                </c:pt>
                <c:pt idx="136">
                  <c:v>42929</c:v>
                </c:pt>
                <c:pt idx="137">
                  <c:v>42929</c:v>
                </c:pt>
                <c:pt idx="138">
                  <c:v>42929</c:v>
                </c:pt>
                <c:pt idx="139">
                  <c:v>42929</c:v>
                </c:pt>
                <c:pt idx="140">
                  <c:v>42934</c:v>
                </c:pt>
                <c:pt idx="141">
                  <c:v>42936</c:v>
                </c:pt>
                <c:pt idx="142">
                  <c:v>42937</c:v>
                </c:pt>
                <c:pt idx="143">
                  <c:v>42937</c:v>
                </c:pt>
                <c:pt idx="144">
                  <c:v>42946</c:v>
                </c:pt>
                <c:pt idx="145">
                  <c:v>42946</c:v>
                </c:pt>
                <c:pt idx="146">
                  <c:v>42946</c:v>
                </c:pt>
                <c:pt idx="147">
                  <c:v>42946</c:v>
                </c:pt>
                <c:pt idx="148">
                  <c:v>42946</c:v>
                </c:pt>
                <c:pt idx="149">
                  <c:v>42946</c:v>
                </c:pt>
                <c:pt idx="150">
                  <c:v>42946</c:v>
                </c:pt>
                <c:pt idx="151">
                  <c:v>42946</c:v>
                </c:pt>
                <c:pt idx="152">
                  <c:v>42946</c:v>
                </c:pt>
                <c:pt idx="153">
                  <c:v>42946</c:v>
                </c:pt>
                <c:pt idx="154">
                  <c:v>42946</c:v>
                </c:pt>
                <c:pt idx="155">
                  <c:v>42946</c:v>
                </c:pt>
                <c:pt idx="156">
                  <c:v>42946</c:v>
                </c:pt>
                <c:pt idx="157">
                  <c:v>42946</c:v>
                </c:pt>
                <c:pt idx="158">
                  <c:v>42956</c:v>
                </c:pt>
                <c:pt idx="159">
                  <c:v>42962</c:v>
                </c:pt>
                <c:pt idx="160">
                  <c:v>42967</c:v>
                </c:pt>
                <c:pt idx="161">
                  <c:v>42968</c:v>
                </c:pt>
                <c:pt idx="162">
                  <c:v>42969</c:v>
                </c:pt>
                <c:pt idx="163">
                  <c:v>42977</c:v>
                </c:pt>
                <c:pt idx="164">
                  <c:v>42977</c:v>
                </c:pt>
                <c:pt idx="165">
                  <c:v>42977</c:v>
                </c:pt>
                <c:pt idx="166">
                  <c:v>42977</c:v>
                </c:pt>
                <c:pt idx="167">
                  <c:v>42977</c:v>
                </c:pt>
                <c:pt idx="168">
                  <c:v>42977</c:v>
                </c:pt>
                <c:pt idx="169">
                  <c:v>42977</c:v>
                </c:pt>
                <c:pt idx="170">
                  <c:v>42977</c:v>
                </c:pt>
                <c:pt idx="171">
                  <c:v>42977</c:v>
                </c:pt>
                <c:pt idx="172">
                  <c:v>42977</c:v>
                </c:pt>
                <c:pt idx="173">
                  <c:v>42977</c:v>
                </c:pt>
                <c:pt idx="174">
                  <c:v>42977</c:v>
                </c:pt>
                <c:pt idx="175">
                  <c:v>42977</c:v>
                </c:pt>
                <c:pt idx="176">
                  <c:v>42977</c:v>
                </c:pt>
                <c:pt idx="177">
                  <c:v>42987</c:v>
                </c:pt>
                <c:pt idx="178">
                  <c:v>42993</c:v>
                </c:pt>
                <c:pt idx="179">
                  <c:v>42999</c:v>
                </c:pt>
                <c:pt idx="180">
                  <c:v>43004</c:v>
                </c:pt>
                <c:pt idx="181">
                  <c:v>43008</c:v>
                </c:pt>
                <c:pt idx="182">
                  <c:v>43008</c:v>
                </c:pt>
                <c:pt idx="183">
                  <c:v>43008</c:v>
                </c:pt>
                <c:pt idx="184">
                  <c:v>43008</c:v>
                </c:pt>
                <c:pt idx="185">
                  <c:v>43008</c:v>
                </c:pt>
                <c:pt idx="186">
                  <c:v>43008</c:v>
                </c:pt>
                <c:pt idx="187">
                  <c:v>43008</c:v>
                </c:pt>
                <c:pt idx="188">
                  <c:v>43008</c:v>
                </c:pt>
                <c:pt idx="189">
                  <c:v>43008</c:v>
                </c:pt>
                <c:pt idx="190">
                  <c:v>43008</c:v>
                </c:pt>
                <c:pt idx="191">
                  <c:v>43008</c:v>
                </c:pt>
                <c:pt idx="192">
                  <c:v>43008</c:v>
                </c:pt>
                <c:pt idx="193">
                  <c:v>43008</c:v>
                </c:pt>
                <c:pt idx="194">
                  <c:v>43008</c:v>
                </c:pt>
                <c:pt idx="195">
                  <c:v>43018</c:v>
                </c:pt>
                <c:pt idx="196">
                  <c:v>43023</c:v>
                </c:pt>
                <c:pt idx="197">
                  <c:v>43023</c:v>
                </c:pt>
                <c:pt idx="198">
                  <c:v>43023</c:v>
                </c:pt>
                <c:pt idx="199">
                  <c:v>43023</c:v>
                </c:pt>
                <c:pt idx="200">
                  <c:v>43023</c:v>
                </c:pt>
                <c:pt idx="201">
                  <c:v>43029</c:v>
                </c:pt>
                <c:pt idx="202">
                  <c:v>43034</c:v>
                </c:pt>
                <c:pt idx="203">
                  <c:v>43038</c:v>
                </c:pt>
                <c:pt idx="204">
                  <c:v>43038</c:v>
                </c:pt>
                <c:pt idx="205">
                  <c:v>43038</c:v>
                </c:pt>
                <c:pt idx="206">
                  <c:v>43038</c:v>
                </c:pt>
                <c:pt idx="207">
                  <c:v>43038</c:v>
                </c:pt>
                <c:pt idx="208">
                  <c:v>43038</c:v>
                </c:pt>
                <c:pt idx="209">
                  <c:v>43038</c:v>
                </c:pt>
                <c:pt idx="210">
                  <c:v>43038</c:v>
                </c:pt>
                <c:pt idx="211">
                  <c:v>43038</c:v>
                </c:pt>
                <c:pt idx="212">
                  <c:v>43038</c:v>
                </c:pt>
                <c:pt idx="213">
                  <c:v>43038</c:v>
                </c:pt>
                <c:pt idx="214">
                  <c:v>43038</c:v>
                </c:pt>
                <c:pt idx="215">
                  <c:v>43038</c:v>
                </c:pt>
                <c:pt idx="216">
                  <c:v>43038</c:v>
                </c:pt>
                <c:pt idx="217">
                  <c:v>43050</c:v>
                </c:pt>
                <c:pt idx="218">
                  <c:v>43060</c:v>
                </c:pt>
                <c:pt idx="219">
                  <c:v>43065</c:v>
                </c:pt>
                <c:pt idx="220">
                  <c:v>43069</c:v>
                </c:pt>
                <c:pt idx="221">
                  <c:v>43069</c:v>
                </c:pt>
                <c:pt idx="222">
                  <c:v>43069</c:v>
                </c:pt>
                <c:pt idx="223">
                  <c:v>43069</c:v>
                </c:pt>
                <c:pt idx="224">
                  <c:v>43069</c:v>
                </c:pt>
                <c:pt idx="225">
                  <c:v>43069</c:v>
                </c:pt>
                <c:pt idx="226">
                  <c:v>43069</c:v>
                </c:pt>
                <c:pt idx="227">
                  <c:v>43069</c:v>
                </c:pt>
                <c:pt idx="228">
                  <c:v>43069</c:v>
                </c:pt>
                <c:pt idx="229">
                  <c:v>43069</c:v>
                </c:pt>
                <c:pt idx="230">
                  <c:v>43069</c:v>
                </c:pt>
                <c:pt idx="231">
                  <c:v>43069</c:v>
                </c:pt>
                <c:pt idx="232">
                  <c:v>43069</c:v>
                </c:pt>
                <c:pt idx="233">
                  <c:v>43069</c:v>
                </c:pt>
                <c:pt idx="234">
                  <c:v>43077</c:v>
                </c:pt>
                <c:pt idx="235">
                  <c:v>43081</c:v>
                </c:pt>
                <c:pt idx="236">
                  <c:v>43084</c:v>
                </c:pt>
                <c:pt idx="237">
                  <c:v>43090</c:v>
                </c:pt>
                <c:pt idx="238">
                  <c:v>43095</c:v>
                </c:pt>
                <c:pt idx="239">
                  <c:v>43099</c:v>
                </c:pt>
                <c:pt idx="240">
                  <c:v>43099</c:v>
                </c:pt>
                <c:pt idx="241">
                  <c:v>43099</c:v>
                </c:pt>
                <c:pt idx="242">
                  <c:v>43099</c:v>
                </c:pt>
                <c:pt idx="243">
                  <c:v>43099</c:v>
                </c:pt>
                <c:pt idx="244">
                  <c:v>43099</c:v>
                </c:pt>
                <c:pt idx="245">
                  <c:v>43099</c:v>
                </c:pt>
                <c:pt idx="246">
                  <c:v>43099</c:v>
                </c:pt>
                <c:pt idx="247">
                  <c:v>43099</c:v>
                </c:pt>
                <c:pt idx="248">
                  <c:v>43099</c:v>
                </c:pt>
                <c:pt idx="249">
                  <c:v>43099</c:v>
                </c:pt>
                <c:pt idx="250">
                  <c:v>43099</c:v>
                </c:pt>
                <c:pt idx="251">
                  <c:v>43099</c:v>
                </c:pt>
                <c:pt idx="252">
                  <c:v>43099</c:v>
                </c:pt>
              </c:numCache>
            </c:numRef>
          </c:cat>
          <c:val>
            <c:numRef>
              <c:f>'Compte Bancaire'!$N$70:$N$227</c:f>
            </c:numRef>
          </c:val>
          <c:smooth val="0"/>
          <c:extLst>
            <c:ext xmlns:c16="http://schemas.microsoft.com/office/drawing/2014/chart" uri="{C3380CC4-5D6E-409C-BE32-E72D297353CC}">
              <c16:uniqueId val="{00000000-8118-4A99-ACCD-E15217EF3D59}"/>
            </c:ext>
          </c:extLst>
        </c:ser>
        <c:ser>
          <c:idx val="1"/>
          <c:order val="1"/>
          <c:tx>
            <c:v>Solde_Activ'Net</c:v>
          </c:tx>
          <c:spPr>
            <a:ln>
              <a:solidFill>
                <a:srgbClr val="E23B96"/>
              </a:solidFill>
            </a:ln>
          </c:spPr>
          <c:marker>
            <c:symbol val="none"/>
          </c:marker>
          <c:trendline>
            <c:spPr>
              <a:ln w="15875" cmpd="sng">
                <a:solidFill>
                  <a:srgbClr val="00B0F0"/>
                </a:solidFill>
                <a:prstDash val="sysDash"/>
              </a:ln>
            </c:spPr>
            <c:trendlineType val="movingAvg"/>
            <c:period val="102"/>
            <c:dispRSqr val="0"/>
            <c:dispEq val="0"/>
          </c:trendline>
          <c:cat>
            <c:numRef>
              <c:f>'Compte Bancaire'!$F$29:$F$1189</c:f>
              <c:numCache>
                <c:formatCode>m/d/yyyy</c:formatCode>
                <c:ptCount val="254"/>
                <c:pt idx="0">
                  <c:v>42737</c:v>
                </c:pt>
                <c:pt idx="1">
                  <c:v>42740</c:v>
                </c:pt>
                <c:pt idx="2">
                  <c:v>42741</c:v>
                </c:pt>
                <c:pt idx="3">
                  <c:v>42744</c:v>
                </c:pt>
                <c:pt idx="4">
                  <c:v>42750</c:v>
                </c:pt>
                <c:pt idx="5">
                  <c:v>42750</c:v>
                </c:pt>
                <c:pt idx="6">
                  <c:v>42752</c:v>
                </c:pt>
                <c:pt idx="7">
                  <c:v>42755</c:v>
                </c:pt>
                <c:pt idx="8">
                  <c:v>42758</c:v>
                </c:pt>
                <c:pt idx="9">
                  <c:v>42759</c:v>
                </c:pt>
                <c:pt idx="10">
                  <c:v>42760</c:v>
                </c:pt>
                <c:pt idx="11">
                  <c:v>42760</c:v>
                </c:pt>
                <c:pt idx="12">
                  <c:v>42765</c:v>
                </c:pt>
                <c:pt idx="13">
                  <c:v>42765</c:v>
                </c:pt>
                <c:pt idx="14">
                  <c:v>42765</c:v>
                </c:pt>
                <c:pt idx="15">
                  <c:v>42765</c:v>
                </c:pt>
                <c:pt idx="16">
                  <c:v>42765</c:v>
                </c:pt>
                <c:pt idx="17">
                  <c:v>42765</c:v>
                </c:pt>
                <c:pt idx="18">
                  <c:v>42765</c:v>
                </c:pt>
                <c:pt idx="19">
                  <c:v>42765</c:v>
                </c:pt>
                <c:pt idx="20">
                  <c:v>42765</c:v>
                </c:pt>
                <c:pt idx="21">
                  <c:v>42765</c:v>
                </c:pt>
                <c:pt idx="22">
                  <c:v>42765</c:v>
                </c:pt>
                <c:pt idx="23">
                  <c:v>42765</c:v>
                </c:pt>
                <c:pt idx="24">
                  <c:v>42765</c:v>
                </c:pt>
                <c:pt idx="25">
                  <c:v>42765</c:v>
                </c:pt>
                <c:pt idx="26">
                  <c:v>42766</c:v>
                </c:pt>
                <c:pt idx="27">
                  <c:v>42766</c:v>
                </c:pt>
                <c:pt idx="28">
                  <c:v>42766</c:v>
                </c:pt>
                <c:pt idx="29">
                  <c:v>42775</c:v>
                </c:pt>
                <c:pt idx="30">
                  <c:v>42780</c:v>
                </c:pt>
                <c:pt idx="31">
                  <c:v>42780</c:v>
                </c:pt>
                <c:pt idx="32">
                  <c:v>42780</c:v>
                </c:pt>
                <c:pt idx="33">
                  <c:v>42781</c:v>
                </c:pt>
                <c:pt idx="34">
                  <c:v>42784</c:v>
                </c:pt>
                <c:pt idx="35">
                  <c:v>42786</c:v>
                </c:pt>
                <c:pt idx="36">
                  <c:v>42786</c:v>
                </c:pt>
                <c:pt idx="37">
                  <c:v>42786</c:v>
                </c:pt>
                <c:pt idx="38">
                  <c:v>42787</c:v>
                </c:pt>
                <c:pt idx="39">
                  <c:v>42794</c:v>
                </c:pt>
                <c:pt idx="40">
                  <c:v>42794</c:v>
                </c:pt>
                <c:pt idx="41">
                  <c:v>42794</c:v>
                </c:pt>
                <c:pt idx="42">
                  <c:v>42794</c:v>
                </c:pt>
                <c:pt idx="43">
                  <c:v>42794</c:v>
                </c:pt>
                <c:pt idx="44">
                  <c:v>42794</c:v>
                </c:pt>
                <c:pt idx="45">
                  <c:v>42794</c:v>
                </c:pt>
                <c:pt idx="46">
                  <c:v>42794</c:v>
                </c:pt>
                <c:pt idx="47">
                  <c:v>42794</c:v>
                </c:pt>
                <c:pt idx="48">
                  <c:v>42794</c:v>
                </c:pt>
                <c:pt idx="49">
                  <c:v>42794</c:v>
                </c:pt>
                <c:pt idx="50">
                  <c:v>42794</c:v>
                </c:pt>
                <c:pt idx="51">
                  <c:v>42794</c:v>
                </c:pt>
                <c:pt idx="52">
                  <c:v>42794</c:v>
                </c:pt>
                <c:pt idx="53">
                  <c:v>42794</c:v>
                </c:pt>
                <c:pt idx="54">
                  <c:v>42794</c:v>
                </c:pt>
                <c:pt idx="55">
                  <c:v>42803</c:v>
                </c:pt>
                <c:pt idx="56">
                  <c:v>42809</c:v>
                </c:pt>
                <c:pt idx="57">
                  <c:v>42814</c:v>
                </c:pt>
                <c:pt idx="58">
                  <c:v>42815</c:v>
                </c:pt>
                <c:pt idx="59">
                  <c:v>42824</c:v>
                </c:pt>
                <c:pt idx="60">
                  <c:v>42824</c:v>
                </c:pt>
                <c:pt idx="61">
                  <c:v>42824</c:v>
                </c:pt>
                <c:pt idx="62">
                  <c:v>42824</c:v>
                </c:pt>
                <c:pt idx="63">
                  <c:v>42824</c:v>
                </c:pt>
                <c:pt idx="64">
                  <c:v>42824</c:v>
                </c:pt>
                <c:pt idx="65">
                  <c:v>42824</c:v>
                </c:pt>
                <c:pt idx="66">
                  <c:v>42824</c:v>
                </c:pt>
                <c:pt idx="67">
                  <c:v>42824</c:v>
                </c:pt>
                <c:pt idx="68">
                  <c:v>42824</c:v>
                </c:pt>
                <c:pt idx="69">
                  <c:v>42825</c:v>
                </c:pt>
                <c:pt idx="70">
                  <c:v>42825</c:v>
                </c:pt>
                <c:pt idx="71">
                  <c:v>42825</c:v>
                </c:pt>
                <c:pt idx="72">
                  <c:v>42834</c:v>
                </c:pt>
                <c:pt idx="73">
                  <c:v>42840</c:v>
                </c:pt>
                <c:pt idx="74">
                  <c:v>42840</c:v>
                </c:pt>
                <c:pt idx="75">
                  <c:v>42840</c:v>
                </c:pt>
                <c:pt idx="76">
                  <c:v>42840</c:v>
                </c:pt>
                <c:pt idx="77">
                  <c:v>42840</c:v>
                </c:pt>
                <c:pt idx="78">
                  <c:v>42845</c:v>
                </c:pt>
                <c:pt idx="79">
                  <c:v>42846</c:v>
                </c:pt>
                <c:pt idx="80">
                  <c:v>42855</c:v>
                </c:pt>
                <c:pt idx="81">
                  <c:v>42855</c:v>
                </c:pt>
                <c:pt idx="82">
                  <c:v>42855</c:v>
                </c:pt>
                <c:pt idx="83">
                  <c:v>42855</c:v>
                </c:pt>
                <c:pt idx="84">
                  <c:v>42855</c:v>
                </c:pt>
                <c:pt idx="85">
                  <c:v>42855</c:v>
                </c:pt>
                <c:pt idx="86">
                  <c:v>42855</c:v>
                </c:pt>
                <c:pt idx="87">
                  <c:v>42855</c:v>
                </c:pt>
                <c:pt idx="88">
                  <c:v>42855</c:v>
                </c:pt>
                <c:pt idx="89">
                  <c:v>42855</c:v>
                </c:pt>
                <c:pt idx="90">
                  <c:v>42855</c:v>
                </c:pt>
                <c:pt idx="91">
                  <c:v>42855</c:v>
                </c:pt>
                <c:pt idx="92">
                  <c:v>42855</c:v>
                </c:pt>
                <c:pt idx="93">
                  <c:v>42855</c:v>
                </c:pt>
                <c:pt idx="94">
                  <c:v>42858</c:v>
                </c:pt>
                <c:pt idx="95">
                  <c:v>42860</c:v>
                </c:pt>
                <c:pt idx="96">
                  <c:v>42870</c:v>
                </c:pt>
                <c:pt idx="97">
                  <c:v>42875</c:v>
                </c:pt>
                <c:pt idx="98">
                  <c:v>42876</c:v>
                </c:pt>
                <c:pt idx="99">
                  <c:v>42885</c:v>
                </c:pt>
                <c:pt idx="100">
                  <c:v>42885</c:v>
                </c:pt>
                <c:pt idx="101">
                  <c:v>42885</c:v>
                </c:pt>
                <c:pt idx="102">
                  <c:v>42885</c:v>
                </c:pt>
                <c:pt idx="103">
                  <c:v>42885</c:v>
                </c:pt>
                <c:pt idx="104">
                  <c:v>42885</c:v>
                </c:pt>
                <c:pt idx="105">
                  <c:v>42885</c:v>
                </c:pt>
                <c:pt idx="106">
                  <c:v>42885</c:v>
                </c:pt>
                <c:pt idx="107">
                  <c:v>42885</c:v>
                </c:pt>
                <c:pt idx="108">
                  <c:v>42885</c:v>
                </c:pt>
                <c:pt idx="109">
                  <c:v>42885</c:v>
                </c:pt>
                <c:pt idx="110">
                  <c:v>42885</c:v>
                </c:pt>
                <c:pt idx="111">
                  <c:v>42885</c:v>
                </c:pt>
                <c:pt idx="112">
                  <c:v>42885</c:v>
                </c:pt>
                <c:pt idx="113">
                  <c:v>42885</c:v>
                </c:pt>
                <c:pt idx="114">
                  <c:v>42889</c:v>
                </c:pt>
                <c:pt idx="115">
                  <c:v>42895</c:v>
                </c:pt>
                <c:pt idx="116">
                  <c:v>42901</c:v>
                </c:pt>
                <c:pt idx="117">
                  <c:v>42906</c:v>
                </c:pt>
                <c:pt idx="118">
                  <c:v>42907</c:v>
                </c:pt>
                <c:pt idx="119">
                  <c:v>42916</c:v>
                </c:pt>
                <c:pt idx="120">
                  <c:v>42916</c:v>
                </c:pt>
                <c:pt idx="121">
                  <c:v>42916</c:v>
                </c:pt>
                <c:pt idx="122">
                  <c:v>42916</c:v>
                </c:pt>
                <c:pt idx="123">
                  <c:v>42916</c:v>
                </c:pt>
                <c:pt idx="124">
                  <c:v>42916</c:v>
                </c:pt>
                <c:pt idx="125">
                  <c:v>42916</c:v>
                </c:pt>
                <c:pt idx="126">
                  <c:v>42916</c:v>
                </c:pt>
                <c:pt idx="127">
                  <c:v>42916</c:v>
                </c:pt>
                <c:pt idx="128">
                  <c:v>42916</c:v>
                </c:pt>
                <c:pt idx="129">
                  <c:v>42916</c:v>
                </c:pt>
                <c:pt idx="130">
                  <c:v>42916</c:v>
                </c:pt>
                <c:pt idx="131">
                  <c:v>42916</c:v>
                </c:pt>
                <c:pt idx="132">
                  <c:v>42916</c:v>
                </c:pt>
                <c:pt idx="133">
                  <c:v>42925</c:v>
                </c:pt>
                <c:pt idx="134">
                  <c:v>42928</c:v>
                </c:pt>
                <c:pt idx="135">
                  <c:v>42929</c:v>
                </c:pt>
                <c:pt idx="136">
                  <c:v>42929</c:v>
                </c:pt>
                <c:pt idx="137">
                  <c:v>42929</c:v>
                </c:pt>
                <c:pt idx="138">
                  <c:v>42929</c:v>
                </c:pt>
                <c:pt idx="139">
                  <c:v>42929</c:v>
                </c:pt>
                <c:pt idx="140">
                  <c:v>42934</c:v>
                </c:pt>
                <c:pt idx="141">
                  <c:v>42936</c:v>
                </c:pt>
                <c:pt idx="142">
                  <c:v>42937</c:v>
                </c:pt>
                <c:pt idx="143">
                  <c:v>42937</c:v>
                </c:pt>
                <c:pt idx="144">
                  <c:v>42946</c:v>
                </c:pt>
                <c:pt idx="145">
                  <c:v>42946</c:v>
                </c:pt>
                <c:pt idx="146">
                  <c:v>42946</c:v>
                </c:pt>
                <c:pt idx="147">
                  <c:v>42946</c:v>
                </c:pt>
                <c:pt idx="148">
                  <c:v>42946</c:v>
                </c:pt>
                <c:pt idx="149">
                  <c:v>42946</c:v>
                </c:pt>
                <c:pt idx="150">
                  <c:v>42946</c:v>
                </c:pt>
                <c:pt idx="151">
                  <c:v>42946</c:v>
                </c:pt>
                <c:pt idx="152">
                  <c:v>42946</c:v>
                </c:pt>
                <c:pt idx="153">
                  <c:v>42946</c:v>
                </c:pt>
                <c:pt idx="154">
                  <c:v>42946</c:v>
                </c:pt>
                <c:pt idx="155">
                  <c:v>42946</c:v>
                </c:pt>
                <c:pt idx="156">
                  <c:v>42946</c:v>
                </c:pt>
                <c:pt idx="157">
                  <c:v>42946</c:v>
                </c:pt>
                <c:pt idx="158">
                  <c:v>42956</c:v>
                </c:pt>
                <c:pt idx="159">
                  <c:v>42962</c:v>
                </c:pt>
                <c:pt idx="160">
                  <c:v>42967</c:v>
                </c:pt>
                <c:pt idx="161">
                  <c:v>42968</c:v>
                </c:pt>
                <c:pt idx="162">
                  <c:v>42969</c:v>
                </c:pt>
                <c:pt idx="163">
                  <c:v>42977</c:v>
                </c:pt>
                <c:pt idx="164">
                  <c:v>42977</c:v>
                </c:pt>
                <c:pt idx="165">
                  <c:v>42977</c:v>
                </c:pt>
                <c:pt idx="166">
                  <c:v>42977</c:v>
                </c:pt>
                <c:pt idx="167">
                  <c:v>42977</c:v>
                </c:pt>
                <c:pt idx="168">
                  <c:v>42977</c:v>
                </c:pt>
                <c:pt idx="169">
                  <c:v>42977</c:v>
                </c:pt>
                <c:pt idx="170">
                  <c:v>42977</c:v>
                </c:pt>
                <c:pt idx="171">
                  <c:v>42977</c:v>
                </c:pt>
                <c:pt idx="172">
                  <c:v>42977</c:v>
                </c:pt>
                <c:pt idx="173">
                  <c:v>42977</c:v>
                </c:pt>
                <c:pt idx="174">
                  <c:v>42977</c:v>
                </c:pt>
                <c:pt idx="175">
                  <c:v>42977</c:v>
                </c:pt>
                <c:pt idx="176">
                  <c:v>42977</c:v>
                </c:pt>
                <c:pt idx="177">
                  <c:v>42987</c:v>
                </c:pt>
                <c:pt idx="178">
                  <c:v>42993</c:v>
                </c:pt>
                <c:pt idx="179">
                  <c:v>42999</c:v>
                </c:pt>
                <c:pt idx="180">
                  <c:v>43004</c:v>
                </c:pt>
                <c:pt idx="181">
                  <c:v>43008</c:v>
                </c:pt>
                <c:pt idx="182">
                  <c:v>43008</c:v>
                </c:pt>
                <c:pt idx="183">
                  <c:v>43008</c:v>
                </c:pt>
                <c:pt idx="184">
                  <c:v>43008</c:v>
                </c:pt>
                <c:pt idx="185">
                  <c:v>43008</c:v>
                </c:pt>
                <c:pt idx="186">
                  <c:v>43008</c:v>
                </c:pt>
                <c:pt idx="187">
                  <c:v>43008</c:v>
                </c:pt>
                <c:pt idx="188">
                  <c:v>43008</c:v>
                </c:pt>
                <c:pt idx="189">
                  <c:v>43008</c:v>
                </c:pt>
                <c:pt idx="190">
                  <c:v>43008</c:v>
                </c:pt>
                <c:pt idx="191">
                  <c:v>43008</c:v>
                </c:pt>
                <c:pt idx="192">
                  <c:v>43008</c:v>
                </c:pt>
                <c:pt idx="193">
                  <c:v>43008</c:v>
                </c:pt>
                <c:pt idx="194">
                  <c:v>43008</c:v>
                </c:pt>
                <c:pt idx="195">
                  <c:v>43018</c:v>
                </c:pt>
                <c:pt idx="196">
                  <c:v>43023</c:v>
                </c:pt>
                <c:pt idx="197">
                  <c:v>43023</c:v>
                </c:pt>
                <c:pt idx="198">
                  <c:v>43023</c:v>
                </c:pt>
                <c:pt idx="199">
                  <c:v>43023</c:v>
                </c:pt>
                <c:pt idx="200">
                  <c:v>43023</c:v>
                </c:pt>
                <c:pt idx="201">
                  <c:v>43029</c:v>
                </c:pt>
                <c:pt idx="202">
                  <c:v>43034</c:v>
                </c:pt>
                <c:pt idx="203">
                  <c:v>43038</c:v>
                </c:pt>
                <c:pt idx="204">
                  <c:v>43038</c:v>
                </c:pt>
                <c:pt idx="205">
                  <c:v>43038</c:v>
                </c:pt>
                <c:pt idx="206">
                  <c:v>43038</c:v>
                </c:pt>
                <c:pt idx="207">
                  <c:v>43038</c:v>
                </c:pt>
                <c:pt idx="208">
                  <c:v>43038</c:v>
                </c:pt>
                <c:pt idx="209">
                  <c:v>43038</c:v>
                </c:pt>
                <c:pt idx="210">
                  <c:v>43038</c:v>
                </c:pt>
                <c:pt idx="211">
                  <c:v>43038</c:v>
                </c:pt>
                <c:pt idx="212">
                  <c:v>43038</c:v>
                </c:pt>
                <c:pt idx="213">
                  <c:v>43038</c:v>
                </c:pt>
                <c:pt idx="214">
                  <c:v>43038</c:v>
                </c:pt>
                <c:pt idx="215">
                  <c:v>43038</c:v>
                </c:pt>
                <c:pt idx="216">
                  <c:v>43038</c:v>
                </c:pt>
                <c:pt idx="217">
                  <c:v>43050</c:v>
                </c:pt>
                <c:pt idx="218">
                  <c:v>43060</c:v>
                </c:pt>
                <c:pt idx="219">
                  <c:v>43065</c:v>
                </c:pt>
                <c:pt idx="220">
                  <c:v>43069</c:v>
                </c:pt>
                <c:pt idx="221">
                  <c:v>43069</c:v>
                </c:pt>
                <c:pt idx="222">
                  <c:v>43069</c:v>
                </c:pt>
                <c:pt idx="223">
                  <c:v>43069</c:v>
                </c:pt>
                <c:pt idx="224">
                  <c:v>43069</c:v>
                </c:pt>
                <c:pt idx="225">
                  <c:v>43069</c:v>
                </c:pt>
                <c:pt idx="226">
                  <c:v>43069</c:v>
                </c:pt>
                <c:pt idx="227">
                  <c:v>43069</c:v>
                </c:pt>
                <c:pt idx="228">
                  <c:v>43069</c:v>
                </c:pt>
                <c:pt idx="229">
                  <c:v>43069</c:v>
                </c:pt>
                <c:pt idx="230">
                  <c:v>43069</c:v>
                </c:pt>
                <c:pt idx="231">
                  <c:v>43069</c:v>
                </c:pt>
                <c:pt idx="232">
                  <c:v>43069</c:v>
                </c:pt>
                <c:pt idx="233">
                  <c:v>43069</c:v>
                </c:pt>
                <c:pt idx="234">
                  <c:v>43077</c:v>
                </c:pt>
                <c:pt idx="235">
                  <c:v>43081</c:v>
                </c:pt>
                <c:pt idx="236">
                  <c:v>43084</c:v>
                </c:pt>
                <c:pt idx="237">
                  <c:v>43090</c:v>
                </c:pt>
                <c:pt idx="238">
                  <c:v>43095</c:v>
                </c:pt>
                <c:pt idx="239">
                  <c:v>43099</c:v>
                </c:pt>
                <c:pt idx="240">
                  <c:v>43099</c:v>
                </c:pt>
                <c:pt idx="241">
                  <c:v>43099</c:v>
                </c:pt>
                <c:pt idx="242">
                  <c:v>43099</c:v>
                </c:pt>
                <c:pt idx="243">
                  <c:v>43099</c:v>
                </c:pt>
                <c:pt idx="244">
                  <c:v>43099</c:v>
                </c:pt>
                <c:pt idx="245">
                  <c:v>43099</c:v>
                </c:pt>
                <c:pt idx="246">
                  <c:v>43099</c:v>
                </c:pt>
                <c:pt idx="247">
                  <c:v>43099</c:v>
                </c:pt>
                <c:pt idx="248">
                  <c:v>43099</c:v>
                </c:pt>
                <c:pt idx="249">
                  <c:v>43099</c:v>
                </c:pt>
                <c:pt idx="250">
                  <c:v>43099</c:v>
                </c:pt>
                <c:pt idx="251">
                  <c:v>43099</c:v>
                </c:pt>
                <c:pt idx="252">
                  <c:v>43099</c:v>
                </c:pt>
              </c:numCache>
            </c:numRef>
          </c:cat>
          <c:val>
            <c:numRef>
              <c:f>'Compte Bancaire'!$P$29:$P$1189</c:f>
              <c:numCache>
                <c:formatCode>0.00</c:formatCode>
                <c:ptCount val="254"/>
                <c:pt idx="0">
                  <c:v>8573.5760000000082</c:v>
                </c:pt>
                <c:pt idx="1">
                  <c:v>8368.3760000000075</c:v>
                </c:pt>
                <c:pt idx="2">
                  <c:v>8288.1960000000072</c:v>
                </c:pt>
                <c:pt idx="3">
                  <c:v>8265.7960000000076</c:v>
                </c:pt>
                <c:pt idx="4">
                  <c:v>5771.7960000000076</c:v>
                </c:pt>
                <c:pt idx="5">
                  <c:v>5718.7960000000076</c:v>
                </c:pt>
                <c:pt idx="6">
                  <c:v>5673.1960000000072</c:v>
                </c:pt>
                <c:pt idx="7">
                  <c:v>5669.606000000007</c:v>
                </c:pt>
                <c:pt idx="8">
                  <c:v>5656.6160000000073</c:v>
                </c:pt>
                <c:pt idx="9">
                  <c:v>5644.6560000000072</c:v>
                </c:pt>
                <c:pt idx="10">
                  <c:v>5601.6760000000077</c:v>
                </c:pt>
                <c:pt idx="11">
                  <c:v>5577.4960000000074</c:v>
                </c:pt>
                <c:pt idx="12">
                  <c:v>5685.4960000000074</c:v>
                </c:pt>
                <c:pt idx="13">
                  <c:v>5883.4960000000074</c:v>
                </c:pt>
                <c:pt idx="14">
                  <c:v>6035.2960000000076</c:v>
                </c:pt>
                <c:pt idx="15">
                  <c:v>6557.2960000000076</c:v>
                </c:pt>
                <c:pt idx="16">
                  <c:v>6852.4960000000074</c:v>
                </c:pt>
                <c:pt idx="17">
                  <c:v>7476.4960000000074</c:v>
                </c:pt>
                <c:pt idx="18">
                  <c:v>7593.9960000000074</c:v>
                </c:pt>
                <c:pt idx="19">
                  <c:v>8103.9960000000074</c:v>
                </c:pt>
                <c:pt idx="20">
                  <c:v>8331.9960000000065</c:v>
                </c:pt>
                <c:pt idx="21">
                  <c:v>8835.9960000000065</c:v>
                </c:pt>
                <c:pt idx="22">
                  <c:v>8235.9960000000065</c:v>
                </c:pt>
                <c:pt idx="23">
                  <c:v>7944.6960000000063</c:v>
                </c:pt>
                <c:pt idx="24">
                  <c:v>8124.6960000000063</c:v>
                </c:pt>
                <c:pt idx="25">
                  <c:v>7914.6960000000063</c:v>
                </c:pt>
                <c:pt idx="26">
                  <c:v>7201.6960000000063</c:v>
                </c:pt>
                <c:pt idx="27">
                  <c:v>7087.6960000000063</c:v>
                </c:pt>
                <c:pt idx="28">
                  <c:v>6847.6960000000063</c:v>
                </c:pt>
                <c:pt idx="29">
                  <c:v>6825.2960000000066</c:v>
                </c:pt>
                <c:pt idx="30">
                  <c:v>6794.2960000000066</c:v>
                </c:pt>
                <c:pt idx="31">
                  <c:v>6671.9260000000068</c:v>
                </c:pt>
                <c:pt idx="32">
                  <c:v>6553.1660000000065</c:v>
                </c:pt>
                <c:pt idx="33">
                  <c:v>6500.1660000000065</c:v>
                </c:pt>
                <c:pt idx="34">
                  <c:v>6286.7660000000069</c:v>
                </c:pt>
                <c:pt idx="35">
                  <c:v>6283.1760000000068</c:v>
                </c:pt>
                <c:pt idx="36">
                  <c:v>6566.1760000000068</c:v>
                </c:pt>
                <c:pt idx="37">
                  <c:v>6849.1760000000068</c:v>
                </c:pt>
                <c:pt idx="38">
                  <c:v>6803.5760000000064</c:v>
                </c:pt>
                <c:pt idx="39">
                  <c:v>6911.5760000000064</c:v>
                </c:pt>
                <c:pt idx="40">
                  <c:v>7109.5760000000064</c:v>
                </c:pt>
                <c:pt idx="41">
                  <c:v>7261.3760000000066</c:v>
                </c:pt>
                <c:pt idx="42">
                  <c:v>7783.3760000000066</c:v>
                </c:pt>
                <c:pt idx="43">
                  <c:v>8023.3760000000066</c:v>
                </c:pt>
                <c:pt idx="44">
                  <c:v>8647.3760000000075</c:v>
                </c:pt>
                <c:pt idx="45">
                  <c:v>8764.8760000000075</c:v>
                </c:pt>
                <c:pt idx="46">
                  <c:v>9274.8760000000075</c:v>
                </c:pt>
                <c:pt idx="47">
                  <c:v>9502.8760000000075</c:v>
                </c:pt>
                <c:pt idx="48">
                  <c:v>9598.8760000000075</c:v>
                </c:pt>
                <c:pt idx="49">
                  <c:v>9358.8760000000075</c:v>
                </c:pt>
                <c:pt idx="50">
                  <c:v>8758.8760000000075</c:v>
                </c:pt>
                <c:pt idx="51">
                  <c:v>8467.5760000000082</c:v>
                </c:pt>
                <c:pt idx="52">
                  <c:v>8971.5760000000082</c:v>
                </c:pt>
                <c:pt idx="53">
                  <c:v>9151.5760000000082</c:v>
                </c:pt>
                <c:pt idx="54">
                  <c:v>8941.5760000000082</c:v>
                </c:pt>
                <c:pt idx="55">
                  <c:v>8919.1760000000086</c:v>
                </c:pt>
                <c:pt idx="56">
                  <c:v>8866.1760000000086</c:v>
                </c:pt>
                <c:pt idx="57">
                  <c:v>8862.5860000000084</c:v>
                </c:pt>
                <c:pt idx="58">
                  <c:v>8816.9860000000081</c:v>
                </c:pt>
                <c:pt idx="59">
                  <c:v>9014.9860000000081</c:v>
                </c:pt>
                <c:pt idx="60">
                  <c:v>9166.7860000000073</c:v>
                </c:pt>
                <c:pt idx="61">
                  <c:v>9688.7860000000073</c:v>
                </c:pt>
                <c:pt idx="62">
                  <c:v>9880.7860000000073</c:v>
                </c:pt>
                <c:pt idx="63">
                  <c:v>10504.786000000007</c:v>
                </c:pt>
                <c:pt idx="64">
                  <c:v>10622.286000000007</c:v>
                </c:pt>
                <c:pt idx="65">
                  <c:v>10718.286000000007</c:v>
                </c:pt>
                <c:pt idx="66">
                  <c:v>11222.286000000007</c:v>
                </c:pt>
                <c:pt idx="67">
                  <c:v>11402.286000000007</c:v>
                </c:pt>
                <c:pt idx="68">
                  <c:v>11192.286000000007</c:v>
                </c:pt>
                <c:pt idx="69">
                  <c:v>10592.286000000007</c:v>
                </c:pt>
                <c:pt idx="70">
                  <c:v>10300.986000000008</c:v>
                </c:pt>
                <c:pt idx="71">
                  <c:v>10060.986000000008</c:v>
                </c:pt>
                <c:pt idx="72">
                  <c:v>10038.586000000008</c:v>
                </c:pt>
                <c:pt idx="73">
                  <c:v>9984.5860000000084</c:v>
                </c:pt>
                <c:pt idx="74">
                  <c:v>8842.5860000000084</c:v>
                </c:pt>
                <c:pt idx="75">
                  <c:v>8270.1160000000091</c:v>
                </c:pt>
                <c:pt idx="76">
                  <c:v>8103.0160000000087</c:v>
                </c:pt>
                <c:pt idx="77">
                  <c:v>8050.0160000000087</c:v>
                </c:pt>
                <c:pt idx="78">
                  <c:v>8046.4260000000086</c:v>
                </c:pt>
                <c:pt idx="79">
                  <c:v>8000.8260000000082</c:v>
                </c:pt>
                <c:pt idx="80">
                  <c:v>8108.8260000000082</c:v>
                </c:pt>
                <c:pt idx="81">
                  <c:v>8306.8260000000082</c:v>
                </c:pt>
                <c:pt idx="82">
                  <c:v>8458.6260000000075</c:v>
                </c:pt>
                <c:pt idx="83">
                  <c:v>8980.6260000000075</c:v>
                </c:pt>
                <c:pt idx="84">
                  <c:v>9172.6260000000075</c:v>
                </c:pt>
                <c:pt idx="85">
                  <c:v>9796.6260000000075</c:v>
                </c:pt>
                <c:pt idx="86">
                  <c:v>9914.1260000000075</c:v>
                </c:pt>
                <c:pt idx="87">
                  <c:v>10010.126000000007</c:v>
                </c:pt>
                <c:pt idx="88">
                  <c:v>9770.1260000000075</c:v>
                </c:pt>
                <c:pt idx="89">
                  <c:v>9170.1260000000075</c:v>
                </c:pt>
                <c:pt idx="90">
                  <c:v>8878.8260000000082</c:v>
                </c:pt>
                <c:pt idx="91">
                  <c:v>9382.8260000000082</c:v>
                </c:pt>
                <c:pt idx="92">
                  <c:v>9562.8260000000082</c:v>
                </c:pt>
                <c:pt idx="93">
                  <c:v>9352.8260000000082</c:v>
                </c:pt>
                <c:pt idx="94">
                  <c:v>8668.8260000000082</c:v>
                </c:pt>
                <c:pt idx="95">
                  <c:v>8646.4260000000086</c:v>
                </c:pt>
                <c:pt idx="96">
                  <c:v>8593.4260000000086</c:v>
                </c:pt>
                <c:pt idx="97">
                  <c:v>8589.8360000000084</c:v>
                </c:pt>
                <c:pt idx="98">
                  <c:v>8544.2360000000081</c:v>
                </c:pt>
                <c:pt idx="99">
                  <c:v>8688.2360000000081</c:v>
                </c:pt>
                <c:pt idx="100">
                  <c:v>8796.2360000000081</c:v>
                </c:pt>
                <c:pt idx="101">
                  <c:v>8994.2360000000081</c:v>
                </c:pt>
                <c:pt idx="102">
                  <c:v>9146.0360000000073</c:v>
                </c:pt>
                <c:pt idx="103">
                  <c:v>9668.0360000000073</c:v>
                </c:pt>
                <c:pt idx="104">
                  <c:v>9860.0360000000073</c:v>
                </c:pt>
                <c:pt idx="105">
                  <c:v>10484.036000000007</c:v>
                </c:pt>
                <c:pt idx="106">
                  <c:v>10601.536000000007</c:v>
                </c:pt>
                <c:pt idx="107">
                  <c:v>10391.536000000007</c:v>
                </c:pt>
                <c:pt idx="108">
                  <c:v>10487.536000000007</c:v>
                </c:pt>
                <c:pt idx="109">
                  <c:v>10247.536000000007</c:v>
                </c:pt>
                <c:pt idx="110">
                  <c:v>9647.5360000000073</c:v>
                </c:pt>
                <c:pt idx="111">
                  <c:v>9356.2360000000081</c:v>
                </c:pt>
                <c:pt idx="112">
                  <c:v>9536.2360000000081</c:v>
                </c:pt>
                <c:pt idx="113">
                  <c:v>10040.236000000008</c:v>
                </c:pt>
                <c:pt idx="114">
                  <c:v>9560.2360000000081</c:v>
                </c:pt>
                <c:pt idx="115">
                  <c:v>9537.8360000000084</c:v>
                </c:pt>
                <c:pt idx="116">
                  <c:v>9484.8360000000084</c:v>
                </c:pt>
                <c:pt idx="117">
                  <c:v>9481.2460000000083</c:v>
                </c:pt>
                <c:pt idx="118">
                  <c:v>9435.6460000000079</c:v>
                </c:pt>
                <c:pt idx="119">
                  <c:v>9225.6460000000079</c:v>
                </c:pt>
                <c:pt idx="120">
                  <c:v>9405.6460000000079</c:v>
                </c:pt>
                <c:pt idx="121">
                  <c:v>9909.6460000000079</c:v>
                </c:pt>
                <c:pt idx="122">
                  <c:v>10017.646000000008</c:v>
                </c:pt>
                <c:pt idx="123">
                  <c:v>10215.646000000008</c:v>
                </c:pt>
                <c:pt idx="124">
                  <c:v>10367.446000000007</c:v>
                </c:pt>
                <c:pt idx="125">
                  <c:v>10889.446000000007</c:v>
                </c:pt>
                <c:pt idx="126">
                  <c:v>11081.446000000007</c:v>
                </c:pt>
                <c:pt idx="127">
                  <c:v>11705.446000000007</c:v>
                </c:pt>
                <c:pt idx="128">
                  <c:v>11822.946000000007</c:v>
                </c:pt>
                <c:pt idx="129">
                  <c:v>11918.946000000007</c:v>
                </c:pt>
                <c:pt idx="130">
                  <c:v>11678.946000000007</c:v>
                </c:pt>
                <c:pt idx="131">
                  <c:v>11078.946000000007</c:v>
                </c:pt>
                <c:pt idx="132">
                  <c:v>10787.646000000008</c:v>
                </c:pt>
                <c:pt idx="133">
                  <c:v>10765.246000000008</c:v>
                </c:pt>
                <c:pt idx="134">
                  <c:v>10595.246000000008</c:v>
                </c:pt>
                <c:pt idx="135">
                  <c:v>10542.246000000008</c:v>
                </c:pt>
                <c:pt idx="136">
                  <c:v>10532.246000000008</c:v>
                </c:pt>
                <c:pt idx="137">
                  <c:v>10464.246000000008</c:v>
                </c:pt>
                <c:pt idx="138">
                  <c:v>8736.2460000000083</c:v>
                </c:pt>
                <c:pt idx="139">
                  <c:v>7993.2460000000083</c:v>
                </c:pt>
                <c:pt idx="140">
                  <c:v>7881.1960000000081</c:v>
                </c:pt>
                <c:pt idx="141">
                  <c:v>7877.606000000008</c:v>
                </c:pt>
                <c:pt idx="142">
                  <c:v>5857.606000000008</c:v>
                </c:pt>
                <c:pt idx="143">
                  <c:v>5812.0060000000076</c:v>
                </c:pt>
                <c:pt idx="144">
                  <c:v>5602.0060000000076</c:v>
                </c:pt>
                <c:pt idx="145">
                  <c:v>5782.0060000000076</c:v>
                </c:pt>
                <c:pt idx="146">
                  <c:v>6286.0060000000076</c:v>
                </c:pt>
                <c:pt idx="147">
                  <c:v>6394.0060000000076</c:v>
                </c:pt>
                <c:pt idx="148">
                  <c:v>6592.0060000000076</c:v>
                </c:pt>
                <c:pt idx="149">
                  <c:v>6743.8060000000078</c:v>
                </c:pt>
                <c:pt idx="150">
                  <c:v>7265.8060000000078</c:v>
                </c:pt>
                <c:pt idx="151">
                  <c:v>7457.8060000000078</c:v>
                </c:pt>
                <c:pt idx="152">
                  <c:v>8081.8060000000078</c:v>
                </c:pt>
                <c:pt idx="153">
                  <c:v>8199.3060000000078</c:v>
                </c:pt>
                <c:pt idx="154">
                  <c:v>8295.3060000000078</c:v>
                </c:pt>
                <c:pt idx="155">
                  <c:v>8055.3060000000078</c:v>
                </c:pt>
                <c:pt idx="156">
                  <c:v>7455.3060000000078</c:v>
                </c:pt>
                <c:pt idx="157">
                  <c:v>7164.0060000000076</c:v>
                </c:pt>
                <c:pt idx="158">
                  <c:v>7141.606000000008</c:v>
                </c:pt>
                <c:pt idx="159">
                  <c:v>7088.606000000008</c:v>
                </c:pt>
                <c:pt idx="160">
                  <c:v>7085.0160000000078</c:v>
                </c:pt>
                <c:pt idx="161">
                  <c:v>7039.4160000000074</c:v>
                </c:pt>
                <c:pt idx="162">
                  <c:v>6760.2660000000078</c:v>
                </c:pt>
                <c:pt idx="163">
                  <c:v>6550.2660000000078</c:v>
                </c:pt>
                <c:pt idx="164">
                  <c:v>6730.2660000000078</c:v>
                </c:pt>
                <c:pt idx="165">
                  <c:v>7234.2660000000078</c:v>
                </c:pt>
                <c:pt idx="166">
                  <c:v>7342.2660000000078</c:v>
                </c:pt>
                <c:pt idx="167">
                  <c:v>7540.2660000000078</c:v>
                </c:pt>
                <c:pt idx="168">
                  <c:v>7692.066000000008</c:v>
                </c:pt>
                <c:pt idx="169">
                  <c:v>8214.066000000008</c:v>
                </c:pt>
                <c:pt idx="170">
                  <c:v>8406.066000000008</c:v>
                </c:pt>
                <c:pt idx="171">
                  <c:v>9030.066000000008</c:v>
                </c:pt>
                <c:pt idx="172">
                  <c:v>9147.566000000008</c:v>
                </c:pt>
                <c:pt idx="173">
                  <c:v>9243.566000000008</c:v>
                </c:pt>
                <c:pt idx="174">
                  <c:v>9003.566000000008</c:v>
                </c:pt>
                <c:pt idx="175">
                  <c:v>8403.566000000008</c:v>
                </c:pt>
                <c:pt idx="176">
                  <c:v>8112.2660000000078</c:v>
                </c:pt>
                <c:pt idx="177">
                  <c:v>8089.8660000000082</c:v>
                </c:pt>
                <c:pt idx="178">
                  <c:v>8036.8660000000082</c:v>
                </c:pt>
                <c:pt idx="179">
                  <c:v>7991.2660000000078</c:v>
                </c:pt>
                <c:pt idx="180">
                  <c:v>7987.6760000000077</c:v>
                </c:pt>
                <c:pt idx="181">
                  <c:v>7777.6760000000077</c:v>
                </c:pt>
                <c:pt idx="182">
                  <c:v>7957.6760000000077</c:v>
                </c:pt>
                <c:pt idx="183">
                  <c:v>8461.6760000000068</c:v>
                </c:pt>
                <c:pt idx="184">
                  <c:v>8569.6760000000068</c:v>
                </c:pt>
                <c:pt idx="185">
                  <c:v>8767.6760000000068</c:v>
                </c:pt>
                <c:pt idx="186">
                  <c:v>8919.476000000006</c:v>
                </c:pt>
                <c:pt idx="187">
                  <c:v>9441.476000000006</c:v>
                </c:pt>
                <c:pt idx="188">
                  <c:v>9633.476000000006</c:v>
                </c:pt>
                <c:pt idx="189">
                  <c:v>10257.476000000006</c:v>
                </c:pt>
                <c:pt idx="190">
                  <c:v>10374.976000000006</c:v>
                </c:pt>
                <c:pt idx="191">
                  <c:v>10470.976000000006</c:v>
                </c:pt>
                <c:pt idx="192">
                  <c:v>10230.976000000006</c:v>
                </c:pt>
                <c:pt idx="193">
                  <c:v>9630.976000000006</c:v>
                </c:pt>
                <c:pt idx="194">
                  <c:v>9339.6760000000068</c:v>
                </c:pt>
                <c:pt idx="195">
                  <c:v>9317.2760000000071</c:v>
                </c:pt>
                <c:pt idx="196">
                  <c:v>9222.2760000000071</c:v>
                </c:pt>
                <c:pt idx="197">
                  <c:v>9169.2760000000071</c:v>
                </c:pt>
                <c:pt idx="198">
                  <c:v>9152.2760000000071</c:v>
                </c:pt>
                <c:pt idx="199">
                  <c:v>7925.2760000000071</c:v>
                </c:pt>
                <c:pt idx="200">
                  <c:v>7372.2760000000071</c:v>
                </c:pt>
                <c:pt idx="201">
                  <c:v>7326.6760000000068</c:v>
                </c:pt>
                <c:pt idx="202">
                  <c:v>7323.0860000000066</c:v>
                </c:pt>
                <c:pt idx="203">
                  <c:v>7113.0860000000066</c:v>
                </c:pt>
                <c:pt idx="204">
                  <c:v>7293.0860000000066</c:v>
                </c:pt>
                <c:pt idx="205">
                  <c:v>7797.0860000000066</c:v>
                </c:pt>
                <c:pt idx="206">
                  <c:v>7905.0860000000066</c:v>
                </c:pt>
                <c:pt idx="207">
                  <c:v>8103.0860000000066</c:v>
                </c:pt>
                <c:pt idx="208">
                  <c:v>8254.8860000000059</c:v>
                </c:pt>
                <c:pt idx="209">
                  <c:v>8776.8860000000059</c:v>
                </c:pt>
                <c:pt idx="210">
                  <c:v>8968.8860000000059</c:v>
                </c:pt>
                <c:pt idx="211">
                  <c:v>9592.8860000000059</c:v>
                </c:pt>
                <c:pt idx="212">
                  <c:v>9710.3860000000059</c:v>
                </c:pt>
                <c:pt idx="213">
                  <c:v>9806.3860000000059</c:v>
                </c:pt>
                <c:pt idx="214">
                  <c:v>9566.3860000000059</c:v>
                </c:pt>
                <c:pt idx="215">
                  <c:v>8966.3860000000059</c:v>
                </c:pt>
                <c:pt idx="216">
                  <c:v>8675.0860000000066</c:v>
                </c:pt>
                <c:pt idx="217">
                  <c:v>8652.686000000007</c:v>
                </c:pt>
                <c:pt idx="218">
                  <c:v>8607.0860000000066</c:v>
                </c:pt>
                <c:pt idx="219">
                  <c:v>8603.4960000000065</c:v>
                </c:pt>
                <c:pt idx="220">
                  <c:v>8393.4960000000065</c:v>
                </c:pt>
                <c:pt idx="221">
                  <c:v>8573.4960000000065</c:v>
                </c:pt>
                <c:pt idx="222">
                  <c:v>9077.4960000000065</c:v>
                </c:pt>
                <c:pt idx="223">
                  <c:v>9185.4960000000065</c:v>
                </c:pt>
                <c:pt idx="224">
                  <c:v>9383.4960000000065</c:v>
                </c:pt>
                <c:pt idx="225">
                  <c:v>9535.2960000000057</c:v>
                </c:pt>
                <c:pt idx="226">
                  <c:v>10057.296000000006</c:v>
                </c:pt>
                <c:pt idx="227">
                  <c:v>10249.296000000006</c:v>
                </c:pt>
                <c:pt idx="228">
                  <c:v>10873.296000000006</c:v>
                </c:pt>
                <c:pt idx="229">
                  <c:v>10990.796000000006</c:v>
                </c:pt>
                <c:pt idx="230">
                  <c:v>11086.796000000006</c:v>
                </c:pt>
                <c:pt idx="231">
                  <c:v>10846.796000000006</c:v>
                </c:pt>
                <c:pt idx="232">
                  <c:v>10246.796000000006</c:v>
                </c:pt>
                <c:pt idx="233">
                  <c:v>9955.4960000000065</c:v>
                </c:pt>
                <c:pt idx="234">
                  <c:v>8486.4960000000065</c:v>
                </c:pt>
                <c:pt idx="235">
                  <c:v>8464.0960000000068</c:v>
                </c:pt>
                <c:pt idx="236">
                  <c:v>8364.0960000000068</c:v>
                </c:pt>
                <c:pt idx="237">
                  <c:v>8318.4960000000065</c:v>
                </c:pt>
                <c:pt idx="238">
                  <c:v>8314.9060000000063</c:v>
                </c:pt>
                <c:pt idx="239">
                  <c:v>8104.9060000000063</c:v>
                </c:pt>
                <c:pt idx="240">
                  <c:v>8284.9060000000063</c:v>
                </c:pt>
                <c:pt idx="241">
                  <c:v>8788.9060000000063</c:v>
                </c:pt>
                <c:pt idx="242">
                  <c:v>8896.9060000000063</c:v>
                </c:pt>
                <c:pt idx="243">
                  <c:v>9094.9060000000063</c:v>
                </c:pt>
                <c:pt idx="244">
                  <c:v>9246.7060000000056</c:v>
                </c:pt>
                <c:pt idx="245">
                  <c:v>9768.7060000000056</c:v>
                </c:pt>
                <c:pt idx="246">
                  <c:v>9960.7060000000056</c:v>
                </c:pt>
                <c:pt idx="247">
                  <c:v>10584.706000000006</c:v>
                </c:pt>
                <c:pt idx="248">
                  <c:v>10702.206000000006</c:v>
                </c:pt>
                <c:pt idx="249">
                  <c:v>10798.206000000006</c:v>
                </c:pt>
                <c:pt idx="250">
                  <c:v>10558.206000000006</c:v>
                </c:pt>
                <c:pt idx="251">
                  <c:v>9908.2060000000056</c:v>
                </c:pt>
                <c:pt idx="252">
                  <c:v>9616.9060000000063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118-4A99-ACCD-E15217EF3D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86545840"/>
        <c:axId val="1086550832"/>
      </c:lineChart>
      <c:scatterChart>
        <c:scatterStyle val="lineMarker"/>
        <c:varyColors val="0"/>
        <c:ser>
          <c:idx val="2"/>
          <c:order val="2"/>
          <c:tx>
            <c:v>JOUR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dPt>
            <c:idx val="0"/>
            <c:marker>
              <c:symbol val="circle"/>
              <c:size val="8"/>
              <c:spPr>
                <a:solidFill>
                  <a:srgbClr val="FF0000"/>
                </a:solidFill>
                <a:ln>
                  <a:solidFill>
                    <a:srgbClr val="FF0000"/>
                  </a:solidFill>
                </a:ln>
              </c:spPr>
            </c:marker>
            <c:bubble3D val="0"/>
            <c:spPr>
              <a:ln w="12700">
                <a:solidFill>
                  <a:srgbClr val="FF0000"/>
                </a:solidFill>
                <a:prstDash val="sysDot"/>
              </a:ln>
            </c:spPr>
            <c:extLst>
              <c:ext xmlns:c16="http://schemas.microsoft.com/office/drawing/2014/chart" uri="{C3380CC4-5D6E-409C-BE32-E72D297353CC}">
                <c16:uniqueId val="{00000004-8118-4A99-ACCD-E15217EF3D59}"/>
              </c:ext>
            </c:extLst>
          </c:dPt>
          <c:dPt>
            <c:idx val="1"/>
            <c:bubble3D val="0"/>
            <c:spPr>
              <a:ln w="12700">
                <a:solidFill>
                  <a:srgbClr val="FF0000"/>
                </a:solidFill>
                <a:prstDash val="sysDash"/>
              </a:ln>
            </c:spPr>
            <c:extLst>
              <c:ext xmlns:c16="http://schemas.microsoft.com/office/drawing/2014/chart" uri="{C3380CC4-5D6E-409C-BE32-E72D297353CC}">
                <c16:uniqueId val="{00000006-8118-4A99-ACCD-E15217EF3D59}"/>
              </c:ext>
            </c:extLst>
          </c:dPt>
          <c:xVal>
            <c:numRef>
              <c:f>'Compte Bancaire'!$D$10:$D$11</c:f>
              <c:numCache>
                <c:formatCode>m/d/yyyy</c:formatCode>
                <c:ptCount val="2"/>
                <c:pt idx="0">
                  <c:v>42786</c:v>
                </c:pt>
                <c:pt idx="1">
                  <c:v>42786</c:v>
                </c:pt>
              </c:numCache>
            </c:numRef>
          </c:xVal>
          <c:yVal>
            <c:numRef>
              <c:f>'Compte Bancaire'!$F$10:$F$11</c:f>
              <c:numCache>
                <c:formatCode>#\ ##0.00\ "€"</c:formatCode>
                <c:ptCount val="2"/>
                <c:pt idx="0">
                  <c:v>6849.1760000000068</c:v>
                </c:pt>
                <c:pt idx="1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8118-4A99-ACCD-E15217EF3D59}"/>
            </c:ext>
          </c:extLst>
        </c:ser>
        <c:ser>
          <c:idx val="3"/>
          <c:order val="3"/>
          <c:tx>
            <c:v>MONTANT</c:v>
          </c:tx>
          <c:spPr>
            <a:ln w="12700">
              <a:solidFill>
                <a:srgbClr val="FF0000"/>
              </a:solidFill>
              <a:prstDash val="sysDash"/>
            </a:ln>
          </c:spPr>
          <c:marker>
            <c:symbol val="none"/>
          </c:marker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8-8118-4A99-ACCD-E15217EF3D59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9-8118-4A99-ACCD-E15217EF3D59}"/>
              </c:ext>
            </c:extLst>
          </c:dPt>
          <c:xVal>
            <c:numRef>
              <c:f>'Compte Bancaire'!$F$12:$F$13</c:f>
              <c:numCache>
                <c:formatCode>m/d/yyyy</c:formatCode>
                <c:ptCount val="2"/>
                <c:pt idx="0">
                  <c:v>42786</c:v>
                </c:pt>
                <c:pt idx="1">
                  <c:v>41640</c:v>
                </c:pt>
              </c:numCache>
            </c:numRef>
          </c:xVal>
          <c:yVal>
            <c:numRef>
              <c:f>'Compte Bancaire'!$D$12:$D$13</c:f>
              <c:numCache>
                <c:formatCode>#\ ##0.00\ "€"</c:formatCode>
                <c:ptCount val="2"/>
                <c:pt idx="0">
                  <c:v>6849.1760000000068</c:v>
                </c:pt>
                <c:pt idx="1">
                  <c:v>6849.1760000000068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8118-4A99-ACCD-E15217EF3D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86545840"/>
        <c:axId val="1086550832"/>
      </c:scatterChart>
      <c:dateAx>
        <c:axId val="1086545840"/>
        <c:scaling>
          <c:orientation val="minMax"/>
          <c:max val="42916"/>
          <c:min val="42156"/>
        </c:scaling>
        <c:delete val="0"/>
        <c:axPos val="b"/>
        <c:majorGridlines>
          <c:spPr>
            <a:ln w="3175">
              <a:prstDash val="dash"/>
            </a:ln>
          </c:spPr>
        </c:majorGridlines>
        <c:minorGridlines>
          <c:spPr>
            <a:ln w="12700">
              <a:solidFill>
                <a:srgbClr val="FF0000"/>
              </a:solidFill>
              <a:prstDash val="dash"/>
            </a:ln>
          </c:spPr>
        </c:minorGridlines>
        <c:numFmt formatCode="mm/yy" sourceLinked="0"/>
        <c:majorTickMark val="cross"/>
        <c:minorTickMark val="cross"/>
        <c:tickLblPos val="nextTo"/>
        <c:spPr>
          <a:ln w="22225">
            <a:solidFill>
              <a:srgbClr val="FF0000"/>
            </a:solidFill>
          </a:ln>
        </c:spPr>
        <c:txPr>
          <a:bodyPr rot="-5400000" vert="horz" anchor="ctr" anchorCtr="1"/>
          <a:lstStyle/>
          <a:p>
            <a:pPr>
              <a:defRPr/>
            </a:pPr>
            <a:endParaRPr lang="fr-FR"/>
          </a:p>
        </c:txPr>
        <c:crossAx val="1086550832"/>
        <c:crossesAt val="0"/>
        <c:auto val="1"/>
        <c:lblOffset val="100"/>
        <c:baseTimeUnit val="days"/>
        <c:majorUnit val="1"/>
        <c:majorTimeUnit val="months"/>
        <c:minorUnit val="1"/>
        <c:minorTimeUnit val="years"/>
      </c:dateAx>
      <c:valAx>
        <c:axId val="1086550832"/>
        <c:scaling>
          <c:orientation val="minMax"/>
        </c:scaling>
        <c:delete val="0"/>
        <c:axPos val="l"/>
        <c:majorGridlines>
          <c:spPr>
            <a:ln w="6350"/>
          </c:spPr>
        </c:majorGridlines>
        <c:numFmt formatCode="0" sourceLinked="0"/>
        <c:majorTickMark val="out"/>
        <c:minorTickMark val="none"/>
        <c:tickLblPos val="nextTo"/>
        <c:spPr>
          <a:ln w="12700">
            <a:solidFill>
              <a:schemeClr val="tx1">
                <a:tint val="75000"/>
              </a:schemeClr>
            </a:solidFill>
            <a:prstDash val="dash"/>
          </a:ln>
        </c:spPr>
        <c:crossAx val="1086545840"/>
        <c:crosses val="autoZero"/>
        <c:crossBetween val="between"/>
        <c:majorUnit val="2000"/>
      </c:valAx>
      <c:spPr>
        <a:noFill/>
      </c:spPr>
    </c:plotArea>
    <c:plotVisOnly val="1"/>
    <c:dispBlanksAs val="gap"/>
    <c:showDLblsOverMax val="0"/>
  </c:chart>
  <c:spPr>
    <a:solidFill>
      <a:schemeClr val="bg1">
        <a:lumMod val="95000"/>
      </a:schemeClr>
    </a:solidFill>
    <a:ln>
      <a:noFill/>
    </a:ln>
  </c:spPr>
  <c:printSettings>
    <c:headerFooter/>
    <c:pageMargins b="0.750000000000006" l="0.70000000000000095" r="0.70000000000000095" t="0.750000000000006" header="0.3" footer="0.3"/>
    <c:pageSetup orientation="portrait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numFmt formatCode="#,##0.00\ &quot;€&quot;" sourceLinked="0"/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('Compte Bancaire'!$T$383:$U$383,'Compte Bancaire'!$T$454:$U$454,'Compte Bancaire'!$T$537:$U$537,'Compte Bancaire'!$T$611:$U$611)</c:f>
            </c:strRef>
          </c:cat>
          <c:val>
            <c:numRef>
              <c:f>('Compte Bancaire'!$V$4,'Compte Bancaire'!$V$7,'Compte Bancaire'!$V$10,'Compte Bancaire'!$V$13)</c:f>
              <c:numCache>
                <c:formatCode>#\ ##0.00\ "€"</c:formatCode>
                <c:ptCount val="4"/>
                <c:pt idx="0">
                  <c:v>1476.619999999999</c:v>
                </c:pt>
                <c:pt idx="1">
                  <c:v>726.65999999999985</c:v>
                </c:pt>
                <c:pt idx="2">
                  <c:v>-1447.9699999999975</c:v>
                </c:pt>
                <c:pt idx="3">
                  <c:v>277.22999999999956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551-4FC1-B3C7-3FCF634713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"/>
        <c:axId val="1086591136"/>
        <c:axId val="1086597056"/>
      </c:barChart>
      <c:catAx>
        <c:axId val="10865911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86597056"/>
        <c:crosses val="autoZero"/>
        <c:auto val="1"/>
        <c:lblAlgn val="ctr"/>
        <c:lblOffset val="100"/>
        <c:noMultiLvlLbl val="0"/>
      </c:catAx>
      <c:valAx>
        <c:axId val="1086597056"/>
        <c:scaling>
          <c:orientation val="minMax"/>
          <c:max val="75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86591136"/>
        <c:crosses val="autoZero"/>
        <c:crossBetween val="between"/>
        <c:minorUnit val="500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>
        <a:lumMod val="95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1250640</xdr:colOff>
      <xdr:row>8</xdr:row>
      <xdr:rowOff>112446</xdr:rowOff>
    </xdr:from>
    <xdr:to>
      <xdr:col>10</xdr:col>
      <xdr:colOff>243138</xdr:colOff>
      <xdr:row>23</xdr:row>
      <xdr:rowOff>152400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677929</xdr:colOff>
      <xdr:row>8</xdr:row>
      <xdr:rowOff>95548</xdr:rowOff>
    </xdr:from>
    <xdr:to>
      <xdr:col>12</xdr:col>
      <xdr:colOff>786007</xdr:colOff>
      <xdr:row>23</xdr:row>
      <xdr:rowOff>123825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139589</xdr:colOff>
      <xdr:row>8</xdr:row>
      <xdr:rowOff>114299</xdr:rowOff>
    </xdr:from>
    <xdr:to>
      <xdr:col>6</xdr:col>
      <xdr:colOff>1038225</xdr:colOff>
      <xdr:row>23</xdr:row>
      <xdr:rowOff>180048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13</xdr:col>
      <xdr:colOff>259293</xdr:colOff>
      <xdr:row>1</xdr:row>
      <xdr:rowOff>10616</xdr:rowOff>
    </xdr:from>
    <xdr:to>
      <xdr:col>15</xdr:col>
      <xdr:colOff>742673</xdr:colOff>
      <xdr:row>23</xdr:row>
      <xdr:rowOff>95250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14</xdr:col>
      <xdr:colOff>400439</xdr:colOff>
      <xdr:row>0</xdr:row>
      <xdr:rowOff>144992</xdr:rowOff>
    </xdr:from>
    <xdr:to>
      <xdr:col>15</xdr:col>
      <xdr:colOff>799152</xdr:colOff>
      <xdr:row>3</xdr:row>
      <xdr:rowOff>11642</xdr:rowOff>
    </xdr:to>
    <xdr:sp macro="" textlink="">
      <xdr:nvSpPr>
        <xdr:cNvPr id="6" name="ZoneTexte 1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 txBox="1"/>
      </xdr:nvSpPr>
      <xdr:spPr>
        <a:xfrm>
          <a:off x="9041519" y="144992"/>
          <a:ext cx="833053" cy="369570"/>
        </a:xfrm>
        <a:prstGeom prst="rect">
          <a:avLst/>
        </a:prstGeom>
      </xdr:spPr>
      <xdr:txBody>
        <a:bodyPr wrap="square" rtlCol="0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r"/>
          <a:r>
            <a:rPr lang="fr-FR" sz="1050" i="1" baseline="0"/>
            <a:t>Résultat Trimestriel </a:t>
          </a:r>
          <a:endParaRPr lang="fr-FR" sz="1050" i="1"/>
        </a:p>
      </xdr:txBody>
    </xdr:sp>
    <xdr:clientData/>
  </xdr:twoCellAnchor>
  <xdr:twoCellAnchor>
    <xdr:from>
      <xdr:col>7</xdr:col>
      <xdr:colOff>2569744</xdr:colOff>
      <xdr:row>8</xdr:row>
      <xdr:rowOff>132236</xdr:rowOff>
    </xdr:from>
    <xdr:to>
      <xdr:col>10</xdr:col>
      <xdr:colOff>153307</xdr:colOff>
      <xdr:row>9</xdr:row>
      <xdr:rowOff>56036</xdr:rowOff>
    </xdr:to>
    <xdr:sp macro="" textlink="">
      <xdr:nvSpPr>
        <xdr:cNvPr id="7" name="ZoneTexte 1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 txBox="1"/>
      </xdr:nvSpPr>
      <xdr:spPr>
        <a:xfrm>
          <a:off x="4939564" y="1473356"/>
          <a:ext cx="1385943" cy="91440"/>
        </a:xfrm>
        <a:prstGeom prst="rect">
          <a:avLst/>
        </a:prstGeom>
      </xdr:spPr>
      <xdr:txBody>
        <a:bodyPr wrap="square" rtlCol="0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r"/>
          <a:r>
            <a:rPr lang="fr-FR" sz="1050" i="1"/>
            <a:t>Résultat mensuel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220980</xdr:colOff>
          <xdr:row>25</xdr:row>
          <xdr:rowOff>7620</xdr:rowOff>
        </xdr:from>
        <xdr:to>
          <xdr:col>14</xdr:col>
          <xdr:colOff>251460</xdr:colOff>
          <xdr:row>25</xdr:row>
          <xdr:rowOff>373380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6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vantGarde Bk BT"/>
                </a:rPr>
                <a:t>Insérer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0.18107</cdr:x>
      <cdr:y>0</cdr:y>
    </cdr:from>
    <cdr:to>
      <cdr:x>1</cdr:x>
      <cdr:y>0.07776</cdr:y>
    </cdr:to>
    <cdr:sp macro="" textlink="">
      <cdr:nvSpPr>
        <cdr:cNvPr id="2" name="ZoneTexte 1">
          <a:extLst xmlns:a="http://schemas.openxmlformats.org/drawingml/2006/main">
            <a:ext uri="{FF2B5EF4-FFF2-40B4-BE49-F238E27FC236}">
              <a16:creationId xmlns:a16="http://schemas.microsoft.com/office/drawing/2014/main" id="{70FE15C4-B0D5-F040-BF1A-E229EFDC5DEB}"/>
            </a:ext>
          </a:extLst>
        </cdr:cNvPr>
        <cdr:cNvSpPr txBox="1"/>
      </cdr:nvSpPr>
      <cdr:spPr>
        <a:xfrm xmlns:a="http://schemas.openxmlformats.org/drawingml/2006/main">
          <a:off x="390019" y="0"/>
          <a:ext cx="1763980" cy="266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r"/>
          <a:r>
            <a:rPr lang="fr-FR" sz="1050" i="1"/>
            <a:t>Recettes /</a:t>
          </a:r>
          <a:r>
            <a:rPr lang="fr-FR" sz="1050" i="1" baseline="0"/>
            <a:t> Dépenses 2016</a:t>
          </a:r>
          <a:endParaRPr lang="fr-FR" sz="1050" i="1"/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5cfceab64b413de3/Activ'Net/1.%20GESTION/1-%20Compt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missions COMMERCIAL"/>
      <sheetName val="TYPE &amp; ssTYPE"/>
      <sheetName val="BDD Matériels et Produits"/>
      <sheetName val="Détails Rémunérations"/>
      <sheetName val="Détails Location"/>
      <sheetName val="Tableau de bord"/>
      <sheetName val="Compte Bancaire"/>
      <sheetName val="1. PO"/>
      <sheetName val="2. IV"/>
      <sheetName val="3. B"/>
      <sheetName val="4. P&amp;B - PP"/>
      <sheetName val="5. F.N.A.C.A"/>
      <sheetName val="6. AXA"/>
      <sheetName val="7. CAFPI"/>
      <sheetName val="Suivi Conso CAFPI"/>
      <sheetName val="8.CIV - 17 lc"/>
      <sheetName val="9.P&amp;B - 41 P"/>
      <sheetName val="10.SOLINAS"/>
      <sheetName val="11. 6ter-UNO"/>
      <sheetName val="12. Altri Orizonti"/>
      <sheetName val="13. MAE"/>
      <sheetName val="14. Esthetica 2B"/>
      <sheetName val="15. Point Service"/>
      <sheetName val="16. BI - 11 lc "/>
      <sheetName val="17. MOBALPA"/>
    </sheetNames>
    <sheetDataSet>
      <sheetData sheetId="0" refreshError="1"/>
      <sheetData sheetId="1">
        <row r="4">
          <cell r="D4" t="str">
            <v>Charge</v>
          </cell>
        </row>
        <row r="5">
          <cell r="D5" t="str">
            <v>Fonctionnement</v>
          </cell>
        </row>
        <row r="6">
          <cell r="D6" t="str">
            <v>Fourniture</v>
          </cell>
        </row>
        <row r="7">
          <cell r="D7" t="str">
            <v>Gestion</v>
          </cell>
        </row>
        <row r="8">
          <cell r="D8" t="str">
            <v>Ponctuel</v>
          </cell>
        </row>
        <row r="9">
          <cell r="D9" t="str">
            <v>Publicité</v>
          </cell>
        </row>
        <row r="10">
          <cell r="D10" t="str">
            <v>Remise en état</v>
          </cell>
        </row>
        <row r="11">
          <cell r="D11" t="str">
            <v>Remplacement</v>
          </cell>
        </row>
        <row r="12">
          <cell r="D12" t="str">
            <v>Représentation</v>
          </cell>
        </row>
        <row r="13">
          <cell r="D13" t="str">
            <v>Salaire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tables/table1.xml><?xml version="1.0" encoding="utf-8"?>
<table xmlns="http://schemas.openxmlformats.org/spreadsheetml/2006/main" id="1" name="TableauCB" displayName="TableauCB" ref="C28:P1188" headerRowDxfId="50">
  <autoFilter ref="C28:P1188">
    <filterColumn colId="3">
      <filters>
        <dateGroupItem year="2017" dateTimeGrouping="year"/>
      </filters>
    </filterColumn>
  </autoFilter>
  <sortState ref="C936:P1188">
    <sortCondition ref="F28:F1188"/>
  </sortState>
  <tableColumns count="14">
    <tableColumn id="1" name="Etat" totalsRowDxfId="49"/>
    <tableColumn id="9" name="Type" dataDxfId="48"/>
    <tableColumn id="14" name="Sous type" dataDxfId="47"/>
    <tableColumn id="2" name="Date d'éxigibilité" totalsRowDxfId="46"/>
    <tableColumn id="10" name="Bénéficiaire" dataDxfId="45"/>
    <tableColumn id="3" name="Description" totalsRowDxfId="44"/>
    <tableColumn id="11" name="Date de paiement" dataDxfId="42" totalsRowDxfId="43"/>
    <tableColumn id="8" name="Mode de paiement" totalsRowDxfId="41"/>
    <tableColumn id="13" name="Date d'encaissement" dataDxfId="39" totalsRowDxfId="40"/>
    <tableColumn id="4" name="Débit" totalsRowFunction="sum" dataDxfId="37" totalsRowDxfId="38"/>
    <tableColumn id="5" name="Crédit" totalsRowFunction="sum" dataDxfId="35" totalsRowDxfId="36"/>
    <tableColumn id="7" name="Solde réel" totalsRowFunction="custom" totalsRowDxfId="34">
      <calculatedColumnFormula>IF(TableauCB[[#This Row],[Etat]]="",IF(TableauCB[[#This Row],[Solde]]="","",N28),N28-TableauCB[[#This Row],[Débit]]+TableauCB[[#This Row],[Crédit]])</calculatedColumnFormula>
      <totalsRowFormula>LOOKUP(9^9,TableauCB[Solde réel])</totalsRowFormula>
    </tableColumn>
    <tableColumn id="12" name="Solde critique" dataDxfId="32" totalsRowDxfId="33">
      <calculatedColumnFormula>IF(TableauCB[[#This Row],[Etat]]="xc",O28-TableauCB[[#This Row],[Débit]]+TableauCB[[#This Row],[Crédit]],O28-TableauCB[[#This Row],[Débit]])</calculatedColumnFormula>
    </tableColumn>
    <tableColumn id="6" name="Solde" totalsRowFunction="custom" totalsRowDxfId="31">
      <calculatedColumnFormula>_xludf.SUM(TableauCB[[#This Row],[Crédit]]-TableauCB[[#This Row],[Débit]])</calculatedColumnFormula>
      <totalsRowFormula>LOOKUP(9^9,TableauCB[Solde])</totalsRowFormula>
    </tableColumn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3399"/>
    <pageSetUpPr fitToPage="1"/>
  </sheetPr>
  <dimension ref="B1:AV1515"/>
  <sheetViews>
    <sheetView showGridLines="0" tabSelected="1" zoomScale="51" zoomScaleNormal="95" workbookViewId="0">
      <selection activeCell="O26" sqref="O26"/>
    </sheetView>
  </sheetViews>
  <sheetFormatPr baseColWidth="10" defaultColWidth="9" defaultRowHeight="13.2"/>
  <cols>
    <col min="1" max="1" width="2.109375" style="1" customWidth="1"/>
    <col min="2" max="2" width="19" style="1" customWidth="1"/>
    <col min="3" max="3" width="11" style="1" customWidth="1"/>
    <col min="4" max="4" width="29.44140625" style="1" customWidth="1"/>
    <col min="5" max="5" width="28.109375" style="1" customWidth="1"/>
    <col min="6" max="6" width="16.44140625" style="1" customWidth="1"/>
    <col min="7" max="7" width="28.44140625" style="5" customWidth="1"/>
    <col min="8" max="8" width="38.5546875" style="1" customWidth="1"/>
    <col min="9" max="9" width="16.6640625" style="3" customWidth="1"/>
    <col min="10" max="10" width="27.109375" style="1" customWidth="1"/>
    <col min="11" max="11" width="19.88671875" style="1" customWidth="1"/>
    <col min="12" max="12" width="14.44140625" style="1" customWidth="1"/>
    <col min="13" max="13" width="13.109375" style="1" customWidth="1"/>
    <col min="14" max="14" width="17.88671875" style="1" customWidth="1"/>
    <col min="15" max="15" width="15.44140625" style="1" customWidth="1"/>
    <col min="16" max="16" width="12.88671875" style="1" customWidth="1"/>
    <col min="17" max="17" width="3.88671875" style="1" customWidth="1"/>
    <col min="18" max="18" width="15.44140625" style="1" customWidth="1"/>
    <col min="19" max="19" width="11.33203125" style="1" customWidth="1"/>
    <col min="20" max="20" width="11.6640625" style="1" customWidth="1"/>
    <col min="21" max="21" width="11" style="1" customWidth="1"/>
    <col min="22" max="22" width="10.88671875" style="1" customWidth="1"/>
    <col min="23" max="23" width="12.109375" style="1" customWidth="1"/>
    <col min="24" max="24" width="12.109375" style="3" customWidth="1"/>
    <col min="25" max="25" width="10.88671875" style="1" customWidth="1"/>
    <col min="26" max="26" width="15.109375" style="4" customWidth="1"/>
    <col min="27" max="27" width="15.88671875" style="1" customWidth="1"/>
    <col min="28" max="28" width="12.109375" style="3" customWidth="1"/>
    <col min="29" max="29" width="14.109375" style="1" customWidth="1"/>
    <col min="30" max="30" width="2.88671875" style="2" customWidth="1"/>
    <col min="31" max="32" width="13.88671875" style="1" customWidth="1"/>
    <col min="33" max="16384" width="9" style="1"/>
  </cols>
  <sheetData>
    <row r="1" spans="2:30" s="234" customFormat="1">
      <c r="B1" s="235"/>
      <c r="C1" s="240"/>
      <c r="G1" s="241"/>
      <c r="H1" s="240"/>
      <c r="I1" s="239"/>
      <c r="J1" s="235"/>
      <c r="K1" s="235"/>
      <c r="L1" s="235"/>
      <c r="R1" s="238"/>
      <c r="S1" s="237"/>
      <c r="Z1" s="236"/>
      <c r="AD1" s="235"/>
    </row>
    <row r="2" spans="2:30" ht="3" customHeight="1" thickBot="1">
      <c r="B2" s="57"/>
      <c r="C2" s="233"/>
      <c r="D2" s="233"/>
      <c r="E2" s="233"/>
      <c r="G2" s="232"/>
      <c r="H2" s="231"/>
      <c r="I2" s="231"/>
      <c r="J2" s="2"/>
      <c r="K2" s="2"/>
      <c r="L2" s="2"/>
      <c r="Q2" s="2"/>
      <c r="R2" s="230"/>
      <c r="S2" s="229"/>
    </row>
    <row r="3" spans="2:30" s="188" customFormat="1" ht="14.25" customHeight="1" thickBot="1">
      <c r="B3" s="202"/>
      <c r="C3" s="216"/>
      <c r="D3" s="228"/>
      <c r="E3" s="228"/>
      <c r="G3" s="194"/>
      <c r="H3" s="200"/>
      <c r="I3" s="214"/>
      <c r="J3" s="227"/>
      <c r="K3" s="227"/>
      <c r="L3" s="227"/>
      <c r="Q3" s="189"/>
      <c r="R3" s="226">
        <v>2017</v>
      </c>
      <c r="S3" s="225" t="s">
        <v>142</v>
      </c>
      <c r="T3" s="224" t="s">
        <v>141</v>
      </c>
      <c r="U3" s="223" t="s">
        <v>140</v>
      </c>
      <c r="V3" s="222" t="s">
        <v>139</v>
      </c>
      <c r="Z3" s="191"/>
      <c r="AB3" s="190"/>
      <c r="AD3" s="189"/>
    </row>
    <row r="4" spans="2:30" s="188" customFormat="1" ht="14.25" customHeight="1">
      <c r="B4" s="202"/>
      <c r="C4" s="216"/>
      <c r="D4" s="221"/>
      <c r="E4" s="221"/>
      <c r="G4" s="194"/>
      <c r="H4" s="200"/>
      <c r="I4" s="214"/>
      <c r="K4" s="212" t="s">
        <v>138</v>
      </c>
      <c r="L4" s="220" t="s">
        <v>137</v>
      </c>
      <c r="M4" s="220" t="s">
        <v>136</v>
      </c>
      <c r="Q4" s="189"/>
      <c r="R4" s="219" t="s">
        <v>117</v>
      </c>
      <c r="S4" s="180">
        <f>SUMIF(TableauCB[Date d''éxigibilité],"&gt;"&amp;DATE($R$3,1,0),TableauCB[Débit])-SUMIF(TableauCB[Date d''éxigibilité],"&gt;"&amp;DATE($R$3,1,31),TableauCB[Débit])</f>
        <v>5175.1699999999946</v>
      </c>
      <c r="T4" s="179">
        <f>SUMIF(TableauCB[Date d''éxigibilité],"&gt;"&amp;DATE($R$3,1,1),TableauCB[Crédit])-SUMIF(TableauCB[Date d''éxigibilité],"&gt;"&amp;DATE($R$3,1,31),TableauCB[Crédit])</f>
        <v>3438.5</v>
      </c>
      <c r="U4" s="218">
        <f>T4-S4</f>
        <v>-1736.6699999999946</v>
      </c>
      <c r="V4" s="217">
        <f>SUM(U4:U6)</f>
        <v>1476.619999999999</v>
      </c>
      <c r="Z4" s="191"/>
      <c r="AB4" s="190"/>
      <c r="AD4" s="189"/>
    </row>
    <row r="5" spans="2:30" s="188" customFormat="1" ht="14.25" customHeight="1" thickBot="1">
      <c r="B5" s="202"/>
      <c r="C5" s="216"/>
      <c r="D5" s="215"/>
      <c r="E5" s="215"/>
      <c r="G5" s="194"/>
      <c r="H5" s="200"/>
      <c r="I5" s="214"/>
      <c r="J5" s="213"/>
      <c r="K5" s="212">
        <f ca="1">LOOKUP(TODAY(),TableauCB[Date d''éxigibilité],TableauCB[Solde])</f>
        <v>6849.1760000000068</v>
      </c>
      <c r="L5" s="211">
        <f ca="1">K5-D6</f>
        <v>624.84000000000196</v>
      </c>
      <c r="M5" s="211">
        <f ca="1">LOOKUP(TODAY(),TableauCB[Date d''éxigibilité],TableauCB[Solde critique])</f>
        <v>4562.7899999999954</v>
      </c>
      <c r="Q5" s="189"/>
      <c r="R5" s="210" t="s">
        <v>74</v>
      </c>
      <c r="S5" s="209">
        <f>SUMIF(TableauCB[Date d''éxigibilité],"&gt;"&amp;DATE($R$3,2,0),TableauCB[Débit])-SUMIF(TableauCB[Date d''éxigibilité],"&gt;"&amp;DATE($R$3,2,30),TableauCB[Débit])</f>
        <v>1951.4200000000055</v>
      </c>
      <c r="T5" s="208">
        <f>SUMIF(TableauCB[Date d''éxigibilité],"&gt;"&amp;DATE($R$3,2,1),TableauCB[Crédit])-SUMIF(TableauCB[Date d''éxigibilité],"&gt;"&amp;DATE($R$3,2,31),TableauCB[Crédit])</f>
        <v>4045.2999999999993</v>
      </c>
      <c r="U5" s="207">
        <f>T5-S5</f>
        <v>2093.8799999999937</v>
      </c>
      <c r="V5" s="181"/>
      <c r="Z5" s="191"/>
      <c r="AB5" s="190"/>
      <c r="AD5" s="189"/>
    </row>
    <row r="6" spans="2:30" s="188" customFormat="1" ht="18" thickBot="1">
      <c r="B6" s="202"/>
      <c r="C6" s="206" t="s">
        <v>92</v>
      </c>
      <c r="D6" s="205">
        <f>LOOKUP(9^9,TableauCB[Solde réel])</f>
        <v>6224.3360000000048</v>
      </c>
      <c r="E6" s="204">
        <f>D6+M7</f>
        <v>6224.3360000000048</v>
      </c>
      <c r="G6" s="194"/>
      <c r="H6" s="200"/>
      <c r="I6" s="203"/>
      <c r="J6" s="189"/>
      <c r="K6" s="189"/>
      <c r="Q6" s="189"/>
      <c r="R6" s="187" t="s">
        <v>71</v>
      </c>
      <c r="S6" s="180">
        <f>SUMIF(TableauCB[Date d''éxigibilité],"&gt;"&amp;DATE($R$3,3,0),TableauCB[Débit])-SUMIF(TableauCB[Date d''éxigibilité],"&gt;"&amp;DATE($R$3,3,31),TableauCB[Débit])</f>
        <v>1465.8899999999994</v>
      </c>
      <c r="T6" s="179">
        <f>SUMIF(TableauCB[Date d''éxigibilité],"&gt;"&amp;DATE($R$3,3,1),TableauCB[Crédit])-SUMIF(TableauCB[Date d''éxigibilité],"&gt;"&amp;DATE($R$3,3,31),TableauCB[Crédit])</f>
        <v>2585.2999999999993</v>
      </c>
      <c r="U6" s="175">
        <f>T6-S6</f>
        <v>1119.4099999999999</v>
      </c>
      <c r="V6" s="178"/>
      <c r="Z6" s="191"/>
      <c r="AB6" s="190"/>
      <c r="AD6" s="189"/>
    </row>
    <row r="7" spans="2:30" s="188" customFormat="1" ht="14.25" customHeight="1" thickBot="1">
      <c r="B7" s="202"/>
      <c r="C7" s="201"/>
      <c r="D7" s="201"/>
      <c r="E7" s="201"/>
      <c r="G7" s="194"/>
      <c r="H7" s="200"/>
      <c r="I7" s="92"/>
      <c r="J7" s="189"/>
      <c r="K7" s="199" t="s">
        <v>135</v>
      </c>
      <c r="L7" s="198"/>
      <c r="M7" s="197">
        <f>SUMIFS(TableauCB[Crédit],TableauCB[Date de paiement],"&lt;&gt;",TableauCB[Etat],"c")</f>
        <v>0</v>
      </c>
      <c r="Q7" s="189"/>
      <c r="R7" s="187" t="s">
        <v>69</v>
      </c>
      <c r="S7" s="180">
        <f>SUMIF(TableauCB[Date d''éxigibilité],"&gt;"&amp;DATE($R$3,4,0),TableauCB[Débit])-SUMIF(TableauCB[Date d''éxigibilité],"&gt;"&amp;DATE($R$3,4,30),TableauCB[Débit])</f>
        <v>3401.4599999999991</v>
      </c>
      <c r="T7" s="179">
        <f>SUMIF(TableauCB[Date d''éxigibilité],"&gt;"&amp;DATE($R$3,4,1),TableauCB[Crédit])-SUMIF(TableauCB[Date d''éxigibilité],"&gt;"&amp;DATE($R$3,4,31),TableauCB[Crédit])</f>
        <v>2693.2999999999993</v>
      </c>
      <c r="U7" s="175">
        <f>T7-S7</f>
        <v>-708.15999999999985</v>
      </c>
      <c r="V7" s="185">
        <f>SUM(U7:U9)</f>
        <v>726.65999999999985</v>
      </c>
      <c r="Z7" s="191"/>
      <c r="AB7" s="190"/>
      <c r="AD7" s="189"/>
    </row>
    <row r="8" spans="2:30" s="188" customFormat="1" ht="14.25" customHeight="1">
      <c r="B8" s="196"/>
      <c r="C8" s="195"/>
      <c r="D8" s="195"/>
      <c r="E8" s="195"/>
      <c r="G8" s="194"/>
      <c r="H8" s="193"/>
      <c r="I8" s="192"/>
      <c r="J8" s="189"/>
      <c r="K8" s="189"/>
      <c r="L8" s="189"/>
      <c r="Q8" s="189"/>
      <c r="R8" s="187" t="s">
        <v>108</v>
      </c>
      <c r="S8" s="180">
        <f>SUMIF(TableauCB[Date d''éxigibilité],"&gt;"&amp;DATE($R$3,5,0),TableauCB[Débit])-SUMIF(TableauCB[Date d''éxigibilité],"&gt;"&amp;DATE($R$3,5,31),TableauCB[Débit])</f>
        <v>2149.8899999999994</v>
      </c>
      <c r="T8" s="179">
        <f>SUMIF(TableauCB[Date d''éxigibilité],"&gt;"&amp;DATE($R$3,5,1),TableauCB[Crédit])-SUMIF(TableauCB[Date d''éxigibilité],"&gt;"&amp;DATE($R$3,5,31),TableauCB[Crédit])</f>
        <v>2837.2999999999993</v>
      </c>
      <c r="U8" s="175">
        <f>T8-S8</f>
        <v>687.40999999999985</v>
      </c>
      <c r="V8" s="181"/>
      <c r="Z8" s="191"/>
      <c r="AB8" s="190"/>
      <c r="AD8" s="189"/>
    </row>
    <row r="9" spans="2:30" ht="14.25" customHeight="1">
      <c r="B9" s="152"/>
      <c r="C9" s="152"/>
      <c r="D9" s="152"/>
      <c r="E9" s="152"/>
      <c r="F9" s="152"/>
      <c r="G9" s="153"/>
      <c r="H9" s="152"/>
      <c r="I9" s="152"/>
      <c r="J9" s="152"/>
      <c r="K9" s="152"/>
      <c r="L9" s="152"/>
      <c r="M9" s="152"/>
      <c r="N9" s="152"/>
      <c r="O9" s="152"/>
      <c r="P9" s="152"/>
      <c r="Q9" s="152"/>
      <c r="R9" s="187" t="s">
        <v>93</v>
      </c>
      <c r="S9" s="180">
        <f>SUMIF(TableauCB[Date d''éxigibilité],"&gt;"&amp;DATE($R$3,6,0),TableauCB[Débit])-SUMIF(TableauCB[Date d''éxigibilité],"&gt;"&amp;DATE($R$3,6,30),TableauCB[Débit])</f>
        <v>1945.8899999999994</v>
      </c>
      <c r="T9" s="179">
        <f>SUMIF(TableauCB[Date d''éxigibilité],"&gt;"&amp;DATE($R$3,6,1),TableauCB[Crédit])-SUMIF(TableauCB[Date d''éxigibilité],"&gt;"&amp;DATE($R$3,6,31),TableauCB[Crédit])</f>
        <v>2693.2999999999993</v>
      </c>
      <c r="U9" s="175">
        <f>T9-S9</f>
        <v>747.40999999999985</v>
      </c>
      <c r="V9" s="178"/>
    </row>
    <row r="10" spans="2:30" ht="14.25" customHeight="1">
      <c r="B10" s="152"/>
      <c r="C10" s="152"/>
      <c r="D10" s="184">
        <f ca="1">TODAY()</f>
        <v>42786</v>
      </c>
      <c r="E10" s="184"/>
      <c r="F10" s="186">
        <f ca="1">LOOKUP(D10,F29:F1188,P29:P1188)</f>
        <v>6849.1760000000068</v>
      </c>
      <c r="G10" s="182"/>
      <c r="H10" s="152"/>
      <c r="I10" s="152"/>
      <c r="J10" s="152"/>
      <c r="K10" s="152"/>
      <c r="L10" s="152"/>
      <c r="M10" s="152"/>
      <c r="N10" s="152"/>
      <c r="O10" s="152"/>
      <c r="P10" s="152"/>
      <c r="Q10" s="152"/>
      <c r="R10" s="173" t="s">
        <v>64</v>
      </c>
      <c r="S10" s="180">
        <f>SUMIF(TableauCB[Date d''éxigibilité],"&gt;"&amp;DATE($R$3,7,0),TableauCB[Débit])-SUMIF(TableauCB[Date d''éxigibilité],"&gt;"&amp;DATE($R$3,7,30),TableauCB[Débit])</f>
        <v>6316.9399999999969</v>
      </c>
      <c r="T10" s="179">
        <f>SUMIF(TableauCB[Date d''éxigibilité],"&gt;"&amp;DATE($R$3,7,1),TableauCB[Crédit])-SUMIF(TableauCB[Date d''éxigibilité],"&gt;"&amp;DATE($R$3,7,31),TableauCB[Crédit])</f>
        <v>2693.2999999999993</v>
      </c>
      <c r="U10" s="170">
        <f>T10-S10</f>
        <v>-3623.6399999999976</v>
      </c>
      <c r="V10" s="185">
        <f>SUM(U10:U12)</f>
        <v>-1447.9699999999975</v>
      </c>
    </row>
    <row r="11" spans="2:30" ht="14.25" customHeight="1">
      <c r="B11" s="152"/>
      <c r="C11" s="152"/>
      <c r="D11" s="184">
        <f ca="1">TODAY()</f>
        <v>42786</v>
      </c>
      <c r="E11" s="184"/>
      <c r="F11" s="183">
        <v>0</v>
      </c>
      <c r="G11" s="182"/>
      <c r="H11" s="152"/>
      <c r="I11" s="152"/>
      <c r="J11" s="152"/>
      <c r="K11" s="152"/>
      <c r="L11" s="152"/>
      <c r="M11" s="152"/>
      <c r="N11" s="152"/>
      <c r="O11" s="152"/>
      <c r="P11" s="152"/>
      <c r="Q11" s="152"/>
      <c r="R11" s="173" t="s">
        <v>86</v>
      </c>
      <c r="S11" s="180">
        <f>SUMIF(TableauCB[Date d''éxigibilité],"&gt;"&amp;DATE($R$3,8,0),TableauCB[Débit])-SUMIF(TableauCB[Date d''éxigibilité],"&gt;"&amp;DATE($R$3,8,31),TableauCB[Débit])</f>
        <v>1745.0400000000009</v>
      </c>
      <c r="T11" s="179">
        <f>SUMIF(TableauCB[Date d''éxigibilité],"&gt;"&amp;DATE($R$3,8,1),TableauCB[Crédit])-SUMIF(TableauCB[Date d''éxigibilité],"&gt;"&amp;DATE($R$3,8,31),TableauCB[Crédit])</f>
        <v>2693.2999999999993</v>
      </c>
      <c r="U11" s="170">
        <f>T11-S11</f>
        <v>948.2599999999984</v>
      </c>
      <c r="V11" s="181"/>
    </row>
    <row r="12" spans="2:30" ht="14.25" customHeight="1">
      <c r="B12" s="152"/>
      <c r="C12" s="152"/>
      <c r="D12" s="159">
        <f ca="1">F10</f>
        <v>6849.1760000000068</v>
      </c>
      <c r="E12" s="159"/>
      <c r="F12" s="158">
        <f ca="1">TODAY()</f>
        <v>42786</v>
      </c>
      <c r="G12" s="157"/>
      <c r="H12" s="152"/>
      <c r="I12" s="152"/>
      <c r="J12" s="152"/>
      <c r="K12" s="152"/>
      <c r="L12" s="152"/>
      <c r="M12" s="152"/>
      <c r="N12" s="152"/>
      <c r="O12" s="152"/>
      <c r="P12" s="152"/>
      <c r="Q12" s="152"/>
      <c r="R12" s="173" t="s">
        <v>84</v>
      </c>
      <c r="S12" s="180">
        <f>SUMIF(TableauCB[Date d''éxigibilité],"&gt;"&amp;DATE($R$3,9,0),TableauCB[Débit])-SUMIF(TableauCB[Date d''éxigibilité],"&gt;"&amp;DATE($R$3,9,30),TableauCB[Débit])</f>
        <v>1465.8899999999985</v>
      </c>
      <c r="T12" s="179">
        <f>SUMIF(TableauCB[Date d''éxigibilité],"&gt;"&amp;DATE($R$3,9,1),TableauCB[Crédit])-SUMIF(TableauCB[Date d''éxigibilité],"&gt;"&amp;DATE($R$3,9,31),TableauCB[Crédit])</f>
        <v>2693.3</v>
      </c>
      <c r="U12" s="170">
        <f>T12-S12</f>
        <v>1227.4100000000017</v>
      </c>
      <c r="V12" s="178"/>
    </row>
    <row r="13" spans="2:30" ht="14.25" customHeight="1">
      <c r="B13" s="152"/>
      <c r="C13" s="152"/>
      <c r="D13" s="159">
        <f ca="1">D12</f>
        <v>6849.1760000000068</v>
      </c>
      <c r="E13" s="159"/>
      <c r="F13" s="158">
        <v>41640</v>
      </c>
      <c r="G13" s="157"/>
      <c r="H13" s="152"/>
      <c r="I13" s="152"/>
      <c r="J13" s="152"/>
      <c r="K13" s="152"/>
      <c r="L13" s="152"/>
      <c r="M13" s="152"/>
      <c r="N13" s="152"/>
      <c r="O13" s="152"/>
      <c r="P13" s="152"/>
      <c r="Q13" s="152"/>
      <c r="R13" s="173" t="s">
        <v>82</v>
      </c>
      <c r="S13" s="177">
        <f>SUMIF(TableauCB[Date d''éxigibilité],"&gt;"&amp;DATE($R$3,10,0),TableauCB[Débit])-SUMIF(TableauCB[Date d''éxigibilité],"&gt;"&amp;DATE($R$3,10,31),TableauCB[Débit])</f>
        <v>3357.8900000000003</v>
      </c>
      <c r="T13" s="176">
        <f>SUMIF(TableauCB[Date d''éxigibilité],"&gt;"&amp;DATE($R$3,10,1),TableauCB[Crédit])-SUMIF(TableauCB[Date d''éxigibilité],"&gt;"&amp;DATE($R$3,10,31),TableauCB[Crédit])</f>
        <v>2693.3</v>
      </c>
      <c r="U13" s="175">
        <f>T13-S13</f>
        <v>-664.59000000000015</v>
      </c>
      <c r="V13" s="174">
        <f>SUM(U13:U15)</f>
        <v>277.22999999999956</v>
      </c>
    </row>
    <row r="14" spans="2:30" ht="14.25" customHeight="1">
      <c r="B14" s="152"/>
      <c r="C14" s="152"/>
      <c r="D14" s="159"/>
      <c r="E14" s="159"/>
      <c r="F14" s="158"/>
      <c r="G14" s="157"/>
      <c r="H14" s="152"/>
      <c r="I14" s="152"/>
      <c r="J14" s="152"/>
      <c r="K14" s="152"/>
      <c r="L14" s="152"/>
      <c r="M14" s="152"/>
      <c r="N14" s="152"/>
      <c r="O14" s="152"/>
      <c r="P14" s="152"/>
      <c r="Q14" s="152"/>
      <c r="R14" s="173" t="s">
        <v>80</v>
      </c>
      <c r="S14" s="172">
        <f>SUMIF(TableauCB[Date d''éxigibilité],"&gt;"&amp;DATE($R$3,11,0),TableauCB[Débit])-SUMIF(TableauCB[Date d''éxigibilité],"&gt;"&amp;DATE($R$3,11,30),TableauCB[Débit])</f>
        <v>1412.8900000000003</v>
      </c>
      <c r="T14" s="171">
        <f>SUMIF(TableauCB[Date d''éxigibilité],"&gt;"&amp;DATE($R$3,11,1),TableauCB[Crédit])-SUMIF(TableauCB[Date d''éxigibilité],"&gt;"&amp;DATE($R$3,11,31),TableauCB[Crédit])</f>
        <v>2693.3</v>
      </c>
      <c r="U14" s="170">
        <f>T14-S14</f>
        <v>1280.4099999999999</v>
      </c>
      <c r="V14" s="169"/>
    </row>
    <row r="15" spans="2:30" ht="14.25" customHeight="1" thickBot="1">
      <c r="B15" s="152"/>
      <c r="C15" s="152"/>
      <c r="D15" s="159"/>
      <c r="E15" s="159"/>
      <c r="F15" s="158"/>
      <c r="G15" s="157"/>
      <c r="H15" s="152"/>
      <c r="I15" s="152"/>
      <c r="J15" s="152"/>
      <c r="K15" s="152"/>
      <c r="L15" s="152"/>
      <c r="M15" s="152"/>
      <c r="N15" s="152"/>
      <c r="O15" s="152"/>
      <c r="P15" s="152"/>
      <c r="Q15" s="152"/>
      <c r="R15" s="168" t="s">
        <v>78</v>
      </c>
      <c r="S15" s="167">
        <f>SUMIF(TableauCB[Date d''éxigibilité],"&gt;"&amp;DATE($R$3,12,0),TableauCB[Débit])-SUMIF(TableauCB[Date d''éxigibilité],"&gt;"&amp;DATE($R$3,12,31),TableauCB[Débit])</f>
        <v>3031.8900000000003</v>
      </c>
      <c r="T15" s="166">
        <f>SUMIF(TableauCB[Date d''éxigibilité],"&gt;"&amp;DATE($R$3,12,1),TableauCB[Crédit])-SUMIF(TableauCB[Date d''éxigibilité],"&gt;"&amp;DATE($R$3,12,31),TableauCB[Crédit])</f>
        <v>2693.3</v>
      </c>
      <c r="U15" s="165">
        <f>T15-S15</f>
        <v>-338.59000000000015</v>
      </c>
      <c r="V15" s="164"/>
    </row>
    <row r="16" spans="2:30" ht="14.25" customHeight="1">
      <c r="B16" s="152"/>
      <c r="C16" s="152"/>
      <c r="D16" s="159"/>
      <c r="E16" s="159"/>
      <c r="F16" s="158"/>
      <c r="G16" s="157"/>
      <c r="H16" s="152"/>
      <c r="I16" s="152"/>
      <c r="J16" s="152"/>
      <c r="K16" s="152"/>
      <c r="L16" s="152"/>
      <c r="M16" s="152"/>
      <c r="N16" s="152"/>
      <c r="O16" s="152"/>
      <c r="P16" s="152"/>
      <c r="Q16" s="152"/>
      <c r="R16" s="163" t="s">
        <v>106</v>
      </c>
      <c r="S16" s="162">
        <f>SUM(S4:S15)</f>
        <v>33420.259999999995</v>
      </c>
      <c r="T16" s="162">
        <f>SUM(T4:T15)</f>
        <v>34452.799999999996</v>
      </c>
      <c r="U16" s="161">
        <f>T16-S16</f>
        <v>1032.5400000000009</v>
      </c>
    </row>
    <row r="17" spans="2:30" ht="14.25" customHeight="1">
      <c r="B17" s="152"/>
      <c r="C17" s="152"/>
      <c r="D17" s="159"/>
      <c r="E17" s="159"/>
      <c r="F17" s="158"/>
      <c r="G17" s="157"/>
      <c r="H17" s="152"/>
      <c r="I17" s="152"/>
      <c r="J17" s="152"/>
      <c r="K17" s="152"/>
      <c r="L17" s="152"/>
      <c r="M17" s="152"/>
      <c r="N17" s="152"/>
      <c r="O17" s="152"/>
      <c r="P17" s="152"/>
      <c r="Q17" s="152"/>
      <c r="R17" s="151"/>
      <c r="S17" s="150"/>
      <c r="U17" s="149"/>
    </row>
    <row r="18" spans="2:30" ht="14.25" customHeight="1">
      <c r="B18" s="152"/>
      <c r="C18" s="152"/>
      <c r="D18" s="159"/>
      <c r="E18" s="159"/>
      <c r="F18" s="158"/>
      <c r="G18" s="157"/>
      <c r="H18" s="152"/>
      <c r="I18" s="152"/>
      <c r="J18" s="152"/>
      <c r="K18" s="152"/>
      <c r="L18" s="152"/>
      <c r="M18" s="152"/>
      <c r="N18" s="152"/>
      <c r="O18" s="152"/>
      <c r="P18" s="152"/>
      <c r="Q18" s="152"/>
      <c r="R18" s="151"/>
      <c r="S18" s="160"/>
      <c r="T18" s="160"/>
      <c r="U18" s="149"/>
    </row>
    <row r="19" spans="2:30" ht="14.25" customHeight="1">
      <c r="B19" s="152"/>
      <c r="C19" s="152"/>
      <c r="D19" s="159"/>
      <c r="E19" s="159"/>
      <c r="F19" s="158"/>
      <c r="G19" s="157"/>
      <c r="H19" s="152"/>
      <c r="I19" s="152"/>
      <c r="J19" s="152"/>
      <c r="K19" s="152"/>
      <c r="L19" s="152"/>
      <c r="M19" s="152"/>
      <c r="N19" s="152"/>
      <c r="O19" s="152"/>
      <c r="P19" s="152"/>
      <c r="Q19" s="152"/>
      <c r="R19" s="151"/>
      <c r="S19" s="150"/>
      <c r="U19" s="156"/>
    </row>
    <row r="20" spans="2:30" ht="14.25" customHeight="1">
      <c r="B20" s="152"/>
      <c r="C20" s="152"/>
      <c r="D20" s="152"/>
      <c r="E20" s="152"/>
      <c r="F20" s="152"/>
      <c r="G20" s="153"/>
      <c r="H20" s="152"/>
      <c r="I20" s="152"/>
      <c r="J20" s="152"/>
      <c r="K20" s="152"/>
      <c r="L20" s="152"/>
      <c r="M20" s="152"/>
      <c r="N20" s="152"/>
      <c r="O20" s="152"/>
      <c r="P20" s="152"/>
      <c r="Q20" s="152"/>
      <c r="R20" s="151"/>
      <c r="S20" s="150"/>
      <c r="U20" s="155"/>
    </row>
    <row r="21" spans="2:30" ht="14.25" customHeight="1">
      <c r="B21" s="152"/>
      <c r="C21" s="152"/>
      <c r="D21" s="152"/>
      <c r="E21" s="152"/>
      <c r="F21" s="152"/>
      <c r="G21" s="153"/>
      <c r="H21" s="152"/>
      <c r="I21" s="152"/>
      <c r="J21" s="152"/>
      <c r="K21" s="152"/>
      <c r="L21" s="152"/>
      <c r="M21" s="152"/>
      <c r="N21" s="152"/>
      <c r="O21" s="152"/>
      <c r="P21" s="152"/>
      <c r="Q21" s="152"/>
      <c r="R21" s="151"/>
      <c r="S21" s="150"/>
      <c r="U21" s="149"/>
    </row>
    <row r="22" spans="2:30" ht="14.25" customHeight="1">
      <c r="B22" s="152"/>
      <c r="C22" s="152"/>
      <c r="D22" s="152"/>
      <c r="E22" s="152"/>
      <c r="F22" s="152"/>
      <c r="G22" s="153"/>
      <c r="H22" s="152"/>
      <c r="I22" s="152"/>
      <c r="J22" s="152"/>
      <c r="K22" s="152"/>
      <c r="L22" s="152"/>
      <c r="M22" s="152"/>
      <c r="N22" s="152"/>
      <c r="O22" s="152"/>
      <c r="P22" s="152"/>
      <c r="Q22" s="152"/>
      <c r="R22" s="151"/>
      <c r="S22" s="150"/>
      <c r="U22" s="149"/>
    </row>
    <row r="23" spans="2:30" ht="14.25" customHeight="1">
      <c r="B23" s="152"/>
      <c r="C23" s="152"/>
      <c r="D23" s="152"/>
      <c r="E23" s="152"/>
      <c r="F23" s="152"/>
      <c r="G23" s="153"/>
      <c r="H23" s="152"/>
      <c r="I23" s="152"/>
      <c r="J23" s="152"/>
      <c r="K23" s="152"/>
      <c r="L23" s="152"/>
      <c r="M23" s="152"/>
      <c r="N23" s="152"/>
      <c r="O23" s="152"/>
      <c r="P23" s="152"/>
      <c r="Q23" s="152"/>
      <c r="R23" s="151"/>
      <c r="S23" s="150"/>
      <c r="U23" s="149"/>
    </row>
    <row r="24" spans="2:30" ht="14.25" customHeight="1">
      <c r="B24" s="152"/>
      <c r="C24" s="152"/>
      <c r="D24" s="152"/>
      <c r="E24" s="152"/>
      <c r="F24" s="152"/>
      <c r="G24" s="153"/>
      <c r="H24" s="152"/>
      <c r="I24" s="152"/>
      <c r="J24" s="152"/>
      <c r="K24" s="152"/>
      <c r="L24" s="152"/>
      <c r="M24" s="152"/>
      <c r="N24" s="152"/>
      <c r="O24" s="152"/>
      <c r="P24" s="152"/>
      <c r="Q24" s="152"/>
      <c r="R24" s="151"/>
      <c r="S24" s="150"/>
    </row>
    <row r="25" spans="2:30" ht="6" customHeight="1">
      <c r="B25" s="152"/>
      <c r="C25" s="152"/>
      <c r="D25" s="152"/>
      <c r="E25" s="152"/>
      <c r="F25" s="152"/>
      <c r="G25" s="153"/>
      <c r="H25" s="152"/>
      <c r="I25" s="152"/>
      <c r="J25" s="152"/>
      <c r="K25" s="152"/>
      <c r="L25" s="152"/>
      <c r="M25" s="152"/>
      <c r="N25" s="152"/>
      <c r="O25" s="152"/>
      <c r="P25" s="152"/>
      <c r="Q25" s="152"/>
      <c r="R25" s="151"/>
      <c r="S25" s="150"/>
    </row>
    <row r="26" spans="2:30" ht="30" customHeight="1">
      <c r="B26" s="152"/>
      <c r="C26" s="154" t="s">
        <v>35</v>
      </c>
      <c r="D26" s="11" t="s">
        <v>15</v>
      </c>
      <c r="E26" s="11" t="s">
        <v>25</v>
      </c>
      <c r="F26" s="34">
        <v>42786</v>
      </c>
      <c r="G26" s="38" t="s">
        <v>25</v>
      </c>
      <c r="H26" s="33" t="s">
        <v>34</v>
      </c>
      <c r="I26" s="32">
        <v>42786</v>
      </c>
      <c r="J26" s="31" t="s">
        <v>13</v>
      </c>
      <c r="K26" s="31"/>
      <c r="L26" s="7"/>
      <c r="M26" s="7">
        <v>283</v>
      </c>
      <c r="N26" s="152"/>
      <c r="O26" s="152"/>
      <c r="P26" s="152"/>
      <c r="Q26" s="152"/>
      <c r="R26" s="151"/>
      <c r="S26" s="150"/>
    </row>
    <row r="27" spans="2:30" ht="9" customHeight="1" thickBot="1">
      <c r="B27" s="152"/>
      <c r="C27" s="152"/>
      <c r="D27" s="152"/>
      <c r="E27" s="152"/>
      <c r="F27" s="152"/>
      <c r="G27" s="153"/>
      <c r="H27" s="152"/>
      <c r="I27" s="152"/>
      <c r="J27" s="152"/>
      <c r="K27" s="152"/>
      <c r="L27" s="152"/>
      <c r="M27" s="152"/>
      <c r="N27" s="152"/>
      <c r="O27" s="152"/>
      <c r="P27" s="152"/>
      <c r="Q27" s="152"/>
      <c r="R27" s="151"/>
      <c r="S27" s="150"/>
      <c r="U27" s="149"/>
    </row>
    <row r="28" spans="2:30" ht="30" customHeight="1" thickTop="1" thickBot="1">
      <c r="B28" s="148"/>
      <c r="C28" s="147" t="s">
        <v>134</v>
      </c>
      <c r="D28" s="147" t="s">
        <v>133</v>
      </c>
      <c r="E28" s="147" t="s">
        <v>132</v>
      </c>
      <c r="F28" s="146" t="s">
        <v>131</v>
      </c>
      <c r="G28" s="146" t="s">
        <v>130</v>
      </c>
      <c r="H28" s="146" t="s">
        <v>129</v>
      </c>
      <c r="I28" s="146" t="s">
        <v>128</v>
      </c>
      <c r="J28" s="146" t="s">
        <v>127</v>
      </c>
      <c r="K28" s="146" t="s">
        <v>126</v>
      </c>
      <c r="L28" s="145" t="s">
        <v>125</v>
      </c>
      <c r="M28" s="145" t="s">
        <v>124</v>
      </c>
      <c r="N28" s="143" t="s">
        <v>123</v>
      </c>
      <c r="O28" s="144" t="s">
        <v>122</v>
      </c>
      <c r="P28" s="143" t="s">
        <v>121</v>
      </c>
      <c r="Q28" s="26"/>
      <c r="R28" s="142" t="s">
        <v>120</v>
      </c>
      <c r="S28" s="142"/>
    </row>
    <row r="29" spans="2:30" customFormat="1" ht="30" hidden="1" customHeight="1" thickTop="1">
      <c r="B29" s="132"/>
      <c r="C29" s="10" t="s">
        <v>33</v>
      </c>
      <c r="D29" s="10"/>
      <c r="E29" s="10"/>
      <c r="F29" s="134">
        <v>41487</v>
      </c>
      <c r="I29" s="10"/>
      <c r="K29" s="10"/>
      <c r="L29" s="141"/>
      <c r="M29" s="140">
        <v>2500</v>
      </c>
      <c r="N29" s="55">
        <f>TableauCB[[#This Row],[Crédit]]-TableauCB[[#This Row],[Débit]]</f>
        <v>2500</v>
      </c>
      <c r="O29" s="55" t="e">
        <f>IF(TableauCB[[#This Row],[Etat]]="xc",O28-TableauCB[[#This Row],[Débit]]+TableauCB[[#This Row],[Crédit]],O28-TableauCB[[#This Row],[Débit]])</f>
        <v>#VALUE!</v>
      </c>
      <c r="P29" s="129">
        <v>2500</v>
      </c>
      <c r="Q29" s="126"/>
      <c r="R29" s="1"/>
      <c r="S29" s="1"/>
      <c r="X29" s="124"/>
      <c r="Z29" s="125"/>
      <c r="AB29" s="124"/>
      <c r="AD29" s="123"/>
    </row>
    <row r="30" spans="2:30" customFormat="1" ht="30" hidden="1" customHeight="1">
      <c r="B30" s="132"/>
      <c r="C30" s="10" t="s">
        <v>33</v>
      </c>
      <c r="D30" s="10" t="s">
        <v>9</v>
      </c>
      <c r="E30" s="10"/>
      <c r="F30" s="134">
        <v>41488</v>
      </c>
      <c r="I30" s="10"/>
      <c r="K30" s="137"/>
      <c r="L30" s="30">
        <v>358.8</v>
      </c>
      <c r="M30" s="29"/>
      <c r="N30" s="55">
        <f>IF(OR(TableauCB[[#This Row],[Etat]]="",TableauCB[[#This Row],[Etat]]="c"),IF(TableauCB[[#This Row],[Solde]]="","",N29),N29-TableauCB[[#This Row],[Débit]]+TableauCB[[#This Row],[Crédit]])</f>
        <v>2141.1999999999998</v>
      </c>
      <c r="O30" s="55" t="e">
        <f>IF(TableauCB[[#This Row],[Etat]]="xc",O29-TableauCB[[#This Row],[Débit]]+TableauCB[[#This Row],[Crédit]],O29-TableauCB[[#This Row],[Débit]])</f>
        <v>#VALUE!</v>
      </c>
      <c r="P30" s="129">
        <f>IF(AND(ISBLANK(TableauCB[[#This Row],[Débit]]),ISBLANK(TableauCB[[#This Row],[Crédit]])),"",P29+TableauCB[[#This Row],[Crédit]]-TableauCB[[#This Row],[Débit]])</f>
        <v>2141.1999999999998</v>
      </c>
      <c r="Q30" s="126"/>
      <c r="R30" s="1"/>
      <c r="S30" s="1"/>
      <c r="X30" s="124"/>
      <c r="Z30" s="125"/>
      <c r="AB30" s="124"/>
      <c r="AD30" s="123"/>
    </row>
    <row r="31" spans="2:30" customFormat="1" ht="30" hidden="1" customHeight="1">
      <c r="B31" s="132"/>
      <c r="C31" s="11" t="s">
        <v>33</v>
      </c>
      <c r="D31" s="11" t="s">
        <v>9</v>
      </c>
      <c r="E31" s="11"/>
      <c r="F31" s="34">
        <v>41500</v>
      </c>
      <c r="I31" s="11"/>
      <c r="K31" s="136"/>
      <c r="L31" s="30">
        <v>83.96</v>
      </c>
      <c r="M31" s="29"/>
      <c r="N31" s="55">
        <f>IF(OR(TableauCB[[#This Row],[Etat]]="",TableauCB[[#This Row],[Etat]]="c"),IF(TableauCB[[#This Row],[Solde]]="","",N30),N30-TableauCB[[#This Row],[Débit]]+TableauCB[[#This Row],[Crédit]])</f>
        <v>2057.2399999999998</v>
      </c>
      <c r="O31" s="55" t="e">
        <f>IF(TableauCB[[#This Row],[Etat]]="xc",O30-TableauCB[[#This Row],[Débit]]+TableauCB[[#This Row],[Crédit]],O30-TableauCB[[#This Row],[Débit]])</f>
        <v>#VALUE!</v>
      </c>
      <c r="P31" s="129">
        <f>IF(AND(ISBLANK(TableauCB[[#This Row],[Débit]]),ISBLANK(TableauCB[[#This Row],[Crédit]])),"",P30+TableauCB[[#This Row],[Crédit]]-TableauCB[[#This Row],[Débit]])</f>
        <v>2057.2399999999998</v>
      </c>
      <c r="Q31" s="126"/>
      <c r="R31" s="1"/>
      <c r="S31" s="1"/>
      <c r="X31" s="124"/>
      <c r="Z31" s="125"/>
      <c r="AB31" s="124"/>
      <c r="AD31" s="123"/>
    </row>
    <row r="32" spans="2:30" customFormat="1" ht="30" hidden="1" customHeight="1">
      <c r="B32" s="132"/>
      <c r="C32" s="11" t="s">
        <v>33</v>
      </c>
      <c r="D32" s="11" t="s">
        <v>9</v>
      </c>
      <c r="E32" s="11"/>
      <c r="F32" s="34">
        <v>41500</v>
      </c>
      <c r="I32" s="11"/>
      <c r="K32" s="136"/>
      <c r="L32" s="30">
        <v>188</v>
      </c>
      <c r="M32" s="29"/>
      <c r="N32" s="55">
        <f>IF(OR(TableauCB[[#This Row],[Etat]]="",TableauCB[[#This Row],[Etat]]="c"),IF(TableauCB[[#This Row],[Solde]]="","",N31),N31-TableauCB[[#This Row],[Débit]]+TableauCB[[#This Row],[Crédit]])</f>
        <v>1869.2399999999998</v>
      </c>
      <c r="O32" s="55" t="e">
        <f>IF(TableauCB[[#This Row],[Etat]]="xc",O31-TableauCB[[#This Row],[Débit]]+TableauCB[[#This Row],[Crédit]],O31-TableauCB[[#This Row],[Débit]])</f>
        <v>#VALUE!</v>
      </c>
      <c r="P32" s="129">
        <f>IF(AND(ISBLANK(TableauCB[[#This Row],[Débit]]),ISBLANK(TableauCB[[#This Row],[Crédit]])),"",P31+TableauCB[[#This Row],[Crédit]]-TableauCB[[#This Row],[Débit]])</f>
        <v>1869.2399999999998</v>
      </c>
      <c r="Q32" s="126"/>
      <c r="R32" s="1"/>
      <c r="S32" s="1"/>
      <c r="X32" s="124"/>
      <c r="Z32" s="125"/>
      <c r="AB32" s="124"/>
      <c r="AD32" s="123"/>
    </row>
    <row r="33" spans="2:30" customFormat="1" ht="30" hidden="1" customHeight="1">
      <c r="B33" s="132"/>
      <c r="C33" s="11" t="s">
        <v>33</v>
      </c>
      <c r="D33" s="11" t="s">
        <v>9</v>
      </c>
      <c r="E33" s="11"/>
      <c r="F33" s="34">
        <v>41500</v>
      </c>
      <c r="I33" s="11"/>
      <c r="K33" s="136"/>
      <c r="L33" s="30">
        <v>170</v>
      </c>
      <c r="M33" s="29"/>
      <c r="N33" s="55">
        <f>IF(OR(TableauCB[[#This Row],[Etat]]="",TableauCB[[#This Row],[Etat]]="c"),IF(TableauCB[[#This Row],[Solde]]="","",N32),N32-TableauCB[[#This Row],[Débit]]+TableauCB[[#This Row],[Crédit]])</f>
        <v>1699.2399999999998</v>
      </c>
      <c r="O33" s="55" t="e">
        <f>IF(TableauCB[[#This Row],[Etat]]="xc",O32-TableauCB[[#This Row],[Débit]]+TableauCB[[#This Row],[Crédit]],O32-TableauCB[[#This Row],[Débit]])</f>
        <v>#VALUE!</v>
      </c>
      <c r="P33" s="129">
        <f>IF(AND(ISBLANK(TableauCB[[#This Row],[Débit]]),ISBLANK(TableauCB[[#This Row],[Crédit]])),"",P32+TableauCB[[#This Row],[Crédit]]-TableauCB[[#This Row],[Débit]])</f>
        <v>1699.2399999999998</v>
      </c>
      <c r="Q33" s="126"/>
      <c r="R33" s="1"/>
      <c r="S33" s="1"/>
      <c r="X33" s="124"/>
      <c r="Z33" s="125"/>
      <c r="AB33" s="124"/>
      <c r="AD33" s="123"/>
    </row>
    <row r="34" spans="2:30" customFormat="1" ht="30" hidden="1" customHeight="1">
      <c r="B34" s="132"/>
      <c r="C34" s="10" t="s">
        <v>33</v>
      </c>
      <c r="D34" s="10" t="s">
        <v>9</v>
      </c>
      <c r="E34" s="10"/>
      <c r="F34" s="134">
        <v>41502</v>
      </c>
      <c r="I34" s="10"/>
      <c r="K34" s="137"/>
      <c r="L34" s="30">
        <v>98.9</v>
      </c>
      <c r="M34" s="29"/>
      <c r="N34" s="55">
        <f>IF(OR(TableauCB[[#This Row],[Etat]]="",TableauCB[[#This Row],[Etat]]="c"),IF(TableauCB[[#This Row],[Solde]]="","",N33),N33-TableauCB[[#This Row],[Débit]]+TableauCB[[#This Row],[Crédit]])</f>
        <v>1600.3399999999997</v>
      </c>
      <c r="O34" s="55" t="e">
        <f>IF(TableauCB[[#This Row],[Etat]]="xc",O33-TableauCB[[#This Row],[Débit]]+TableauCB[[#This Row],[Crédit]],O33-TableauCB[[#This Row],[Débit]])</f>
        <v>#VALUE!</v>
      </c>
      <c r="P34" s="129">
        <f>IF(AND(ISBLANK(TableauCB[[#This Row],[Débit]]),ISBLANK(TableauCB[[#This Row],[Crédit]])),"",P33+TableauCB[[#This Row],[Crédit]]-TableauCB[[#This Row],[Débit]])</f>
        <v>1600.3399999999997</v>
      </c>
      <c r="Q34" s="126"/>
      <c r="R34" s="1"/>
      <c r="S34" s="1"/>
      <c r="X34" s="124"/>
      <c r="Z34" s="125"/>
      <c r="AB34" s="124"/>
      <c r="AD34" s="123"/>
    </row>
    <row r="35" spans="2:30" customFormat="1" ht="30" hidden="1" customHeight="1" thickBot="1">
      <c r="B35" s="132"/>
      <c r="C35" s="11" t="s">
        <v>33</v>
      </c>
      <c r="D35" s="11" t="s">
        <v>9</v>
      </c>
      <c r="E35" s="11"/>
      <c r="F35" s="34">
        <v>41512</v>
      </c>
      <c r="I35" s="11"/>
      <c r="K35" s="137"/>
      <c r="L35" s="30">
        <v>47.34</v>
      </c>
      <c r="M35" s="29"/>
      <c r="N35" s="55">
        <f>IF(OR(TableauCB[[#This Row],[Etat]]="",TableauCB[[#This Row],[Etat]]="c"),IF(TableauCB[[#This Row],[Solde]]="","",N34),N34-TableauCB[[#This Row],[Débit]]+TableauCB[[#This Row],[Crédit]])</f>
        <v>1552.9999999999998</v>
      </c>
      <c r="O35" s="55" t="e">
        <f>IF(TableauCB[[#This Row],[Etat]]="xc",O34-TableauCB[[#This Row],[Débit]]+TableauCB[[#This Row],[Crédit]],O34-TableauCB[[#This Row],[Débit]])</f>
        <v>#VALUE!</v>
      </c>
      <c r="P35" s="129">
        <f>IF(AND(ISBLANK(TableauCB[[#This Row],[Débit]]),ISBLANK(TableauCB[[#This Row],[Crédit]])),"",P34+TableauCB[[#This Row],[Crédit]]-TableauCB[[#This Row],[Débit]])</f>
        <v>1552.9999999999998</v>
      </c>
      <c r="Q35" s="126"/>
      <c r="R35" s="139" t="s">
        <v>54</v>
      </c>
      <c r="S35" s="47" t="s">
        <v>53</v>
      </c>
      <c r="X35" s="124"/>
      <c r="Z35" s="125"/>
      <c r="AB35" s="124"/>
      <c r="AD35" s="123"/>
    </row>
    <row r="36" spans="2:30" customFormat="1" ht="30" hidden="1" customHeight="1" thickBot="1">
      <c r="B36" s="132"/>
      <c r="C36" s="101" t="s">
        <v>33</v>
      </c>
      <c r="D36" s="101" t="s">
        <v>41</v>
      </c>
      <c r="E36" s="101"/>
      <c r="F36" s="100">
        <v>41515</v>
      </c>
      <c r="I36" s="101"/>
      <c r="K36" s="138"/>
      <c r="L36" s="97">
        <v>50.89</v>
      </c>
      <c r="M36" s="96"/>
      <c r="N36" s="135">
        <f>IF(OR(TableauCB[[#This Row],[Etat]]="",TableauCB[[#This Row],[Etat]]="c"),IF(TableauCB[[#This Row],[Solde]]="","",N35),N35-TableauCB[[#This Row],[Débit]]+TableauCB[[#This Row],[Crédit]])</f>
        <v>1502.1099999999997</v>
      </c>
      <c r="O36" s="127" t="e">
        <f>IF(TableauCB[[#This Row],[Etat]]="xc",O35-TableauCB[[#This Row],[Débit]]+TableauCB[[#This Row],[Crédit]],O35-TableauCB[[#This Row],[Débit]])</f>
        <v>#VALUE!</v>
      </c>
      <c r="P36" s="127">
        <f>IF(AND(ISBLANK(TableauCB[[#This Row],[Débit]]),ISBLANK(TableauCB[[#This Row],[Crédit]])),"",P35+TableauCB[[#This Row],[Crédit]]-TableauCB[[#This Row],[Débit]])</f>
        <v>1502.1099999999997</v>
      </c>
      <c r="Q36" s="126"/>
      <c r="R36" s="25">
        <f>SUM(M29:M36)-SUM(L29:L36)</f>
        <v>1502.1100000000001</v>
      </c>
      <c r="S36" s="25">
        <f>R36/1.2</f>
        <v>1251.7583333333334</v>
      </c>
      <c r="X36" s="124"/>
      <c r="Z36" s="125"/>
      <c r="AB36" s="124"/>
      <c r="AD36" s="123"/>
    </row>
    <row r="37" spans="2:30" customFormat="1" ht="30" hidden="1" customHeight="1">
      <c r="B37" s="132"/>
      <c r="C37" s="10" t="s">
        <v>33</v>
      </c>
      <c r="D37" s="10" t="s">
        <v>28</v>
      </c>
      <c r="E37" s="10"/>
      <c r="F37" s="134">
        <v>41529</v>
      </c>
      <c r="I37" s="10"/>
      <c r="K37" s="137"/>
      <c r="L37" s="30">
        <v>229.25</v>
      </c>
      <c r="M37" s="29"/>
      <c r="N37" s="55">
        <f>IF(OR(TableauCB[[#This Row],[Etat]]="",TableauCB[[#This Row],[Etat]]="c"),IF(TableauCB[[#This Row],[Solde]]="","",N36),N36-TableauCB[[#This Row],[Débit]]+TableauCB[[#This Row],[Crédit]])</f>
        <v>1272.8599999999997</v>
      </c>
      <c r="O37" s="55" t="e">
        <f>IF(TableauCB[[#This Row],[Etat]]="xc",O36-TableauCB[[#This Row],[Débit]]+TableauCB[[#This Row],[Crédit]],O36-TableauCB[[#This Row],[Débit]])</f>
        <v>#VALUE!</v>
      </c>
      <c r="P37" s="129">
        <f>IF(AND(ISBLANK(TableauCB[[#This Row],[Débit]]),ISBLANK(TableauCB[[#This Row],[Crédit]])),"",P36+TableauCB[[#This Row],[Crédit]]-TableauCB[[#This Row],[Débit]])</f>
        <v>1272.8599999999997</v>
      </c>
      <c r="Q37" s="126"/>
      <c r="R37" s="1"/>
      <c r="S37" s="1"/>
      <c r="X37" s="124"/>
      <c r="Z37" s="125"/>
      <c r="AB37" s="124"/>
      <c r="AD37" s="123"/>
    </row>
    <row r="38" spans="2:30" customFormat="1" ht="30" hidden="1" customHeight="1" thickBot="1">
      <c r="B38" s="132"/>
      <c r="C38" s="11" t="s">
        <v>33</v>
      </c>
      <c r="D38" s="11" t="s">
        <v>41</v>
      </c>
      <c r="E38" s="11"/>
      <c r="F38" s="34">
        <v>41532</v>
      </c>
      <c r="I38" s="11"/>
      <c r="K38" s="11"/>
      <c r="L38" s="30">
        <v>272.86</v>
      </c>
      <c r="M38" s="29"/>
      <c r="N38" s="55">
        <f>IF(OR(TableauCB[[#This Row],[Etat]]="",TableauCB[[#This Row],[Etat]]="c"),IF(TableauCB[[#This Row],[Solde]]="","",N37),N37-TableauCB[[#This Row],[Débit]]+TableauCB[[#This Row],[Crédit]])</f>
        <v>999.99999999999966</v>
      </c>
      <c r="O38" s="55" t="e">
        <f>IF(TableauCB[[#This Row],[Etat]]="xc",O37-TableauCB[[#This Row],[Débit]]+TableauCB[[#This Row],[Crédit]],O37-TableauCB[[#This Row],[Débit]])</f>
        <v>#VALUE!</v>
      </c>
      <c r="P38" s="129">
        <f>IF(AND(ISBLANK(TableauCB[[#This Row],[Débit]]),ISBLANK(TableauCB[[#This Row],[Crédit]])),"",P37+TableauCB[[#This Row],[Crédit]]-TableauCB[[#This Row],[Débit]])</f>
        <v>999.99999999999966</v>
      </c>
      <c r="Q38" s="126"/>
      <c r="R38" s="47" t="s">
        <v>54</v>
      </c>
      <c r="S38" s="47" t="s">
        <v>53</v>
      </c>
      <c r="X38" s="124"/>
      <c r="Z38" s="125"/>
      <c r="AB38" s="124"/>
      <c r="AD38" s="123"/>
    </row>
    <row r="39" spans="2:30" customFormat="1" ht="30" hidden="1" customHeight="1" thickBot="1">
      <c r="B39" s="132"/>
      <c r="C39" s="101" t="s">
        <v>33</v>
      </c>
      <c r="D39" s="101" t="s">
        <v>41</v>
      </c>
      <c r="E39" s="101"/>
      <c r="F39" s="100">
        <v>41547</v>
      </c>
      <c r="I39" s="101"/>
      <c r="K39" s="101"/>
      <c r="L39" s="97">
        <v>320.94</v>
      </c>
      <c r="M39" s="96"/>
      <c r="N39" s="135">
        <f>IF(OR(TableauCB[[#This Row],[Etat]]="",TableauCB[[#This Row],[Etat]]="c"),IF(TableauCB[[#This Row],[Solde]]="","",N38),N38-TableauCB[[#This Row],[Débit]]+TableauCB[[#This Row],[Crédit]])</f>
        <v>679.05999999999972</v>
      </c>
      <c r="O39" s="127" t="e">
        <f>IF(TableauCB[[#This Row],[Etat]]="xc",O38-TableauCB[[#This Row],[Débit]]+TableauCB[[#This Row],[Crédit]],O38-TableauCB[[#This Row],[Débit]])</f>
        <v>#VALUE!</v>
      </c>
      <c r="P39" s="127">
        <f>IF(AND(ISBLANK(TableauCB[[#This Row],[Débit]]),ISBLANK(TableauCB[[#This Row],[Crédit]])),"",P38+TableauCB[[#This Row],[Crédit]]-TableauCB[[#This Row],[Débit]])</f>
        <v>679.05999999999972</v>
      </c>
      <c r="Q39" s="126"/>
      <c r="R39" s="25">
        <f>SUM(M37:M39)-SUM(L37:L39)</f>
        <v>-823.05</v>
      </c>
      <c r="S39" s="25">
        <f>R39/1.2</f>
        <v>-685.875</v>
      </c>
      <c r="X39" s="124"/>
      <c r="Z39" s="125"/>
      <c r="AB39" s="124"/>
      <c r="AD39" s="123"/>
    </row>
    <row r="40" spans="2:30" customFormat="1" ht="30" hidden="1" customHeight="1">
      <c r="B40" s="132"/>
      <c r="C40" s="10" t="s">
        <v>33</v>
      </c>
      <c r="D40" s="10" t="s">
        <v>11</v>
      </c>
      <c r="E40" s="10"/>
      <c r="F40" s="134">
        <v>41548</v>
      </c>
      <c r="I40" s="10"/>
      <c r="K40" s="137"/>
      <c r="L40" s="30"/>
      <c r="M40" s="29">
        <v>215.28</v>
      </c>
      <c r="N40" s="55">
        <f>IF(OR(TableauCB[[#This Row],[Etat]]="",TableauCB[[#This Row],[Etat]]="c"),IF(TableauCB[[#This Row],[Solde]]="","",N39),N39-TableauCB[[#This Row],[Débit]]+TableauCB[[#This Row],[Crédit]])</f>
        <v>894.33999999999969</v>
      </c>
      <c r="O40" s="55" t="e">
        <f>IF(TableauCB[[#This Row],[Etat]]="xc",O39-TableauCB[[#This Row],[Débit]]+TableauCB[[#This Row],[Crédit]],O39-TableauCB[[#This Row],[Débit]])</f>
        <v>#VALUE!</v>
      </c>
      <c r="P40" s="129">
        <f>IF(AND(ISBLANK(TableauCB[[#This Row],[Débit]]),ISBLANK(TableauCB[[#This Row],[Crédit]])),"",P39+TableauCB[[#This Row],[Crédit]]-TableauCB[[#This Row],[Débit]])</f>
        <v>894.33999999999969</v>
      </c>
      <c r="Q40" s="126"/>
      <c r="R40" s="1"/>
      <c r="S40" s="1"/>
      <c r="X40" s="124"/>
      <c r="Z40" s="125"/>
      <c r="AB40" s="124"/>
      <c r="AD40" s="123"/>
    </row>
    <row r="41" spans="2:30" customFormat="1" ht="30" hidden="1" customHeight="1">
      <c r="B41" s="132"/>
      <c r="C41" s="10" t="s">
        <v>33</v>
      </c>
      <c r="D41" s="10" t="s">
        <v>11</v>
      </c>
      <c r="E41" s="10"/>
      <c r="F41" s="134">
        <v>41548</v>
      </c>
      <c r="I41" s="10"/>
      <c r="K41" s="137"/>
      <c r="L41" s="30"/>
      <c r="M41" s="29">
        <v>197.34</v>
      </c>
      <c r="N41" s="55">
        <f>IF(OR(TableauCB[[#This Row],[Etat]]="",TableauCB[[#This Row],[Etat]]="c"),IF(TableauCB[[#This Row],[Solde]]="","",N40),N40-TableauCB[[#This Row],[Débit]]+TableauCB[[#This Row],[Crédit]])</f>
        <v>1091.6799999999996</v>
      </c>
      <c r="O41" s="55" t="e">
        <f>IF(TableauCB[[#This Row],[Etat]]="xc",O40-TableauCB[[#This Row],[Débit]]+TableauCB[[#This Row],[Crédit]],O40-TableauCB[[#This Row],[Débit]])</f>
        <v>#VALUE!</v>
      </c>
      <c r="P41" s="129">
        <f>IF(AND(ISBLANK(TableauCB[[#This Row],[Débit]]),ISBLANK(TableauCB[[#This Row],[Crédit]])),"",P40+TableauCB[[#This Row],[Crédit]]-TableauCB[[#This Row],[Débit]])</f>
        <v>1091.6799999999996</v>
      </c>
      <c r="Q41" s="126"/>
      <c r="R41" s="1"/>
      <c r="S41" s="1"/>
      <c r="X41" s="124"/>
      <c r="Z41" s="125"/>
      <c r="AB41" s="124"/>
      <c r="AD41" s="123"/>
    </row>
    <row r="42" spans="2:30" customFormat="1" ht="30" hidden="1" customHeight="1">
      <c r="B42" s="132"/>
      <c r="C42" s="10" t="s">
        <v>33</v>
      </c>
      <c r="D42" s="10" t="s">
        <v>11</v>
      </c>
      <c r="E42" s="10"/>
      <c r="F42" s="134">
        <v>41548</v>
      </c>
      <c r="I42" s="10"/>
      <c r="K42" s="137"/>
      <c r="L42" s="30"/>
      <c r="M42" s="29">
        <v>520.26</v>
      </c>
      <c r="N42" s="55">
        <f>IF(OR(TableauCB[[#This Row],[Etat]]="",TableauCB[[#This Row],[Etat]]="c"),IF(TableauCB[[#This Row],[Solde]]="","",N41),N41-TableauCB[[#This Row],[Débit]]+TableauCB[[#This Row],[Crédit]])</f>
        <v>1611.9399999999996</v>
      </c>
      <c r="O42" s="55" t="e">
        <f>IF(TableauCB[[#This Row],[Etat]]="xc",O41-TableauCB[[#This Row],[Débit]]+TableauCB[[#This Row],[Crédit]],O41-TableauCB[[#This Row],[Débit]])</f>
        <v>#VALUE!</v>
      </c>
      <c r="P42" s="129">
        <f>IF(AND(ISBLANK(TableauCB[[#This Row],[Débit]]),ISBLANK(TableauCB[[#This Row],[Crédit]])),"",P41+TableauCB[[#This Row],[Crédit]]-TableauCB[[#This Row],[Débit]])</f>
        <v>1611.9399999999996</v>
      </c>
      <c r="Q42" s="126"/>
      <c r="R42" s="1"/>
      <c r="S42" s="1"/>
      <c r="X42" s="124"/>
      <c r="Z42" s="125"/>
      <c r="AB42" s="124"/>
      <c r="AD42" s="123"/>
    </row>
    <row r="43" spans="2:30" customFormat="1" ht="30" hidden="1" customHeight="1">
      <c r="B43" s="132"/>
      <c r="C43" s="10" t="s">
        <v>33</v>
      </c>
      <c r="D43" s="10" t="s">
        <v>5</v>
      </c>
      <c r="E43" s="10"/>
      <c r="F43" s="134">
        <v>41548</v>
      </c>
      <c r="I43" s="10"/>
      <c r="K43" s="137"/>
      <c r="L43" s="30">
        <v>261.32</v>
      </c>
      <c r="M43" s="29"/>
      <c r="N43" s="55">
        <f>IF(OR(TableauCB[[#This Row],[Etat]]="",TableauCB[[#This Row],[Etat]]="c"),IF(TableauCB[[#This Row],[Solde]]="","",N42),N42-TableauCB[[#This Row],[Débit]]+TableauCB[[#This Row],[Crédit]])</f>
        <v>1350.6199999999997</v>
      </c>
      <c r="O43" s="55" t="e">
        <f>IF(TableauCB[[#This Row],[Etat]]="xc",O42-TableauCB[[#This Row],[Débit]]+TableauCB[[#This Row],[Crédit]],O42-TableauCB[[#This Row],[Débit]])</f>
        <v>#VALUE!</v>
      </c>
      <c r="P43" s="129">
        <f>IF(AND(ISBLANK(TableauCB[[#This Row],[Débit]]),ISBLANK(TableauCB[[#This Row],[Crédit]])),"",P42+TableauCB[[#This Row],[Crédit]]-TableauCB[[#This Row],[Débit]])</f>
        <v>1350.6199999999997</v>
      </c>
      <c r="Q43" s="126"/>
      <c r="R43" s="1"/>
      <c r="S43" s="1"/>
      <c r="X43" s="124"/>
      <c r="Z43" s="125"/>
      <c r="AB43" s="124"/>
      <c r="AD43" s="123"/>
    </row>
    <row r="44" spans="2:30" customFormat="1" ht="30" hidden="1" customHeight="1">
      <c r="B44" s="132"/>
      <c r="C44" s="10" t="s">
        <v>33</v>
      </c>
      <c r="D44" s="10" t="s">
        <v>41</v>
      </c>
      <c r="E44" s="10"/>
      <c r="F44" s="134">
        <v>41561</v>
      </c>
      <c r="I44" s="10"/>
      <c r="K44" s="137"/>
      <c r="L44" s="30">
        <v>86.4</v>
      </c>
      <c r="M44" s="29"/>
      <c r="N44" s="55">
        <f>IF(OR(TableauCB[[#This Row],[Etat]]="",TableauCB[[#This Row],[Etat]]="c"),IF(TableauCB[[#This Row],[Solde]]="","",N43),N43-TableauCB[[#This Row],[Débit]]+TableauCB[[#This Row],[Crédit]])</f>
        <v>1264.2199999999996</v>
      </c>
      <c r="O44" s="55" t="e">
        <f>IF(TableauCB[[#This Row],[Etat]]="xc",O43-TableauCB[[#This Row],[Débit]]+TableauCB[[#This Row],[Crédit]],O43-TableauCB[[#This Row],[Débit]])</f>
        <v>#VALUE!</v>
      </c>
      <c r="P44" s="129">
        <f>IF(AND(ISBLANK(TableauCB[[#This Row],[Débit]]),ISBLANK(TableauCB[[#This Row],[Crédit]])),"",P43+TableauCB[[#This Row],[Crédit]]-TableauCB[[#This Row],[Débit]])</f>
        <v>1264.2199999999996</v>
      </c>
      <c r="Q44" s="126"/>
      <c r="R44" s="1"/>
      <c r="S44" s="1"/>
      <c r="X44" s="124"/>
      <c r="Z44" s="125"/>
      <c r="AB44" s="124"/>
      <c r="AD44" s="123"/>
    </row>
    <row r="45" spans="2:30" customFormat="1" ht="30" hidden="1" customHeight="1">
      <c r="B45" s="132"/>
      <c r="C45" s="10" t="s">
        <v>33</v>
      </c>
      <c r="D45" s="10" t="s">
        <v>9</v>
      </c>
      <c r="E45" s="10"/>
      <c r="F45" s="134">
        <v>41562</v>
      </c>
      <c r="I45" s="10"/>
      <c r="K45" s="137"/>
      <c r="L45" s="30">
        <v>239.2</v>
      </c>
      <c r="M45" s="29"/>
      <c r="N45" s="55">
        <f>IF(OR(TableauCB[[#This Row],[Etat]]="",TableauCB[[#This Row],[Etat]]="c"),IF(TableauCB[[#This Row],[Solde]]="","",N44),N44-TableauCB[[#This Row],[Débit]]+TableauCB[[#This Row],[Crédit]])</f>
        <v>1025.0199999999995</v>
      </c>
      <c r="O45" s="55" t="e">
        <f>IF(TableauCB[[#This Row],[Etat]]="xc",O44-TableauCB[[#This Row],[Débit]]+TableauCB[[#This Row],[Crédit]],O44-TableauCB[[#This Row],[Débit]])</f>
        <v>#VALUE!</v>
      </c>
      <c r="P45" s="129">
        <f>IF(AND(ISBLANK(TableauCB[[#This Row],[Débit]]),ISBLANK(TableauCB[[#This Row],[Crédit]])),"",P44+TableauCB[[#This Row],[Crédit]]-TableauCB[[#This Row],[Débit]])</f>
        <v>1025.0199999999995</v>
      </c>
      <c r="Q45" s="126"/>
      <c r="R45" s="1"/>
      <c r="S45" s="1"/>
      <c r="X45" s="124"/>
      <c r="Z45" s="125"/>
      <c r="AB45" s="124"/>
      <c r="AD45" s="123"/>
    </row>
    <row r="46" spans="2:30" customFormat="1" ht="30" hidden="1" customHeight="1">
      <c r="B46" s="132"/>
      <c r="C46" s="10" t="s">
        <v>33</v>
      </c>
      <c r="D46" s="10" t="s">
        <v>15</v>
      </c>
      <c r="E46" s="10"/>
      <c r="F46" s="134">
        <v>41562</v>
      </c>
      <c r="I46" s="10"/>
      <c r="K46" s="137"/>
      <c r="L46" s="30">
        <v>91</v>
      </c>
      <c r="M46" s="29"/>
      <c r="N46" s="55">
        <f>IF(OR(TableauCB[[#This Row],[Etat]]="",TableauCB[[#This Row],[Etat]]="c"),IF(TableauCB[[#This Row],[Solde]]="","",N45),N45-TableauCB[[#This Row],[Débit]]+TableauCB[[#This Row],[Crédit]])</f>
        <v>934.01999999999953</v>
      </c>
      <c r="O46" s="55" t="e">
        <f>IF(TableauCB[[#This Row],[Etat]]="xc",O45-TableauCB[[#This Row],[Débit]]+TableauCB[[#This Row],[Crédit]],O45-TableauCB[[#This Row],[Débit]])</f>
        <v>#VALUE!</v>
      </c>
      <c r="P46" s="129">
        <f>IF(AND(ISBLANK(TableauCB[[#This Row],[Débit]]),ISBLANK(TableauCB[[#This Row],[Crédit]])),"",P45+TableauCB[[#This Row],[Crédit]]-TableauCB[[#This Row],[Débit]])</f>
        <v>934.01999999999953</v>
      </c>
      <c r="Q46" s="126"/>
      <c r="R46" s="1"/>
      <c r="S46" s="1"/>
      <c r="X46" s="124"/>
      <c r="Z46" s="125"/>
      <c r="AB46" s="124"/>
      <c r="AD46" s="123"/>
    </row>
    <row r="47" spans="2:30" customFormat="1" ht="30" hidden="1" customHeight="1">
      <c r="B47" s="132"/>
      <c r="C47" s="10" t="s">
        <v>33</v>
      </c>
      <c r="D47" s="10" t="s">
        <v>15</v>
      </c>
      <c r="E47" s="10"/>
      <c r="F47" s="134">
        <v>41562</v>
      </c>
      <c r="I47" s="10"/>
      <c r="K47" s="137"/>
      <c r="L47" s="30">
        <v>32</v>
      </c>
      <c r="M47" s="29"/>
      <c r="N47" s="55">
        <f>IF(OR(TableauCB[[#This Row],[Etat]]="",TableauCB[[#This Row],[Etat]]="c"),IF(TableauCB[[#This Row],[Solde]]="","",N46),N46-TableauCB[[#This Row],[Débit]]+TableauCB[[#This Row],[Crédit]])</f>
        <v>902.01999999999953</v>
      </c>
      <c r="O47" s="55" t="e">
        <f>IF(TableauCB[[#This Row],[Etat]]="xc",O46-TableauCB[[#This Row],[Débit]]+TableauCB[[#This Row],[Crédit]],O46-TableauCB[[#This Row],[Débit]])</f>
        <v>#VALUE!</v>
      </c>
      <c r="P47" s="129">
        <f>IF(AND(ISBLANK(TableauCB[[#This Row],[Débit]]),ISBLANK(TableauCB[[#This Row],[Crédit]])),"",P46+TableauCB[[#This Row],[Crédit]]-TableauCB[[#This Row],[Débit]])</f>
        <v>902.01999999999953</v>
      </c>
      <c r="Q47" s="126"/>
      <c r="R47" s="1"/>
      <c r="S47" s="1"/>
      <c r="X47" s="124"/>
      <c r="Z47" s="125"/>
      <c r="AB47" s="124"/>
      <c r="AD47" s="123"/>
    </row>
    <row r="48" spans="2:30" customFormat="1" ht="30" hidden="1" customHeight="1">
      <c r="B48" s="132"/>
      <c r="C48" s="10" t="s">
        <v>33</v>
      </c>
      <c r="D48" s="10" t="s">
        <v>45</v>
      </c>
      <c r="E48" s="10"/>
      <c r="F48" s="134">
        <v>41562</v>
      </c>
      <c r="I48" s="10"/>
      <c r="K48" s="137"/>
      <c r="L48" s="30"/>
      <c r="M48" s="29">
        <v>179.4</v>
      </c>
      <c r="N48" s="55">
        <f>IF(OR(TableauCB[[#This Row],[Etat]]="",TableauCB[[#This Row],[Etat]]="c"),IF(TableauCB[[#This Row],[Solde]]="","",N47),N47-TableauCB[[#This Row],[Débit]]+TableauCB[[#This Row],[Crédit]])</f>
        <v>1081.4199999999996</v>
      </c>
      <c r="O48" s="55" t="e">
        <f>IF(TableauCB[[#This Row],[Etat]]="xc",O47-TableauCB[[#This Row],[Débit]]+TableauCB[[#This Row],[Crédit]],O47-TableauCB[[#This Row],[Débit]])</f>
        <v>#VALUE!</v>
      </c>
      <c r="P48" s="129">
        <f>IF(AND(ISBLANK(TableauCB[[#This Row],[Débit]]),ISBLANK(TableauCB[[#This Row],[Crédit]])),"",P47+TableauCB[[#This Row],[Crédit]]-TableauCB[[#This Row],[Débit]])</f>
        <v>1081.4199999999996</v>
      </c>
      <c r="Q48" s="126"/>
      <c r="R48" s="1"/>
      <c r="S48" s="1"/>
      <c r="X48" s="124"/>
      <c r="Z48" s="125"/>
      <c r="AB48" s="124"/>
      <c r="AD48" s="123"/>
    </row>
    <row r="49" spans="2:30" customFormat="1" ht="30" hidden="1" customHeight="1">
      <c r="B49" s="132"/>
      <c r="C49" s="10" t="s">
        <v>33</v>
      </c>
      <c r="D49" s="10" t="s">
        <v>21</v>
      </c>
      <c r="E49" s="10"/>
      <c r="F49" s="134">
        <v>41562</v>
      </c>
      <c r="I49" s="10"/>
      <c r="K49" s="137"/>
      <c r="L49" s="30">
        <v>2.2999999999999998</v>
      </c>
      <c r="M49" s="29"/>
      <c r="N49" s="55">
        <f>IF(OR(TableauCB[[#This Row],[Etat]]="",TableauCB[[#This Row],[Etat]]="c"),IF(TableauCB[[#This Row],[Solde]]="","",N48),N48-TableauCB[[#This Row],[Débit]]+TableauCB[[#This Row],[Crédit]])</f>
        <v>1079.1199999999997</v>
      </c>
      <c r="O49" s="55" t="e">
        <f>IF(TableauCB[[#This Row],[Etat]]="xc",O48-TableauCB[[#This Row],[Débit]]+TableauCB[[#This Row],[Crédit]],O48-TableauCB[[#This Row],[Débit]])</f>
        <v>#VALUE!</v>
      </c>
      <c r="P49" s="129">
        <f>IF(AND(ISBLANK(TableauCB[[#This Row],[Débit]]),ISBLANK(TableauCB[[#This Row],[Crédit]])),"",P48+TableauCB[[#This Row],[Crédit]]-TableauCB[[#This Row],[Débit]])</f>
        <v>1079.1199999999997</v>
      </c>
      <c r="Q49" s="126"/>
      <c r="R49" s="1"/>
      <c r="S49" s="1"/>
      <c r="X49" s="124"/>
      <c r="Z49" s="125"/>
      <c r="AB49" s="124"/>
      <c r="AD49" s="123"/>
    </row>
    <row r="50" spans="2:30" customFormat="1" ht="30" hidden="1" customHeight="1" thickBot="1">
      <c r="B50" s="132"/>
      <c r="C50" s="11" t="s">
        <v>33</v>
      </c>
      <c r="D50" s="11" t="s">
        <v>58</v>
      </c>
      <c r="E50" s="11"/>
      <c r="F50" s="34">
        <v>41566</v>
      </c>
      <c r="I50" s="11"/>
      <c r="K50" s="136"/>
      <c r="L50" s="30">
        <v>51.04</v>
      </c>
      <c r="M50" s="29"/>
      <c r="N50" s="55">
        <f>IF(OR(TableauCB[[#This Row],[Etat]]="",TableauCB[[#This Row],[Etat]]="c"),IF(TableauCB[[#This Row],[Solde]]="","",N49),N49-TableauCB[[#This Row],[Débit]]+TableauCB[[#This Row],[Crédit]])</f>
        <v>1028.0799999999997</v>
      </c>
      <c r="O50" s="55" t="e">
        <f>IF(TableauCB[[#This Row],[Etat]]="xc",O49-TableauCB[[#This Row],[Débit]]+TableauCB[[#This Row],[Crédit]],O49-TableauCB[[#This Row],[Débit]])</f>
        <v>#VALUE!</v>
      </c>
      <c r="P50" s="129">
        <f>IF(AND(ISBLANK(TableauCB[[#This Row],[Débit]]),ISBLANK(TableauCB[[#This Row],[Crédit]])),"",P49+TableauCB[[#This Row],[Crédit]]-TableauCB[[#This Row],[Débit]])</f>
        <v>1028.0799999999997</v>
      </c>
      <c r="Q50" s="126"/>
      <c r="R50" s="47" t="s">
        <v>54</v>
      </c>
      <c r="S50" s="47" t="s">
        <v>53</v>
      </c>
      <c r="X50" s="124"/>
      <c r="Z50" s="125"/>
      <c r="AB50" s="124"/>
      <c r="AD50" s="123"/>
    </row>
    <row r="51" spans="2:30" customFormat="1" ht="30" hidden="1" customHeight="1" thickBot="1">
      <c r="B51" s="132"/>
      <c r="C51" s="101" t="s">
        <v>33</v>
      </c>
      <c r="D51" s="101" t="s">
        <v>15</v>
      </c>
      <c r="E51" s="101"/>
      <c r="F51" s="100">
        <v>41570</v>
      </c>
      <c r="I51" s="101"/>
      <c r="K51" s="138"/>
      <c r="L51" s="97">
        <v>32.020000000000003</v>
      </c>
      <c r="M51" s="96"/>
      <c r="N51" s="135">
        <f>IF(OR(TableauCB[[#This Row],[Etat]]="",TableauCB[[#This Row],[Etat]]="c"),IF(TableauCB[[#This Row],[Solde]]="","",N50),N50-TableauCB[[#This Row],[Débit]]+TableauCB[[#This Row],[Crédit]])</f>
        <v>996.05999999999972</v>
      </c>
      <c r="O51" s="127" t="e">
        <f>IF(TableauCB[[#This Row],[Etat]]="xc",O50-TableauCB[[#This Row],[Débit]]+TableauCB[[#This Row],[Crédit]],O50-TableauCB[[#This Row],[Débit]])</f>
        <v>#VALUE!</v>
      </c>
      <c r="P51" s="127">
        <f>IF(AND(ISBLANK(TableauCB[[#This Row],[Débit]]),ISBLANK(TableauCB[[#This Row],[Crédit]])),"",P50+TableauCB[[#This Row],[Crédit]]-TableauCB[[#This Row],[Débit]])</f>
        <v>996.05999999999972</v>
      </c>
      <c r="Q51" s="126"/>
      <c r="R51" s="25">
        <f>SUM(M40:M51)-SUM(L40:L51)</f>
        <v>317</v>
      </c>
      <c r="S51" s="25">
        <f>R51/1.2</f>
        <v>264.16666666666669</v>
      </c>
      <c r="X51" s="124"/>
      <c r="Z51" s="125"/>
      <c r="AB51" s="124"/>
      <c r="AD51" s="123"/>
    </row>
    <row r="52" spans="2:30" customFormat="1" ht="30" hidden="1" customHeight="1">
      <c r="B52" s="132"/>
      <c r="C52" s="10" t="s">
        <v>33</v>
      </c>
      <c r="D52" s="10" t="s">
        <v>11</v>
      </c>
      <c r="E52" s="10"/>
      <c r="F52" s="134">
        <v>41579</v>
      </c>
      <c r="I52" s="10"/>
      <c r="K52" s="137"/>
      <c r="L52" s="30"/>
      <c r="M52" s="29">
        <v>215.28</v>
      </c>
      <c r="N52" s="55">
        <f>IF(OR(TableauCB[[#This Row],[Etat]]="",TableauCB[[#This Row],[Etat]]="c"),IF(TableauCB[[#This Row],[Solde]]="","",N51),N51-TableauCB[[#This Row],[Débit]]+TableauCB[[#This Row],[Crédit]])</f>
        <v>1211.3399999999997</v>
      </c>
      <c r="O52" s="55" t="e">
        <f>IF(TableauCB[[#This Row],[Etat]]="xc",O51-TableauCB[[#This Row],[Débit]]+TableauCB[[#This Row],[Crédit]],O51-TableauCB[[#This Row],[Débit]])</f>
        <v>#VALUE!</v>
      </c>
      <c r="P52" s="129">
        <f>IF(AND(ISBLANK(TableauCB[[#This Row],[Débit]]),ISBLANK(TableauCB[[#This Row],[Crédit]])),"",P51+TableauCB[[#This Row],[Crédit]]-TableauCB[[#This Row],[Débit]])</f>
        <v>1211.3399999999997</v>
      </c>
      <c r="Q52" s="126"/>
      <c r="R52" s="1"/>
      <c r="S52" s="1"/>
      <c r="X52" s="124"/>
      <c r="Z52" s="125"/>
      <c r="AB52" s="124"/>
      <c r="AD52" s="123"/>
    </row>
    <row r="53" spans="2:30" customFormat="1" ht="30" hidden="1" customHeight="1">
      <c r="B53" s="132"/>
      <c r="C53" s="10" t="s">
        <v>33</v>
      </c>
      <c r="D53" s="10" t="s">
        <v>11</v>
      </c>
      <c r="E53" s="10"/>
      <c r="F53" s="134">
        <v>41579</v>
      </c>
      <c r="I53" s="10"/>
      <c r="K53" s="137"/>
      <c r="L53" s="30"/>
      <c r="M53" s="29">
        <v>197.34</v>
      </c>
      <c r="N53" s="55">
        <f>IF(OR(TableauCB[[#This Row],[Etat]]="",TableauCB[[#This Row],[Etat]]="c"),IF(TableauCB[[#This Row],[Solde]]="","",N52),N52-TableauCB[[#This Row],[Débit]]+TableauCB[[#This Row],[Crédit]])</f>
        <v>1408.6799999999996</v>
      </c>
      <c r="O53" s="55" t="e">
        <f>IF(TableauCB[[#This Row],[Etat]]="xc",O52-TableauCB[[#This Row],[Débit]]+TableauCB[[#This Row],[Crédit]],O52-TableauCB[[#This Row],[Débit]])</f>
        <v>#VALUE!</v>
      </c>
      <c r="P53" s="129">
        <f>IF(AND(ISBLANK(TableauCB[[#This Row],[Débit]]),ISBLANK(TableauCB[[#This Row],[Crédit]])),"",P52+TableauCB[[#This Row],[Crédit]]-TableauCB[[#This Row],[Débit]])</f>
        <v>1408.6799999999996</v>
      </c>
      <c r="Q53" s="126"/>
      <c r="R53" s="1"/>
      <c r="S53" s="1"/>
      <c r="X53" s="124"/>
      <c r="Z53" s="125"/>
      <c r="AB53" s="124"/>
      <c r="AD53" s="123"/>
    </row>
    <row r="54" spans="2:30" customFormat="1" ht="30" hidden="1" customHeight="1">
      <c r="B54" s="132"/>
      <c r="C54" s="10" t="s">
        <v>33</v>
      </c>
      <c r="D54" s="10" t="s">
        <v>11</v>
      </c>
      <c r="E54" s="10"/>
      <c r="F54" s="134">
        <v>41579</v>
      </c>
      <c r="I54" s="10"/>
      <c r="K54" s="137"/>
      <c r="L54" s="30"/>
      <c r="M54" s="29">
        <v>520.26</v>
      </c>
      <c r="N54" s="55">
        <f>IF(OR(TableauCB[[#This Row],[Etat]]="",TableauCB[[#This Row],[Etat]]="c"),IF(TableauCB[[#This Row],[Solde]]="","",N53),N53-TableauCB[[#This Row],[Débit]]+TableauCB[[#This Row],[Crédit]])</f>
        <v>1928.9399999999996</v>
      </c>
      <c r="O54" s="55" t="e">
        <f>IF(TableauCB[[#This Row],[Etat]]="xc",O53-TableauCB[[#This Row],[Débit]]+TableauCB[[#This Row],[Crédit]],O53-TableauCB[[#This Row],[Débit]])</f>
        <v>#VALUE!</v>
      </c>
      <c r="P54" s="129">
        <f>IF(AND(ISBLANK(TableauCB[[#This Row],[Débit]]),ISBLANK(TableauCB[[#This Row],[Crédit]])),"",P53+TableauCB[[#This Row],[Crédit]]-TableauCB[[#This Row],[Débit]])</f>
        <v>1928.9399999999996</v>
      </c>
      <c r="Q54" s="126"/>
      <c r="R54" s="1"/>
      <c r="S54" s="1"/>
      <c r="X54" s="124"/>
      <c r="Z54" s="125"/>
      <c r="AB54" s="124"/>
      <c r="AD54" s="123"/>
    </row>
    <row r="55" spans="2:30" customFormat="1" ht="30" hidden="1" customHeight="1">
      <c r="B55" s="132"/>
      <c r="C55" s="10" t="s">
        <v>33</v>
      </c>
      <c r="D55" s="10" t="s">
        <v>11</v>
      </c>
      <c r="E55" s="10"/>
      <c r="F55" s="134">
        <v>41579</v>
      </c>
      <c r="I55" s="10"/>
      <c r="K55" s="137"/>
      <c r="L55" s="30"/>
      <c r="M55" s="29">
        <v>151.29</v>
      </c>
      <c r="N55" s="55">
        <f>IF(OR(TableauCB[[#This Row],[Etat]]="",TableauCB[[#This Row],[Etat]]="c"),IF(TableauCB[[#This Row],[Solde]]="","",N54),N54-TableauCB[[#This Row],[Débit]]+TableauCB[[#This Row],[Crédit]])</f>
        <v>2080.2299999999996</v>
      </c>
      <c r="O55" s="55" t="e">
        <f>IF(TableauCB[[#This Row],[Etat]]="xc",O54-TableauCB[[#This Row],[Débit]]+TableauCB[[#This Row],[Crédit]],O54-TableauCB[[#This Row],[Débit]])</f>
        <v>#VALUE!</v>
      </c>
      <c r="P55" s="129">
        <f>IF(AND(ISBLANK(TableauCB[[#This Row],[Débit]]),ISBLANK(TableauCB[[#This Row],[Crédit]])),"",P54+TableauCB[[#This Row],[Crédit]]-TableauCB[[#This Row],[Débit]])</f>
        <v>2080.2299999999996</v>
      </c>
      <c r="Q55" s="126"/>
      <c r="R55" s="1"/>
      <c r="S55" s="1"/>
      <c r="X55" s="124"/>
      <c r="Z55" s="125"/>
      <c r="AB55" s="124"/>
      <c r="AD55" s="123"/>
    </row>
    <row r="56" spans="2:30" customFormat="1" ht="30" hidden="1" customHeight="1" thickBot="1">
      <c r="B56" s="132"/>
      <c r="C56" s="11" t="s">
        <v>33</v>
      </c>
      <c r="D56" s="11" t="s">
        <v>5</v>
      </c>
      <c r="E56" s="11"/>
      <c r="F56" s="34">
        <v>41579</v>
      </c>
      <c r="I56" s="11"/>
      <c r="K56" s="136"/>
      <c r="L56" s="30">
        <v>323.36</v>
      </c>
      <c r="M56" s="29"/>
      <c r="N56" s="55">
        <f>IF(OR(TableauCB[[#This Row],[Etat]]="",TableauCB[[#This Row],[Etat]]="c"),IF(TableauCB[[#This Row],[Solde]]="","",N55),N55-TableauCB[[#This Row],[Débit]]+TableauCB[[#This Row],[Crédit]])</f>
        <v>1756.8699999999994</v>
      </c>
      <c r="O56" s="55" t="e">
        <f>IF(TableauCB[[#This Row],[Etat]]="xc",O55-TableauCB[[#This Row],[Débit]]+TableauCB[[#This Row],[Crédit]],O55-TableauCB[[#This Row],[Débit]])</f>
        <v>#VALUE!</v>
      </c>
      <c r="P56" s="129">
        <f>IF(AND(ISBLANK(TableauCB[[#This Row],[Débit]]),ISBLANK(TableauCB[[#This Row],[Crédit]])),"",P55+TableauCB[[#This Row],[Crédit]]-TableauCB[[#This Row],[Débit]])</f>
        <v>1756.8699999999994</v>
      </c>
      <c r="Q56" s="126"/>
      <c r="R56" s="47" t="s">
        <v>54</v>
      </c>
      <c r="S56" s="47" t="s">
        <v>53</v>
      </c>
      <c r="X56" s="124"/>
      <c r="Z56" s="125"/>
      <c r="AB56" s="124"/>
      <c r="AD56" s="123"/>
    </row>
    <row r="57" spans="2:30" customFormat="1" ht="30" hidden="1" customHeight="1" thickBot="1">
      <c r="B57" s="132"/>
      <c r="C57" s="101" t="s">
        <v>33</v>
      </c>
      <c r="D57" s="101" t="s">
        <v>9</v>
      </c>
      <c r="E57" s="101"/>
      <c r="F57" s="100">
        <v>41607</v>
      </c>
      <c r="I57" s="101"/>
      <c r="K57" s="98"/>
      <c r="L57" s="97">
        <v>478.4</v>
      </c>
      <c r="M57" s="96"/>
      <c r="N57" s="135">
        <f>IF(OR(TableauCB[[#This Row],[Etat]]="",TableauCB[[#This Row],[Etat]]="c"),IF(TableauCB[[#This Row],[Solde]]="","",N56),N56-TableauCB[[#This Row],[Débit]]+TableauCB[[#This Row],[Crédit]])</f>
        <v>1278.4699999999993</v>
      </c>
      <c r="O57" s="127" t="e">
        <f>IF(TableauCB[[#This Row],[Etat]]="xc",O56-TableauCB[[#This Row],[Débit]]+TableauCB[[#This Row],[Crédit]],O56-TableauCB[[#This Row],[Débit]])</f>
        <v>#VALUE!</v>
      </c>
      <c r="P57" s="127">
        <f>IF(AND(ISBLANK(TableauCB[[#This Row],[Débit]]),ISBLANK(TableauCB[[#This Row],[Crédit]])),"",P56+TableauCB[[#This Row],[Crédit]]-TableauCB[[#This Row],[Débit]])</f>
        <v>1278.4699999999993</v>
      </c>
      <c r="Q57" s="126"/>
      <c r="R57" s="25">
        <f>SUM(M52:M57)-SUM(L52:L57)</f>
        <v>282.41000000000008</v>
      </c>
      <c r="S57" s="25">
        <f>R57/1.2</f>
        <v>235.34166666666675</v>
      </c>
      <c r="X57" s="124"/>
      <c r="Z57" s="125"/>
      <c r="AB57" s="124"/>
      <c r="AD57" s="123"/>
    </row>
    <row r="58" spans="2:30" customFormat="1" ht="30" hidden="1" customHeight="1">
      <c r="B58" s="132"/>
      <c r="C58" s="10" t="s">
        <v>33</v>
      </c>
      <c r="D58" s="10" t="s">
        <v>41</v>
      </c>
      <c r="E58" s="10"/>
      <c r="F58" s="134">
        <v>41609</v>
      </c>
      <c r="I58" s="10"/>
      <c r="K58" s="133"/>
      <c r="L58" s="30">
        <v>125.59</v>
      </c>
      <c r="M58" s="29"/>
      <c r="N58" s="55">
        <f>IF(OR(TableauCB[[#This Row],[Etat]]="",TableauCB[[#This Row],[Etat]]="c"),IF(TableauCB[[#This Row],[Solde]]="","",N57),N57-TableauCB[[#This Row],[Débit]]+TableauCB[[#This Row],[Crédit]])</f>
        <v>1152.8799999999994</v>
      </c>
      <c r="O58" s="55" t="e">
        <f>IF(TableauCB[[#This Row],[Etat]]="xc",O57-TableauCB[[#This Row],[Débit]]+TableauCB[[#This Row],[Crédit]],O57-TableauCB[[#This Row],[Débit]])</f>
        <v>#VALUE!</v>
      </c>
      <c r="P58" s="129">
        <f>IF(AND(ISBLANK(TableauCB[[#This Row],[Débit]]),ISBLANK(TableauCB[[#This Row],[Crédit]])),"",P57+TableauCB[[#This Row],[Crédit]]-TableauCB[[#This Row],[Débit]])</f>
        <v>1152.8799999999994</v>
      </c>
      <c r="Q58" s="126"/>
      <c r="R58" s="1"/>
      <c r="S58" s="1"/>
      <c r="X58" s="124"/>
      <c r="Z58" s="125"/>
      <c r="AB58" s="124"/>
      <c r="AD58" s="123"/>
    </row>
    <row r="59" spans="2:30" customFormat="1" ht="30" hidden="1" customHeight="1">
      <c r="B59" s="132"/>
      <c r="C59" s="10" t="s">
        <v>33</v>
      </c>
      <c r="D59" s="10" t="s">
        <v>11</v>
      </c>
      <c r="E59" s="10"/>
      <c r="F59" s="134">
        <v>41610</v>
      </c>
      <c r="I59" s="10"/>
      <c r="K59" s="133"/>
      <c r="L59" s="30"/>
      <c r="M59" s="29">
        <v>215.28</v>
      </c>
      <c r="N59" s="55">
        <f>IF(OR(TableauCB[[#This Row],[Etat]]="",TableauCB[[#This Row],[Etat]]="c"),IF(TableauCB[[#This Row],[Solde]]="","",N58),N58-TableauCB[[#This Row],[Débit]]+TableauCB[[#This Row],[Crédit]])</f>
        <v>1368.1599999999994</v>
      </c>
      <c r="O59" s="55" t="e">
        <f>IF(TableauCB[[#This Row],[Etat]]="xc",O58-TableauCB[[#This Row],[Débit]]+TableauCB[[#This Row],[Crédit]],O58-TableauCB[[#This Row],[Débit]])</f>
        <v>#VALUE!</v>
      </c>
      <c r="P59" s="129">
        <f>IF(AND(ISBLANK(TableauCB[[#This Row],[Débit]]),ISBLANK(TableauCB[[#This Row],[Crédit]])),"",P58+TableauCB[[#This Row],[Crédit]]-TableauCB[[#This Row],[Débit]])</f>
        <v>1368.1599999999994</v>
      </c>
      <c r="Q59" s="126"/>
      <c r="R59" s="1"/>
      <c r="S59" s="1"/>
      <c r="X59" s="124"/>
      <c r="Z59" s="125"/>
      <c r="AB59" s="124"/>
      <c r="AD59" s="123"/>
    </row>
    <row r="60" spans="2:30" customFormat="1" ht="30" hidden="1" customHeight="1">
      <c r="B60" s="132"/>
      <c r="C60" s="10" t="s">
        <v>33</v>
      </c>
      <c r="D60" s="10" t="s">
        <v>11</v>
      </c>
      <c r="E60" s="10"/>
      <c r="F60" s="134">
        <v>41610</v>
      </c>
      <c r="I60" s="10"/>
      <c r="K60" s="133"/>
      <c r="L60" s="30"/>
      <c r="M60" s="29">
        <v>197.34</v>
      </c>
      <c r="N60" s="55">
        <f>IF(OR(TableauCB[[#This Row],[Etat]]="",TableauCB[[#This Row],[Etat]]="c"),IF(TableauCB[[#This Row],[Solde]]="","",N59),N59-TableauCB[[#This Row],[Débit]]+TableauCB[[#This Row],[Crédit]])</f>
        <v>1565.4999999999993</v>
      </c>
      <c r="O60" s="55" t="e">
        <f>IF(TableauCB[[#This Row],[Etat]]="xc",O59-TableauCB[[#This Row],[Débit]]+TableauCB[[#This Row],[Crédit]],O59-TableauCB[[#This Row],[Débit]])</f>
        <v>#VALUE!</v>
      </c>
      <c r="P60" s="129">
        <f>IF(AND(ISBLANK(TableauCB[[#This Row],[Débit]]),ISBLANK(TableauCB[[#This Row],[Crédit]])),"",P59+TableauCB[[#This Row],[Crédit]]-TableauCB[[#This Row],[Débit]])</f>
        <v>1565.4999999999993</v>
      </c>
      <c r="Q60" s="126"/>
      <c r="R60" s="1"/>
      <c r="S60" s="1"/>
      <c r="X60" s="124"/>
      <c r="Z60" s="125"/>
      <c r="AB60" s="124"/>
      <c r="AD60" s="123"/>
    </row>
    <row r="61" spans="2:30" customFormat="1" ht="30" hidden="1" customHeight="1">
      <c r="B61" s="132"/>
      <c r="C61" s="10" t="s">
        <v>33</v>
      </c>
      <c r="D61" s="10" t="s">
        <v>11</v>
      </c>
      <c r="E61" s="10"/>
      <c r="F61" s="134">
        <v>41610</v>
      </c>
      <c r="I61" s="10"/>
      <c r="K61" s="133"/>
      <c r="L61" s="30"/>
      <c r="M61" s="29">
        <v>520.26</v>
      </c>
      <c r="N61" s="55">
        <f>IF(OR(TableauCB[[#This Row],[Etat]]="",TableauCB[[#This Row],[Etat]]="c"),IF(TableauCB[[#This Row],[Solde]]="","",N60),N60-TableauCB[[#This Row],[Débit]]+TableauCB[[#This Row],[Crédit]])</f>
        <v>2085.7599999999993</v>
      </c>
      <c r="O61" s="55" t="e">
        <f>IF(TableauCB[[#This Row],[Etat]]="xc",O60-TableauCB[[#This Row],[Débit]]+TableauCB[[#This Row],[Crédit]],O60-TableauCB[[#This Row],[Débit]])</f>
        <v>#VALUE!</v>
      </c>
      <c r="P61" s="129">
        <f>IF(AND(ISBLANK(TableauCB[[#This Row],[Débit]]),ISBLANK(TableauCB[[#This Row],[Crédit]])),"",P60+TableauCB[[#This Row],[Crédit]]-TableauCB[[#This Row],[Débit]])</f>
        <v>2085.7599999999993</v>
      </c>
      <c r="Q61" s="126"/>
      <c r="R61" s="1"/>
      <c r="S61" s="1"/>
      <c r="X61" s="124"/>
      <c r="Z61" s="125"/>
      <c r="AB61" s="124"/>
      <c r="AD61" s="123"/>
    </row>
    <row r="62" spans="2:30" customFormat="1" ht="30" hidden="1" customHeight="1">
      <c r="B62" s="132"/>
      <c r="C62" s="10" t="s">
        <v>33</v>
      </c>
      <c r="D62" s="10" t="s">
        <v>11</v>
      </c>
      <c r="E62" s="10"/>
      <c r="F62" s="134">
        <v>41610</v>
      </c>
      <c r="I62" s="10"/>
      <c r="K62" s="133"/>
      <c r="L62" s="30"/>
      <c r="M62" s="29">
        <v>151.29</v>
      </c>
      <c r="N62" s="55">
        <f>IF(OR(TableauCB[[#This Row],[Etat]]="",TableauCB[[#This Row],[Etat]]="c"),IF(TableauCB[[#This Row],[Solde]]="","",N61),N61-TableauCB[[#This Row],[Débit]]+TableauCB[[#This Row],[Crédit]])</f>
        <v>2237.0499999999993</v>
      </c>
      <c r="O62" s="55" t="e">
        <f>IF(TableauCB[[#This Row],[Etat]]="xc",O61-TableauCB[[#This Row],[Débit]]+TableauCB[[#This Row],[Crédit]],O61-TableauCB[[#This Row],[Débit]])</f>
        <v>#VALUE!</v>
      </c>
      <c r="P62" s="129">
        <f>IF(AND(ISBLANK(TableauCB[[#This Row],[Débit]]),ISBLANK(TableauCB[[#This Row],[Crédit]])),"",P61+TableauCB[[#This Row],[Crédit]]-TableauCB[[#This Row],[Débit]])</f>
        <v>2237.0499999999993</v>
      </c>
      <c r="Q62" s="126"/>
      <c r="R62" s="1"/>
      <c r="S62" s="1"/>
      <c r="X62" s="124"/>
      <c r="Z62" s="125"/>
      <c r="AB62" s="124"/>
      <c r="AD62" s="123"/>
    </row>
    <row r="63" spans="2:30" customFormat="1" ht="30" hidden="1" customHeight="1">
      <c r="B63" s="132"/>
      <c r="C63" s="10" t="s">
        <v>33</v>
      </c>
      <c r="D63" s="10" t="s">
        <v>5</v>
      </c>
      <c r="E63" s="10"/>
      <c r="F63" s="134">
        <v>41610</v>
      </c>
      <c r="I63" s="134">
        <v>41610</v>
      </c>
      <c r="K63" s="133"/>
      <c r="L63" s="30">
        <v>315.92</v>
      </c>
      <c r="M63" s="29"/>
      <c r="N63" s="55">
        <f>IF(OR(TableauCB[[#This Row],[Etat]]="",TableauCB[[#This Row],[Etat]]="c"),IF(TableauCB[[#This Row],[Solde]]="","",N62),N62-TableauCB[[#This Row],[Débit]]+TableauCB[[#This Row],[Crédit]])</f>
        <v>1921.1299999999992</v>
      </c>
      <c r="O63" s="55" t="e">
        <f>IF(TableauCB[[#This Row],[Etat]]="xc",O62-TableauCB[[#This Row],[Débit]]+TableauCB[[#This Row],[Crédit]],O62-TableauCB[[#This Row],[Débit]])</f>
        <v>#VALUE!</v>
      </c>
      <c r="P63" s="129">
        <f>IF(AND(ISBLANK(TableauCB[[#This Row],[Débit]]),ISBLANK(TableauCB[[#This Row],[Crédit]])),"",P62+TableauCB[[#This Row],[Crédit]]-TableauCB[[#This Row],[Débit]])</f>
        <v>1921.1299999999992</v>
      </c>
      <c r="Q63" s="126"/>
      <c r="R63" s="1"/>
      <c r="S63" s="1"/>
      <c r="X63" s="124"/>
      <c r="Z63" s="125"/>
      <c r="AB63" s="124"/>
      <c r="AD63" s="123"/>
    </row>
    <row r="64" spans="2:30" customFormat="1" ht="30" hidden="1" customHeight="1">
      <c r="B64" s="132"/>
      <c r="C64" s="10" t="s">
        <v>33</v>
      </c>
      <c r="D64" s="10" t="s">
        <v>41</v>
      </c>
      <c r="E64" s="10"/>
      <c r="F64" s="134">
        <v>41610</v>
      </c>
      <c r="I64" s="10"/>
      <c r="K64" s="133"/>
      <c r="L64" s="30">
        <v>36.36</v>
      </c>
      <c r="M64" s="29"/>
      <c r="N64" s="55">
        <f>IF(OR(TableauCB[[#This Row],[Etat]]="",TableauCB[[#This Row],[Etat]]="c"),IF(TableauCB[[#This Row],[Solde]]="","",N63),N63-TableauCB[[#This Row],[Débit]]+TableauCB[[#This Row],[Crédit]])</f>
        <v>1884.7699999999993</v>
      </c>
      <c r="O64" s="55" t="e">
        <f>IF(TableauCB[[#This Row],[Etat]]="xc",O63-TableauCB[[#This Row],[Débit]]+TableauCB[[#This Row],[Crédit]],O63-TableauCB[[#This Row],[Débit]])</f>
        <v>#VALUE!</v>
      </c>
      <c r="P64" s="129">
        <f>IF(AND(ISBLANK(TableauCB[[#This Row],[Débit]]),ISBLANK(TableauCB[[#This Row],[Crédit]])),"",P63+TableauCB[[#This Row],[Crédit]]-TableauCB[[#This Row],[Débit]])</f>
        <v>1884.7699999999993</v>
      </c>
      <c r="Q64" s="126"/>
      <c r="R64" s="1"/>
      <c r="S64" s="1"/>
      <c r="X64" s="124"/>
      <c r="Z64" s="125"/>
      <c r="AB64" s="124"/>
      <c r="AD64" s="123"/>
    </row>
    <row r="65" spans="2:30" customFormat="1" ht="30" hidden="1" customHeight="1">
      <c r="B65" s="132"/>
      <c r="C65" s="10" t="s">
        <v>33</v>
      </c>
      <c r="D65" s="10" t="s">
        <v>11</v>
      </c>
      <c r="E65" s="10"/>
      <c r="F65" s="134">
        <v>41610</v>
      </c>
      <c r="I65" s="10"/>
      <c r="K65" s="133"/>
      <c r="L65" s="30"/>
      <c r="M65" s="29">
        <v>25.12</v>
      </c>
      <c r="N65" s="55">
        <f>IF(OR(TableauCB[[#This Row],[Etat]]="",TableauCB[[#This Row],[Etat]]="c"),IF(TableauCB[[#This Row],[Solde]]="","",N64),N64-TableauCB[[#This Row],[Débit]]+TableauCB[[#This Row],[Crédit]])</f>
        <v>1909.8899999999992</v>
      </c>
      <c r="O65" s="55" t="e">
        <f>IF(TableauCB[[#This Row],[Etat]]="xc",O64-TableauCB[[#This Row],[Débit]]+TableauCB[[#This Row],[Crédit]],O64-TableauCB[[#This Row],[Débit]])</f>
        <v>#VALUE!</v>
      </c>
      <c r="P65" s="129">
        <f>IF(AND(ISBLANK(TableauCB[[#This Row],[Débit]]),ISBLANK(TableauCB[[#This Row],[Crédit]])),"",P64+TableauCB[[#This Row],[Crédit]]-TableauCB[[#This Row],[Débit]])</f>
        <v>1909.8899999999992</v>
      </c>
      <c r="Q65" s="126"/>
      <c r="R65" s="1"/>
      <c r="S65" s="1"/>
      <c r="X65" s="124"/>
      <c r="Z65" s="125"/>
      <c r="AB65" s="124"/>
      <c r="AD65" s="123"/>
    </row>
    <row r="66" spans="2:30" customFormat="1" ht="30" hidden="1" customHeight="1">
      <c r="B66" s="132"/>
      <c r="C66" s="10" t="s">
        <v>33</v>
      </c>
      <c r="D66" s="10" t="s">
        <v>58</v>
      </c>
      <c r="E66" s="10"/>
      <c r="F66" s="134">
        <v>41612</v>
      </c>
      <c r="I66" s="10"/>
      <c r="K66" s="133"/>
      <c r="L66" s="30">
        <v>68.3</v>
      </c>
      <c r="M66" s="29"/>
      <c r="N66" s="55">
        <f>IF(OR(TableauCB[[#This Row],[Etat]]="",TableauCB[[#This Row],[Etat]]="c"),IF(TableauCB[[#This Row],[Solde]]="","",N65),N65-TableauCB[[#This Row],[Débit]]+TableauCB[[#This Row],[Crédit]])</f>
        <v>1841.5899999999992</v>
      </c>
      <c r="O66" s="55" t="e">
        <f>IF(TableauCB[[#This Row],[Etat]]="xc",O65-TableauCB[[#This Row],[Débit]]+TableauCB[[#This Row],[Crédit]],O65-TableauCB[[#This Row],[Débit]])</f>
        <v>#VALUE!</v>
      </c>
      <c r="P66" s="129">
        <f>IF(AND(ISBLANK(TableauCB[[#This Row],[Débit]]),ISBLANK(TableauCB[[#This Row],[Crédit]])),"",P65+TableauCB[[#This Row],[Crédit]]-TableauCB[[#This Row],[Débit]])</f>
        <v>1841.5899999999992</v>
      </c>
      <c r="Q66" s="126"/>
      <c r="R66" s="1"/>
      <c r="S66" s="1"/>
      <c r="X66" s="124"/>
      <c r="Z66" s="125"/>
      <c r="AB66" s="124"/>
      <c r="AD66" s="123"/>
    </row>
    <row r="67" spans="2:30" customFormat="1" ht="30" hidden="1" customHeight="1">
      <c r="B67" s="132"/>
      <c r="C67" s="11" t="s">
        <v>33</v>
      </c>
      <c r="D67" s="11" t="s">
        <v>15</v>
      </c>
      <c r="E67" s="11"/>
      <c r="F67" s="34">
        <v>41617</v>
      </c>
      <c r="I67" s="11"/>
      <c r="K67" s="31"/>
      <c r="L67" s="30">
        <v>3</v>
      </c>
      <c r="M67" s="29"/>
      <c r="N67" s="55">
        <f>IF(OR(TableauCB[[#This Row],[Etat]]="",TableauCB[[#This Row],[Etat]]="c"),IF(TableauCB[[#This Row],[Solde]]="","",N66),N66-TableauCB[[#This Row],[Débit]]+TableauCB[[#This Row],[Crédit]])</f>
        <v>1838.5899999999992</v>
      </c>
      <c r="O67" s="55" t="e">
        <f>IF(TableauCB[[#This Row],[Etat]]="xc",O66-TableauCB[[#This Row],[Débit]]+TableauCB[[#This Row],[Crédit]],O66-TableauCB[[#This Row],[Débit]])</f>
        <v>#VALUE!</v>
      </c>
      <c r="P67" s="129">
        <f>IF(AND(ISBLANK(TableauCB[[#This Row],[Débit]]),ISBLANK(TableauCB[[#This Row],[Crédit]])),"",P66+TableauCB[[#This Row],[Crédit]]-TableauCB[[#This Row],[Débit]])</f>
        <v>1838.5899999999992</v>
      </c>
      <c r="Q67" s="126"/>
      <c r="R67" s="1"/>
      <c r="S67" s="1"/>
      <c r="X67" s="124"/>
      <c r="Z67" s="125"/>
      <c r="AB67" s="124"/>
      <c r="AD67" s="123"/>
    </row>
    <row r="68" spans="2:30" customFormat="1" ht="30" hidden="1" customHeight="1">
      <c r="B68" s="132"/>
      <c r="C68" s="11" t="s">
        <v>33</v>
      </c>
      <c r="D68" s="11" t="s">
        <v>41</v>
      </c>
      <c r="E68" s="11"/>
      <c r="F68" s="34">
        <v>41624</v>
      </c>
      <c r="I68" s="11"/>
      <c r="K68" s="31"/>
      <c r="L68" s="30">
        <v>46.9</v>
      </c>
      <c r="M68" s="29"/>
      <c r="N68" s="55">
        <f>IF(OR(TableauCB[[#This Row],[Etat]]="",TableauCB[[#This Row],[Etat]]="c"),IF(TableauCB[[#This Row],[Solde]]="","",N67),N67-TableauCB[[#This Row],[Débit]]+TableauCB[[#This Row],[Crédit]])</f>
        <v>1791.6899999999991</v>
      </c>
      <c r="O68" s="55" t="e">
        <f>IF(TableauCB[[#This Row],[Etat]]="xc",O67-TableauCB[[#This Row],[Débit]]+TableauCB[[#This Row],[Crédit]],O67-TableauCB[[#This Row],[Débit]])</f>
        <v>#VALUE!</v>
      </c>
      <c r="P68" s="129">
        <f>IF(AND(ISBLANK(TableauCB[[#This Row],[Débit]]),ISBLANK(TableauCB[[#This Row],[Crédit]])),"",P67+TableauCB[[#This Row],[Crédit]]-TableauCB[[#This Row],[Débit]])</f>
        <v>1791.6899999999991</v>
      </c>
      <c r="Q68" s="126"/>
      <c r="R68" s="1"/>
      <c r="S68" s="1"/>
      <c r="X68" s="124"/>
      <c r="Z68" s="125"/>
      <c r="AB68" s="124"/>
      <c r="AD68" s="123"/>
    </row>
    <row r="69" spans="2:30" customFormat="1" ht="30" hidden="1" customHeight="1">
      <c r="B69" s="132"/>
      <c r="C69" s="11" t="s">
        <v>33</v>
      </c>
      <c r="D69" s="11" t="s">
        <v>45</v>
      </c>
      <c r="E69" s="11"/>
      <c r="F69" s="34">
        <v>41630</v>
      </c>
      <c r="I69" s="11"/>
      <c r="K69" s="31"/>
      <c r="L69" s="30"/>
      <c r="M69" s="29">
        <v>322.92</v>
      </c>
      <c r="N69" s="131">
        <f>IF(OR(TableauCB[[#This Row],[Etat]]="",TableauCB[[#This Row],[Etat]]="c"),IF(TableauCB[[#This Row],[Solde]]="","",N68),N68-TableauCB[[#This Row],[Débit]]+TableauCB[[#This Row],[Crédit]])</f>
        <v>2114.6099999999992</v>
      </c>
      <c r="O69" s="55" t="e">
        <f>IF(TableauCB[[#This Row],[Etat]]="xc",O68-TableauCB[[#This Row],[Débit]]+TableauCB[[#This Row],[Crédit]],O68-TableauCB[[#This Row],[Débit]])</f>
        <v>#VALUE!</v>
      </c>
      <c r="P69" s="55">
        <f>IF(AND(ISBLANK(TableauCB[[#This Row],[Débit]]),ISBLANK(TableauCB[[#This Row],[Crédit]])),"",P68+TableauCB[[#This Row],[Crédit]]-TableauCB[[#This Row],[Débit]])</f>
        <v>2114.6099999999992</v>
      </c>
      <c r="Q69" s="126"/>
      <c r="R69" s="1"/>
      <c r="S69" s="1"/>
      <c r="X69" s="124"/>
      <c r="Z69" s="125"/>
      <c r="AB69" s="124"/>
      <c r="AD69" s="123"/>
    </row>
    <row r="70" spans="2:30" customFormat="1" ht="30" hidden="1" customHeight="1">
      <c r="C70" s="10" t="s">
        <v>33</v>
      </c>
      <c r="D70" s="11" t="s">
        <v>11</v>
      </c>
      <c r="E70" s="11"/>
      <c r="F70" s="34">
        <v>41638</v>
      </c>
      <c r="I70" s="11"/>
      <c r="K70" s="31"/>
      <c r="L70" s="30"/>
      <c r="M70" s="29">
        <v>215.28</v>
      </c>
      <c r="N70" s="55">
        <f>IF(OR(TableauCB[[#This Row],[Etat]]="",TableauCB[[#This Row],[Etat]]="c"),IF(TableauCB[[#This Row],[Solde]]="","",N69),N69-TableauCB[[#This Row],[Débit]]+TableauCB[[#This Row],[Crédit]])</f>
        <v>2329.8899999999994</v>
      </c>
      <c r="O70" s="55" t="e">
        <f>IF(TableauCB[[#This Row],[Etat]]="xc",O69-TableauCB[[#This Row],[Débit]]+TableauCB[[#This Row],[Crédit]],O69-TableauCB[[#This Row],[Débit]])</f>
        <v>#VALUE!</v>
      </c>
      <c r="P70" s="129">
        <f>IF(AND(ISBLANK(TableauCB[[#This Row],[Débit]]),ISBLANK(TableauCB[[#This Row],[Crédit]])),"",P69+TableauCB[[#This Row],[Crédit]]-TableauCB[[#This Row],[Débit]])</f>
        <v>2329.8899999999994</v>
      </c>
      <c r="Q70" s="126"/>
      <c r="R70" s="76"/>
      <c r="S70" s="76"/>
      <c r="X70" s="124"/>
      <c r="Z70" s="125"/>
      <c r="AB70" s="124"/>
      <c r="AD70" s="123"/>
    </row>
    <row r="71" spans="2:30" customFormat="1" ht="30" hidden="1" customHeight="1">
      <c r="B71" s="130"/>
      <c r="C71" s="10" t="s">
        <v>33</v>
      </c>
      <c r="D71" s="11" t="s">
        <v>11</v>
      </c>
      <c r="E71" s="11"/>
      <c r="F71" s="34">
        <v>41638</v>
      </c>
      <c r="I71" s="11"/>
      <c r="K71" s="31"/>
      <c r="L71" s="30"/>
      <c r="M71" s="29">
        <v>197.34</v>
      </c>
      <c r="N71" s="55">
        <f>IF(OR(TableauCB[[#This Row],[Etat]]="",TableauCB[[#This Row],[Etat]]="c"),IF(TableauCB[[#This Row],[Solde]]="","",N70),N70-TableauCB[[#This Row],[Débit]]+TableauCB[[#This Row],[Crédit]])</f>
        <v>2527.2299999999996</v>
      </c>
      <c r="O71" s="55" t="e">
        <f>IF(TableauCB[[#This Row],[Etat]]="xc",O70-TableauCB[[#This Row],[Débit]]+TableauCB[[#This Row],[Crédit]],O70-TableauCB[[#This Row],[Débit]])</f>
        <v>#VALUE!</v>
      </c>
      <c r="P71" s="129">
        <f>IF(AND(ISBLANK(TableauCB[[#This Row],[Débit]]),ISBLANK(TableauCB[[#This Row],[Crédit]])),"",P70+TableauCB[[#This Row],[Crédit]]-TableauCB[[#This Row],[Débit]])</f>
        <v>2527.2299999999996</v>
      </c>
      <c r="Q71" s="126"/>
      <c r="R71" s="76"/>
      <c r="S71" s="76"/>
      <c r="X71" s="124"/>
      <c r="Z71" s="125"/>
      <c r="AB71" s="124"/>
      <c r="AD71" s="123"/>
    </row>
    <row r="72" spans="2:30" customFormat="1" ht="30" hidden="1" customHeight="1">
      <c r="B72" s="130"/>
      <c r="C72" s="10" t="s">
        <v>33</v>
      </c>
      <c r="D72" s="11" t="s">
        <v>11</v>
      </c>
      <c r="E72" s="11"/>
      <c r="F72" s="34">
        <v>41638</v>
      </c>
      <c r="I72" s="11"/>
      <c r="K72" s="31"/>
      <c r="L72" s="30"/>
      <c r="M72" s="29">
        <v>520.26</v>
      </c>
      <c r="N72" s="55">
        <f>IF(OR(TableauCB[[#This Row],[Etat]]="",TableauCB[[#This Row],[Etat]]="c"),IF(TableauCB[[#This Row],[Solde]]="","",N71),N71-TableauCB[[#This Row],[Débit]]+TableauCB[[#This Row],[Crédit]])</f>
        <v>3047.49</v>
      </c>
      <c r="O72" s="55" t="e">
        <f>IF(TableauCB[[#This Row],[Etat]]="xc",O71-TableauCB[[#This Row],[Débit]]+TableauCB[[#This Row],[Crédit]],O71-TableauCB[[#This Row],[Débit]])</f>
        <v>#VALUE!</v>
      </c>
      <c r="P72" s="129">
        <f>IF(AND(ISBLANK(TableauCB[[#This Row],[Débit]]),ISBLANK(TableauCB[[#This Row],[Crédit]])),"",P71+TableauCB[[#This Row],[Crédit]]-TableauCB[[#This Row],[Débit]])</f>
        <v>3047.49</v>
      </c>
      <c r="Q72" s="126"/>
      <c r="R72" s="76"/>
      <c r="S72" s="76"/>
      <c r="X72" s="124"/>
      <c r="Z72" s="125"/>
      <c r="AB72" s="124"/>
      <c r="AD72" s="123"/>
    </row>
    <row r="73" spans="2:30" customFormat="1" ht="30" hidden="1" customHeight="1">
      <c r="B73" s="130"/>
      <c r="C73" s="10" t="s">
        <v>33</v>
      </c>
      <c r="D73" s="11" t="s">
        <v>11</v>
      </c>
      <c r="E73" s="11"/>
      <c r="F73" s="34">
        <v>41638</v>
      </c>
      <c r="I73" s="11"/>
      <c r="K73" s="31"/>
      <c r="L73" s="30"/>
      <c r="M73" s="29">
        <v>151.29</v>
      </c>
      <c r="N73" s="55">
        <f>IF(OR(TableauCB[[#This Row],[Etat]]="",TableauCB[[#This Row],[Etat]]="c"),IF(TableauCB[[#This Row],[Solde]]="","",N72),N72-TableauCB[[#This Row],[Débit]]+TableauCB[[#This Row],[Crédit]])</f>
        <v>3198.7799999999997</v>
      </c>
      <c r="O73" s="55" t="e">
        <f>IF(TableauCB[[#This Row],[Etat]]="xc",O72-TableauCB[[#This Row],[Débit]]+TableauCB[[#This Row],[Crédit]],O72-TableauCB[[#This Row],[Débit]])</f>
        <v>#VALUE!</v>
      </c>
      <c r="P73" s="129">
        <f>IF(AND(ISBLANK(TableauCB[[#This Row],[Débit]]),ISBLANK(TableauCB[[#This Row],[Crédit]])),"",P72+TableauCB[[#This Row],[Crédit]]-TableauCB[[#This Row],[Débit]])</f>
        <v>3198.7799999999997</v>
      </c>
      <c r="Q73" s="126"/>
      <c r="R73" s="76"/>
      <c r="S73" s="76"/>
      <c r="X73" s="124"/>
      <c r="Z73" s="125"/>
      <c r="AB73" s="124"/>
      <c r="AD73" s="123"/>
    </row>
    <row r="74" spans="2:30" customFormat="1" ht="30" hidden="1" customHeight="1">
      <c r="B74" s="130"/>
      <c r="C74" s="10" t="s">
        <v>33</v>
      </c>
      <c r="D74" s="11" t="s">
        <v>11</v>
      </c>
      <c r="E74" s="11"/>
      <c r="F74" s="34">
        <v>41638</v>
      </c>
      <c r="I74" s="11"/>
      <c r="K74" s="31"/>
      <c r="L74" s="30"/>
      <c r="M74" s="29">
        <v>25.12</v>
      </c>
      <c r="N74" s="55">
        <f>IF(OR(TableauCB[[#This Row],[Etat]]="",TableauCB[[#This Row],[Etat]]="c"),IF(TableauCB[[#This Row],[Solde]]="","",N73),N73-TableauCB[[#This Row],[Débit]]+TableauCB[[#This Row],[Crédit]])</f>
        <v>3223.8999999999996</v>
      </c>
      <c r="O74" s="55" t="e">
        <f>IF(TableauCB[[#This Row],[Etat]]="xc",O73-TableauCB[[#This Row],[Débit]]+TableauCB[[#This Row],[Crédit]],O73-TableauCB[[#This Row],[Débit]])</f>
        <v>#VALUE!</v>
      </c>
      <c r="P74" s="129">
        <f>IF(AND(ISBLANK(TableauCB[[#This Row],[Débit]]),ISBLANK(TableauCB[[#This Row],[Crédit]])),"",P73+TableauCB[[#This Row],[Crédit]]-TableauCB[[#This Row],[Débit]])</f>
        <v>3223.8999999999996</v>
      </c>
      <c r="Q74" s="126"/>
      <c r="R74" s="76"/>
      <c r="S74" s="76"/>
      <c r="X74" s="124"/>
      <c r="Z74" s="125"/>
      <c r="AB74" s="124"/>
      <c r="AD74" s="123"/>
    </row>
    <row r="75" spans="2:30" customFormat="1" ht="30" hidden="1" customHeight="1">
      <c r="B75" s="130"/>
      <c r="C75" s="10" t="s">
        <v>33</v>
      </c>
      <c r="D75" s="11" t="s">
        <v>32</v>
      </c>
      <c r="E75" s="11"/>
      <c r="F75" s="34">
        <v>41638</v>
      </c>
      <c r="I75" s="11"/>
      <c r="K75" s="31"/>
      <c r="L75" s="30"/>
      <c r="M75" s="29">
        <v>330.99</v>
      </c>
      <c r="N75" s="55">
        <f>IF(OR(TableauCB[[#This Row],[Etat]]="",TableauCB[[#This Row],[Etat]]="c"),IF(TableauCB[[#This Row],[Solde]]="","",N74),N74-TableauCB[[#This Row],[Débit]]+TableauCB[[#This Row],[Crédit]])</f>
        <v>3554.8899999999994</v>
      </c>
      <c r="O75" s="55" t="e">
        <f>IF(TableauCB[[#This Row],[Etat]]="xc",O74-TableauCB[[#This Row],[Débit]]+TableauCB[[#This Row],[Crédit]],O74-TableauCB[[#This Row],[Débit]])</f>
        <v>#VALUE!</v>
      </c>
      <c r="P75" s="129">
        <f>IF(AND(ISBLANK(TableauCB[[#This Row],[Débit]]),ISBLANK(TableauCB[[#This Row],[Crédit]])),"",P74+TableauCB[[#This Row],[Crédit]]-TableauCB[[#This Row],[Débit]])</f>
        <v>3554.8899999999994</v>
      </c>
      <c r="Q75" s="126"/>
      <c r="R75" s="76"/>
      <c r="S75" s="76"/>
      <c r="X75" s="124"/>
      <c r="Z75" s="125"/>
      <c r="AB75" s="124"/>
      <c r="AD75" s="123"/>
    </row>
    <row r="76" spans="2:30" customFormat="1" ht="30" hidden="1" customHeight="1" thickBot="1">
      <c r="B76" s="130"/>
      <c r="C76" s="10" t="s">
        <v>33</v>
      </c>
      <c r="D76" s="11" t="s">
        <v>9</v>
      </c>
      <c r="E76" s="11"/>
      <c r="F76" s="34">
        <v>41639</v>
      </c>
      <c r="I76" s="11"/>
      <c r="K76" s="31"/>
      <c r="L76" s="30">
        <v>239.2</v>
      </c>
      <c r="M76" s="29"/>
      <c r="N76" s="55">
        <f>IF(OR(TableauCB[[#This Row],[Etat]]="",TableauCB[[#This Row],[Etat]]="c"),IF(TableauCB[[#This Row],[Solde]]="","",N75),N75-TableauCB[[#This Row],[Débit]]+TableauCB[[#This Row],[Crédit]])</f>
        <v>3315.6899999999996</v>
      </c>
      <c r="O76" s="55" t="e">
        <f>IF(TableauCB[[#This Row],[Etat]]="xc",O75-TableauCB[[#This Row],[Débit]]+TableauCB[[#This Row],[Crédit]],O75-TableauCB[[#This Row],[Débit]])</f>
        <v>#VALUE!</v>
      </c>
      <c r="P76" s="129">
        <f>IF(AND(ISBLANK(TableauCB[[#This Row],[Débit]]),ISBLANK(TableauCB[[#This Row],[Crédit]])),"",P75+TableauCB[[#This Row],[Crédit]]-TableauCB[[#This Row],[Débit]])</f>
        <v>3315.6899999999996</v>
      </c>
      <c r="Q76" s="126"/>
      <c r="R76" s="47" t="s">
        <v>54</v>
      </c>
      <c r="S76" s="47" t="s">
        <v>53</v>
      </c>
      <c r="X76" s="124"/>
      <c r="Z76" s="125"/>
      <c r="AB76" s="124"/>
      <c r="AD76" s="123"/>
    </row>
    <row r="77" spans="2:30" customFormat="1" ht="30" hidden="1" customHeight="1" thickBot="1">
      <c r="B77" s="128"/>
      <c r="C77" s="101" t="s">
        <v>33</v>
      </c>
      <c r="D77" s="101" t="s">
        <v>5</v>
      </c>
      <c r="E77" s="101"/>
      <c r="F77" s="100">
        <v>41639</v>
      </c>
      <c r="I77" s="101"/>
      <c r="K77" s="98"/>
      <c r="L77" s="97">
        <v>409.74</v>
      </c>
      <c r="M77" s="96"/>
      <c r="N77" s="127">
        <f>IF(OR(TableauCB[[#This Row],[Etat]]="",TableauCB[[#This Row],[Etat]]="c"),IF(TableauCB[[#This Row],[Solde]]="","",N76),N76-TableauCB[[#This Row],[Débit]]+TableauCB[[#This Row],[Crédit]])</f>
        <v>2905.95</v>
      </c>
      <c r="O77" s="127" t="e">
        <f>IF(TableauCB[[#This Row],[Etat]]="xc",O76-TableauCB[[#This Row],[Débit]]+TableauCB[[#This Row],[Crédit]],O76-TableauCB[[#This Row],[Débit]])</f>
        <v>#VALUE!</v>
      </c>
      <c r="P77" s="127">
        <f>IF(AND(ISBLANK(TableauCB[[#This Row],[Débit]]),ISBLANK(TableauCB[[#This Row],[Crédit]])),"",P76+TableauCB[[#This Row],[Crédit]]-TableauCB[[#This Row],[Débit]])</f>
        <v>2905.95</v>
      </c>
      <c r="Q77" s="126"/>
      <c r="R77" s="25">
        <f>SUM(M58:M77)-SUM(L58:L77)</f>
        <v>1627.4799999999998</v>
      </c>
      <c r="S77" s="25">
        <f>R77/1.2</f>
        <v>1356.2333333333331</v>
      </c>
      <c r="X77" s="124"/>
      <c r="Z77" s="125"/>
      <c r="AB77" s="124"/>
      <c r="AD77" s="123"/>
    </row>
    <row r="78" spans="2:30" ht="30" hidden="1" customHeight="1">
      <c r="B78" s="77" t="s">
        <v>119</v>
      </c>
      <c r="C78" s="10" t="s">
        <v>33</v>
      </c>
      <c r="D78" s="11" t="s">
        <v>21</v>
      </c>
      <c r="E78" s="11"/>
      <c r="F78" s="34">
        <v>41645</v>
      </c>
      <c r="G78"/>
      <c r="H78"/>
      <c r="I78" s="34"/>
      <c r="J78"/>
      <c r="K78" s="31"/>
      <c r="L78" s="30">
        <v>2.4</v>
      </c>
      <c r="M78" s="29"/>
      <c r="N78" s="27">
        <f>IF(OR(TableauCB[[#This Row],[Etat]]="",TableauCB[[#This Row],[Etat]]="c"),IF(TableauCB[[#This Row],[Solde]]="","",N77),N77-TableauCB[[#This Row],[Débit]]+TableauCB[[#This Row],[Crédit]])</f>
        <v>2903.5499999999997</v>
      </c>
      <c r="O78" s="27" t="e">
        <f>IF(TableauCB[[#This Row],[Etat]]="xc",O77-TableauCB[[#This Row],[Débit]]+TableauCB[[#This Row],[Crédit]],O77-TableauCB[[#This Row],[Débit]])</f>
        <v>#VALUE!</v>
      </c>
      <c r="P78" s="80">
        <f>IF(AND(ISBLANK(TableauCB[[#This Row],[Débit]]),ISBLANK(TableauCB[[#This Row],[Crédit]])),"",P77+TableauCB[[#This Row],[Crédit]]-TableauCB[[#This Row],[Débit]])</f>
        <v>2903.5499999999997</v>
      </c>
      <c r="Q78" s="26"/>
      <c r="R78" s="76"/>
      <c r="S78" s="76"/>
    </row>
    <row r="79" spans="2:30" ht="30" hidden="1" customHeight="1">
      <c r="B79" s="75"/>
      <c r="C79" s="10" t="s">
        <v>33</v>
      </c>
      <c r="D79" s="11" t="s">
        <v>32</v>
      </c>
      <c r="E79" s="11"/>
      <c r="F79" s="34">
        <v>41645</v>
      </c>
      <c r="G79"/>
      <c r="H79"/>
      <c r="I79" s="34"/>
      <c r="J79"/>
      <c r="K79" s="31"/>
      <c r="L79" s="30"/>
      <c r="M79" s="29">
        <v>62.1</v>
      </c>
      <c r="N79" s="27">
        <f>IF(OR(TableauCB[[#This Row],[Etat]]="",TableauCB[[#This Row],[Etat]]="c"),IF(TableauCB[[#This Row],[Solde]]="","",N78),N78-TableauCB[[#This Row],[Débit]]+TableauCB[[#This Row],[Crédit]])</f>
        <v>2965.6499999999996</v>
      </c>
      <c r="O79" s="27" t="e">
        <f>IF(TableauCB[[#This Row],[Etat]]="xc",O78-TableauCB[[#This Row],[Débit]]+TableauCB[[#This Row],[Crédit]],O78-TableauCB[[#This Row],[Débit]])</f>
        <v>#VALUE!</v>
      </c>
      <c r="P79" s="80">
        <f>IF(AND(ISBLANK(TableauCB[[#This Row],[Débit]]),ISBLANK(TableauCB[[#This Row],[Crédit]])),"",P78+TableauCB[[#This Row],[Crédit]]-TableauCB[[#This Row],[Débit]])</f>
        <v>2965.6499999999996</v>
      </c>
      <c r="Q79" s="26"/>
      <c r="R79" s="76"/>
      <c r="S79" s="76"/>
    </row>
    <row r="80" spans="2:30" ht="30" hidden="1" customHeight="1">
      <c r="B80" s="75"/>
      <c r="C80" s="10" t="s">
        <v>33</v>
      </c>
      <c r="D80" s="11" t="s">
        <v>21</v>
      </c>
      <c r="E80" s="11"/>
      <c r="F80" s="34">
        <v>41647</v>
      </c>
      <c r="G80"/>
      <c r="H80"/>
      <c r="I80" s="34"/>
      <c r="J80"/>
      <c r="K80" s="31"/>
      <c r="L80" s="30">
        <v>21.5</v>
      </c>
      <c r="M80" s="29"/>
      <c r="N80" s="27">
        <f>IF(OR(TableauCB[[#This Row],[Etat]]="",TableauCB[[#This Row],[Etat]]="c"),IF(TableauCB[[#This Row],[Solde]]="","",N79),N79-TableauCB[[#This Row],[Débit]]+TableauCB[[#This Row],[Crédit]])</f>
        <v>2944.1499999999996</v>
      </c>
      <c r="O80" s="27" t="e">
        <f>IF(TableauCB[[#This Row],[Etat]]="xc",O79-TableauCB[[#This Row],[Débit]]+TableauCB[[#This Row],[Crédit]],O79-TableauCB[[#This Row],[Débit]])</f>
        <v>#VALUE!</v>
      </c>
      <c r="P80" s="80">
        <f>IF(AND(ISBLANK(TableauCB[[#This Row],[Débit]]),ISBLANK(TableauCB[[#This Row],[Crédit]])),"",P79+TableauCB[[#This Row],[Crédit]]-TableauCB[[#This Row],[Débit]])</f>
        <v>2944.1499999999996</v>
      </c>
      <c r="Q80" s="26"/>
      <c r="R80" s="76"/>
      <c r="S80" s="76"/>
    </row>
    <row r="81" spans="2:19" ht="30" hidden="1" customHeight="1">
      <c r="B81" s="75"/>
      <c r="C81" s="10" t="s">
        <v>33</v>
      </c>
      <c r="D81" s="11" t="s">
        <v>21</v>
      </c>
      <c r="E81" s="11"/>
      <c r="F81" s="34">
        <v>41648</v>
      </c>
      <c r="G81"/>
      <c r="H81"/>
      <c r="I81" s="34"/>
      <c r="J81"/>
      <c r="K81" s="31"/>
      <c r="L81" s="30"/>
      <c r="M81" s="29">
        <v>19.5</v>
      </c>
      <c r="N81" s="27">
        <f>IF(OR(TableauCB[[#This Row],[Etat]]="",TableauCB[[#This Row],[Etat]]="c"),IF(TableauCB[[#This Row],[Solde]]="","",N80),N80-TableauCB[[#This Row],[Débit]]+TableauCB[[#This Row],[Crédit]])</f>
        <v>2963.6499999999996</v>
      </c>
      <c r="O81" s="27" t="e">
        <f>IF(TableauCB[[#This Row],[Etat]]="xc",O80-TableauCB[[#This Row],[Débit]]+TableauCB[[#This Row],[Crédit]],O80-TableauCB[[#This Row],[Débit]])</f>
        <v>#VALUE!</v>
      </c>
      <c r="P81" s="80">
        <f>IF(AND(ISBLANK(TableauCB[[#This Row],[Débit]]),ISBLANK(TableauCB[[#This Row],[Crédit]])),"",P80+TableauCB[[#This Row],[Crédit]]-TableauCB[[#This Row],[Débit]])</f>
        <v>2963.6499999999996</v>
      </c>
      <c r="Q81" s="26"/>
      <c r="R81" s="76"/>
      <c r="S81" s="76"/>
    </row>
    <row r="82" spans="2:19" ht="30" hidden="1" customHeight="1">
      <c r="B82" s="75"/>
      <c r="C82" s="10" t="s">
        <v>33</v>
      </c>
      <c r="D82" s="11" t="s">
        <v>15</v>
      </c>
      <c r="E82" s="11"/>
      <c r="F82" s="34">
        <v>41654</v>
      </c>
      <c r="G82"/>
      <c r="H82"/>
      <c r="I82" s="34"/>
      <c r="J82"/>
      <c r="K82" s="31"/>
      <c r="L82" s="30">
        <v>423</v>
      </c>
      <c r="M82" s="29"/>
      <c r="N82" s="27">
        <f>IF(OR(TableauCB[[#This Row],[Etat]]="",TableauCB[[#This Row],[Etat]]="c"),IF(TableauCB[[#This Row],[Solde]]="","",N81),N81-TableauCB[[#This Row],[Débit]]+TableauCB[[#This Row],[Crédit]])</f>
        <v>2540.6499999999996</v>
      </c>
      <c r="O82" s="27" t="e">
        <f>IF(TableauCB[[#This Row],[Etat]]="xc",O81-TableauCB[[#This Row],[Débit]]+TableauCB[[#This Row],[Crédit]],O81-TableauCB[[#This Row],[Débit]])</f>
        <v>#VALUE!</v>
      </c>
      <c r="P82" s="80">
        <f>IF(AND(ISBLANK(TableauCB[[#This Row],[Débit]]),ISBLANK(TableauCB[[#This Row],[Crédit]])),"",P81+TableauCB[[#This Row],[Crédit]]-TableauCB[[#This Row],[Débit]])</f>
        <v>2540.6499999999996</v>
      </c>
      <c r="Q82" s="26"/>
      <c r="R82" s="76"/>
      <c r="S82" s="76"/>
    </row>
    <row r="83" spans="2:19" ht="30" hidden="1" customHeight="1">
      <c r="B83" s="75"/>
      <c r="C83" s="10" t="s">
        <v>33</v>
      </c>
      <c r="D83" s="11" t="s">
        <v>15</v>
      </c>
      <c r="E83" s="11"/>
      <c r="F83" s="34">
        <v>41654</v>
      </c>
      <c r="G83"/>
      <c r="H83"/>
      <c r="I83" s="34"/>
      <c r="J83"/>
      <c r="K83" s="31"/>
      <c r="L83" s="30">
        <v>15</v>
      </c>
      <c r="M83" s="29"/>
      <c r="N83" s="27">
        <f>IF(OR(TableauCB[[#This Row],[Etat]]="",TableauCB[[#This Row],[Etat]]="c"),IF(TableauCB[[#This Row],[Solde]]="","",N82),N82-TableauCB[[#This Row],[Débit]]+TableauCB[[#This Row],[Crédit]])</f>
        <v>2525.6499999999996</v>
      </c>
      <c r="O83" s="27" t="e">
        <f>IF(TableauCB[[#This Row],[Etat]]="xc",O82-TableauCB[[#This Row],[Débit]]+TableauCB[[#This Row],[Crédit]],O82-TableauCB[[#This Row],[Débit]])</f>
        <v>#VALUE!</v>
      </c>
      <c r="P83" s="80">
        <f>IF(AND(ISBLANK(TableauCB[[#This Row],[Débit]]),ISBLANK(TableauCB[[#This Row],[Crédit]])),"",P82+TableauCB[[#This Row],[Crédit]]-TableauCB[[#This Row],[Débit]])</f>
        <v>2525.6499999999996</v>
      </c>
      <c r="Q83" s="26"/>
      <c r="R83" s="76"/>
      <c r="S83" s="76"/>
    </row>
    <row r="84" spans="2:19" ht="30" hidden="1" customHeight="1">
      <c r="B84" s="75"/>
      <c r="C84" s="10" t="s">
        <v>33</v>
      </c>
      <c r="D84" s="11" t="s">
        <v>15</v>
      </c>
      <c r="E84" s="11"/>
      <c r="F84" s="34">
        <v>41654</v>
      </c>
      <c r="G84"/>
      <c r="H84"/>
      <c r="I84" s="34"/>
      <c r="J84"/>
      <c r="K84" s="31"/>
      <c r="L84" s="30">
        <v>128.54</v>
      </c>
      <c r="M84" s="29"/>
      <c r="N84" s="27">
        <f>IF(OR(TableauCB[[#This Row],[Etat]]="",TableauCB[[#This Row],[Etat]]="c"),IF(TableauCB[[#This Row],[Solde]]="","",N83),N83-TableauCB[[#This Row],[Débit]]+TableauCB[[#This Row],[Crédit]])</f>
        <v>2397.1099999999997</v>
      </c>
      <c r="O84" s="27" t="e">
        <f>IF(TableauCB[[#This Row],[Etat]]="xc",O83-TableauCB[[#This Row],[Débit]]+TableauCB[[#This Row],[Crédit]],O83-TableauCB[[#This Row],[Débit]])</f>
        <v>#VALUE!</v>
      </c>
      <c r="P84" s="80">
        <f>IF(AND(ISBLANK(TableauCB[[#This Row],[Débit]]),ISBLANK(TableauCB[[#This Row],[Crédit]])),"",P83+TableauCB[[#This Row],[Crédit]]-TableauCB[[#This Row],[Débit]])</f>
        <v>2397.1099999999997</v>
      </c>
      <c r="Q84" s="26"/>
      <c r="R84" s="117" t="s">
        <v>118</v>
      </c>
      <c r="S84" s="76"/>
    </row>
    <row r="85" spans="2:19" ht="30" hidden="1" customHeight="1">
      <c r="B85" s="75"/>
      <c r="C85" s="10" t="s">
        <v>33</v>
      </c>
      <c r="D85" s="11" t="s">
        <v>41</v>
      </c>
      <c r="E85" s="11"/>
      <c r="F85" s="34">
        <v>41656</v>
      </c>
      <c r="G85"/>
      <c r="H85"/>
      <c r="I85" s="34"/>
      <c r="J85"/>
      <c r="K85" s="31"/>
      <c r="L85" s="30">
        <v>58.24</v>
      </c>
      <c r="M85" s="29"/>
      <c r="N85" s="27">
        <f>IF(OR(TableauCB[[#This Row],[Etat]]="",TableauCB[[#This Row],[Etat]]="c"),IF(TableauCB[[#This Row],[Solde]]="","",N84),N84-TableauCB[[#This Row],[Débit]]+TableauCB[[#This Row],[Crédit]])</f>
        <v>2338.87</v>
      </c>
      <c r="O85" s="27" t="e">
        <f>IF(TableauCB[[#This Row],[Etat]]="xc",O84-TableauCB[[#This Row],[Débit]]+TableauCB[[#This Row],[Crédit]],O84-TableauCB[[#This Row],[Débit]])</f>
        <v>#VALUE!</v>
      </c>
      <c r="P85" s="80">
        <f>IF(AND(ISBLANK(TableauCB[[#This Row],[Débit]]),ISBLANK(TableauCB[[#This Row],[Crédit]])),"",P84+TableauCB[[#This Row],[Crédit]]-TableauCB[[#This Row],[Débit]])</f>
        <v>2338.87</v>
      </c>
      <c r="Q85" s="26"/>
    </row>
    <row r="86" spans="2:19" ht="30" hidden="1" customHeight="1">
      <c r="B86" s="75"/>
      <c r="C86" s="11" t="s">
        <v>33</v>
      </c>
      <c r="D86" s="11" t="s">
        <v>9</v>
      </c>
      <c r="E86" s="11"/>
      <c r="F86" s="34">
        <v>41665</v>
      </c>
      <c r="G86"/>
      <c r="H86"/>
      <c r="I86" s="34"/>
      <c r="J86"/>
      <c r="K86" s="31"/>
      <c r="L86" s="30">
        <v>3.89</v>
      </c>
      <c r="M86" s="29"/>
      <c r="N86" s="28">
        <f>IF(OR(TableauCB[[#This Row],[Etat]]="",TableauCB[[#This Row],[Etat]]="c"),IF(TableauCB[[#This Row],[Solde]]="","",N85),N85-TableauCB[[#This Row],[Débit]]+TableauCB[[#This Row],[Crédit]])</f>
        <v>2334.98</v>
      </c>
      <c r="O86" s="27" t="e">
        <f>IF(TableauCB[[#This Row],[Etat]]="xc",O85-TableauCB[[#This Row],[Débit]]+TableauCB[[#This Row],[Crédit]],O85-TableauCB[[#This Row],[Débit]])</f>
        <v>#VALUE!</v>
      </c>
      <c r="P86" s="27">
        <f>IF(AND(ISBLANK(TableauCB[[#This Row],[Débit]]),ISBLANK(TableauCB[[#This Row],[Crédit]])),"",P85+TableauCB[[#This Row],[Crédit]]-TableauCB[[#This Row],[Débit]])</f>
        <v>2334.98</v>
      </c>
      <c r="Q86" s="26"/>
    </row>
    <row r="87" spans="2:19" ht="30" hidden="1" customHeight="1">
      <c r="B87" s="75"/>
      <c r="C87" s="10" t="s">
        <v>33</v>
      </c>
      <c r="D87" s="11" t="s">
        <v>11</v>
      </c>
      <c r="E87" s="11"/>
      <c r="F87" s="34">
        <v>41669</v>
      </c>
      <c r="G87"/>
      <c r="H87"/>
      <c r="I87" s="34"/>
      <c r="J87"/>
      <c r="K87" s="31"/>
      <c r="L87" s="30"/>
      <c r="M87" s="29">
        <v>216</v>
      </c>
      <c r="N87" s="27">
        <f>IF(OR(TableauCB[[#This Row],[Etat]]="",TableauCB[[#This Row],[Etat]]="c"),IF(TableauCB[[#This Row],[Solde]]="","",N86),N86-TableauCB[[#This Row],[Débit]]+TableauCB[[#This Row],[Crédit]])</f>
        <v>2550.98</v>
      </c>
      <c r="O87" s="27" t="e">
        <f>IF(TableauCB[[#This Row],[Etat]]="xc",O86-TableauCB[[#This Row],[Débit]]+TableauCB[[#This Row],[Crédit]],O86-TableauCB[[#This Row],[Débit]])</f>
        <v>#VALUE!</v>
      </c>
      <c r="P87" s="80">
        <f>IF(AND(ISBLANK(TableauCB[[#This Row],[Débit]]),ISBLANK(TableauCB[[#This Row],[Crédit]])),"",P86+TableauCB[[#This Row],[Crédit]]-TableauCB[[#This Row],[Débit]])</f>
        <v>2550.98</v>
      </c>
      <c r="Q87" s="26"/>
      <c r="R87" s="76"/>
      <c r="S87" s="76"/>
    </row>
    <row r="88" spans="2:19" ht="30" hidden="1" customHeight="1">
      <c r="B88" s="75"/>
      <c r="C88" s="10" t="s">
        <v>33</v>
      </c>
      <c r="D88" s="11" t="s">
        <v>11</v>
      </c>
      <c r="E88" s="11"/>
      <c r="F88" s="34">
        <v>41669</v>
      </c>
      <c r="G88"/>
      <c r="H88"/>
      <c r="I88" s="34"/>
      <c r="J88"/>
      <c r="K88" s="31"/>
      <c r="L88" s="30"/>
      <c r="M88" s="29">
        <v>198</v>
      </c>
      <c r="N88" s="27">
        <f>IF(OR(TableauCB[[#This Row],[Etat]]="",TableauCB[[#This Row],[Etat]]="c"),IF(TableauCB[[#This Row],[Solde]]="","",N87),N87-TableauCB[[#This Row],[Débit]]+TableauCB[[#This Row],[Crédit]])</f>
        <v>2748.98</v>
      </c>
      <c r="O88" s="27" t="e">
        <f>IF(TableauCB[[#This Row],[Etat]]="xc",O87-TableauCB[[#This Row],[Débit]]+TableauCB[[#This Row],[Crédit]],O87-TableauCB[[#This Row],[Débit]])</f>
        <v>#VALUE!</v>
      </c>
      <c r="P88" s="80">
        <f>IF(AND(ISBLANK(TableauCB[[#This Row],[Débit]]),ISBLANK(TableauCB[[#This Row],[Crédit]])),"",P87+TableauCB[[#This Row],[Crédit]]-TableauCB[[#This Row],[Débit]])</f>
        <v>2748.98</v>
      </c>
      <c r="Q88" s="26"/>
      <c r="R88" s="76"/>
      <c r="S88" s="76"/>
    </row>
    <row r="89" spans="2:19" ht="30" hidden="1" customHeight="1">
      <c r="B89" s="75"/>
      <c r="C89" s="10" t="s">
        <v>33</v>
      </c>
      <c r="D89" s="11" t="s">
        <v>11</v>
      </c>
      <c r="E89" s="11"/>
      <c r="F89" s="34">
        <v>41669</v>
      </c>
      <c r="G89"/>
      <c r="H89"/>
      <c r="I89" s="34"/>
      <c r="J89"/>
      <c r="K89" s="31"/>
      <c r="L89" s="30"/>
      <c r="M89" s="29">
        <v>522</v>
      </c>
      <c r="N89" s="27">
        <f>IF(OR(TableauCB[[#This Row],[Etat]]="",TableauCB[[#This Row],[Etat]]="c"),IF(TableauCB[[#This Row],[Solde]]="","",N88),N88-TableauCB[[#This Row],[Débit]]+TableauCB[[#This Row],[Crédit]])</f>
        <v>3270.98</v>
      </c>
      <c r="O89" s="27" t="e">
        <f>IF(TableauCB[[#This Row],[Etat]]="xc",O88-TableauCB[[#This Row],[Débit]]+TableauCB[[#This Row],[Crédit]],O88-TableauCB[[#This Row],[Débit]])</f>
        <v>#VALUE!</v>
      </c>
      <c r="P89" s="80">
        <f>IF(AND(ISBLANK(TableauCB[[#This Row],[Débit]]),ISBLANK(TableauCB[[#This Row],[Crédit]])),"",P88+TableauCB[[#This Row],[Crédit]]-TableauCB[[#This Row],[Débit]])</f>
        <v>3270.98</v>
      </c>
      <c r="Q89" s="26"/>
      <c r="R89" s="76"/>
      <c r="S89" s="76"/>
    </row>
    <row r="90" spans="2:19" ht="30" hidden="1" customHeight="1">
      <c r="B90" s="75"/>
      <c r="C90" s="10" t="s">
        <v>33</v>
      </c>
      <c r="D90" s="11" t="s">
        <v>11</v>
      </c>
      <c r="E90" s="11"/>
      <c r="F90" s="34">
        <v>41669</v>
      </c>
      <c r="G90"/>
      <c r="H90"/>
      <c r="I90" s="34"/>
      <c r="J90"/>
      <c r="K90" s="31"/>
      <c r="L90" s="30"/>
      <c r="M90" s="29">
        <v>151.80000000000001</v>
      </c>
      <c r="N90" s="27">
        <f>IF(OR(TableauCB[[#This Row],[Etat]]="",TableauCB[[#This Row],[Etat]]="c"),IF(TableauCB[[#This Row],[Solde]]="","",N89),N89-TableauCB[[#This Row],[Débit]]+TableauCB[[#This Row],[Crédit]])</f>
        <v>3422.78</v>
      </c>
      <c r="O90" s="27" t="e">
        <f>IF(TableauCB[[#This Row],[Etat]]="xc",O89-TableauCB[[#This Row],[Débit]]+TableauCB[[#This Row],[Crédit]],O89-TableauCB[[#This Row],[Débit]])</f>
        <v>#VALUE!</v>
      </c>
      <c r="P90" s="80">
        <f>IF(AND(ISBLANK(TableauCB[[#This Row],[Débit]]),ISBLANK(TableauCB[[#This Row],[Crédit]])),"",P89+TableauCB[[#This Row],[Crédit]]-TableauCB[[#This Row],[Débit]])</f>
        <v>3422.78</v>
      </c>
      <c r="Q90" s="26"/>
      <c r="R90" s="76"/>
      <c r="S90" s="76"/>
    </row>
    <row r="91" spans="2:19" ht="30" hidden="1" customHeight="1">
      <c r="B91" s="75"/>
      <c r="C91" s="10" t="s">
        <v>33</v>
      </c>
      <c r="D91" s="11" t="s">
        <v>11</v>
      </c>
      <c r="E91" s="11"/>
      <c r="F91" s="34">
        <v>41669</v>
      </c>
      <c r="G91"/>
      <c r="H91"/>
      <c r="I91" s="34"/>
      <c r="J91"/>
      <c r="K91" s="31"/>
      <c r="L91" s="30"/>
      <c r="M91" s="29">
        <v>50.4</v>
      </c>
      <c r="N91" s="27">
        <f>IF(OR(TableauCB[[#This Row],[Etat]]="",TableauCB[[#This Row],[Etat]]="c"),IF(TableauCB[[#This Row],[Solde]]="","",N90),N90-TableauCB[[#This Row],[Débit]]+TableauCB[[#This Row],[Crédit]])</f>
        <v>3473.1800000000003</v>
      </c>
      <c r="O91" s="27" t="e">
        <f>IF(TableauCB[[#This Row],[Etat]]="xc",O90-TableauCB[[#This Row],[Débit]]+TableauCB[[#This Row],[Crédit]],O90-TableauCB[[#This Row],[Débit]])</f>
        <v>#VALUE!</v>
      </c>
      <c r="P91" s="80">
        <f>IF(AND(ISBLANK(TableauCB[[#This Row],[Débit]]),ISBLANK(TableauCB[[#This Row],[Crédit]])),"",P90+TableauCB[[#This Row],[Crédit]]-TableauCB[[#This Row],[Débit]])</f>
        <v>3473.1800000000003</v>
      </c>
      <c r="Q91" s="26"/>
      <c r="R91" s="76"/>
      <c r="S91" s="76"/>
    </row>
    <row r="92" spans="2:19" ht="30" hidden="1" customHeight="1">
      <c r="B92" s="75"/>
      <c r="C92" s="10" t="s">
        <v>33</v>
      </c>
      <c r="D92" s="11" t="s">
        <v>11</v>
      </c>
      <c r="E92" s="11"/>
      <c r="F92" s="34">
        <v>41669</v>
      </c>
      <c r="G92"/>
      <c r="H92"/>
      <c r="I92" s="34"/>
      <c r="J92"/>
      <c r="K92" s="31"/>
      <c r="L92" s="30"/>
      <c r="M92" s="29">
        <v>192</v>
      </c>
      <c r="N92" s="27">
        <f>IF(OR(TableauCB[[#This Row],[Etat]]="",TableauCB[[#This Row],[Etat]]="c"),IF(TableauCB[[#This Row],[Solde]]="","",N91),N91-TableauCB[[#This Row],[Débit]]+TableauCB[[#This Row],[Crédit]])</f>
        <v>3665.1800000000003</v>
      </c>
      <c r="O92" s="27" t="e">
        <f>IF(TableauCB[[#This Row],[Etat]]="xc",O91-TableauCB[[#This Row],[Débit]]+TableauCB[[#This Row],[Crédit]],O91-TableauCB[[#This Row],[Débit]])</f>
        <v>#VALUE!</v>
      </c>
      <c r="P92" s="80">
        <f>IF(AND(ISBLANK(TableauCB[[#This Row],[Débit]]),ISBLANK(TableauCB[[#This Row],[Crédit]])),"",P91+TableauCB[[#This Row],[Crédit]]-TableauCB[[#This Row],[Débit]])</f>
        <v>3665.1800000000003</v>
      </c>
      <c r="Q92" s="26"/>
      <c r="R92" s="76"/>
      <c r="S92" s="76"/>
    </row>
    <row r="93" spans="2:19" ht="30" hidden="1" customHeight="1">
      <c r="B93" s="75"/>
      <c r="C93" s="10" t="s">
        <v>33</v>
      </c>
      <c r="D93" s="11" t="s">
        <v>11</v>
      </c>
      <c r="E93" s="11"/>
      <c r="F93" s="34">
        <v>41669</v>
      </c>
      <c r="G93"/>
      <c r="H93"/>
      <c r="I93" s="34"/>
      <c r="J93"/>
      <c r="K93" s="31"/>
      <c r="L93" s="30"/>
      <c r="M93" s="29">
        <v>231.84</v>
      </c>
      <c r="N93" s="27">
        <f>IF(OR(TableauCB[[#This Row],[Etat]]="",TableauCB[[#This Row],[Etat]]="c"),IF(TableauCB[[#This Row],[Solde]]="","",N92),N92-TableauCB[[#This Row],[Débit]]+TableauCB[[#This Row],[Crédit]])</f>
        <v>3897.0200000000004</v>
      </c>
      <c r="O93" s="27" t="e">
        <f>IF(TableauCB[[#This Row],[Etat]]="xc",O92-TableauCB[[#This Row],[Débit]]+TableauCB[[#This Row],[Crédit]],O92-TableauCB[[#This Row],[Débit]])</f>
        <v>#VALUE!</v>
      </c>
      <c r="P93" s="80">
        <f>IF(AND(ISBLANK(TableauCB[[#This Row],[Débit]]),ISBLANK(TableauCB[[#This Row],[Crédit]])),"",P92+TableauCB[[#This Row],[Crédit]]-TableauCB[[#This Row],[Débit]])</f>
        <v>3897.0200000000004</v>
      </c>
      <c r="Q93" s="26"/>
      <c r="R93" s="76"/>
      <c r="S93" s="76"/>
    </row>
    <row r="94" spans="2:19" ht="30" hidden="1" customHeight="1" thickBot="1">
      <c r="B94" s="75"/>
      <c r="C94" s="10" t="s">
        <v>33</v>
      </c>
      <c r="D94" s="11" t="s">
        <v>9</v>
      </c>
      <c r="E94" s="11"/>
      <c r="F94" s="34">
        <v>41670</v>
      </c>
      <c r="G94"/>
      <c r="H94"/>
      <c r="I94" s="34"/>
      <c r="J94"/>
      <c r="K94" s="31"/>
      <c r="L94" s="30">
        <v>239.2</v>
      </c>
      <c r="M94" s="29"/>
      <c r="N94" s="27">
        <f>IF(OR(TableauCB[[#This Row],[Etat]]="",TableauCB[[#This Row],[Etat]]="c"),IF(TableauCB[[#This Row],[Solde]]="","",N93),N93-TableauCB[[#This Row],[Débit]]+TableauCB[[#This Row],[Crédit]])</f>
        <v>3657.8200000000006</v>
      </c>
      <c r="O94" s="27" t="e">
        <f>IF(TableauCB[[#This Row],[Etat]]="xc",O93-TableauCB[[#This Row],[Débit]]+TableauCB[[#This Row],[Crédit]],O93-TableauCB[[#This Row],[Débit]])</f>
        <v>#VALUE!</v>
      </c>
      <c r="P94" s="80">
        <f>IF(AND(ISBLANK(TableauCB[[#This Row],[Débit]]),ISBLANK(TableauCB[[#This Row],[Crédit]])),"",P93+TableauCB[[#This Row],[Crédit]]-TableauCB[[#This Row],[Débit]])</f>
        <v>3657.8200000000006</v>
      </c>
      <c r="Q94" s="26"/>
      <c r="R94" s="47" t="s">
        <v>54</v>
      </c>
      <c r="S94" s="47" t="s">
        <v>53</v>
      </c>
    </row>
    <row r="95" spans="2:19" ht="30" hidden="1" customHeight="1" thickBot="1">
      <c r="B95" s="74"/>
      <c r="C95" s="101" t="s">
        <v>33</v>
      </c>
      <c r="D95" s="101" t="s">
        <v>5</v>
      </c>
      <c r="E95" s="101"/>
      <c r="F95" s="100">
        <v>41670</v>
      </c>
      <c r="G95"/>
      <c r="H95"/>
      <c r="I95" s="100"/>
      <c r="J95"/>
      <c r="K95" s="98"/>
      <c r="L95" s="97">
        <v>438.71</v>
      </c>
      <c r="M95" s="96"/>
      <c r="N95" s="95">
        <f>IF(OR(TableauCB[[#This Row],[Etat]]="",TableauCB[[#This Row],[Etat]]="c"),IF(TableauCB[[#This Row],[Solde]]="","",N94),N94-TableauCB[[#This Row],[Débit]]+TableauCB[[#This Row],[Crédit]])</f>
        <v>3219.1100000000006</v>
      </c>
      <c r="O95" s="95" t="e">
        <f>IF(TableauCB[[#This Row],[Etat]]="xc",O94-TableauCB[[#This Row],[Débit]]+TableauCB[[#This Row],[Crédit]],O94-TableauCB[[#This Row],[Débit]])</f>
        <v>#VALUE!</v>
      </c>
      <c r="P95" s="95">
        <f>IF(AND(ISBLANK(TableauCB[[#This Row],[Débit]]),ISBLANK(TableauCB[[#This Row],[Crédit]])),"",P94+TableauCB[[#This Row],[Crédit]]-TableauCB[[#This Row],[Débit]])</f>
        <v>3219.1100000000006</v>
      </c>
      <c r="Q95" s="26"/>
      <c r="R95" s="25">
        <f>SUM(M78:M95)-SUM(L78:L95)</f>
        <v>313.16000000000008</v>
      </c>
      <c r="S95" s="25">
        <f>R95/1.2</f>
        <v>260.96666666666675</v>
      </c>
    </row>
    <row r="96" spans="2:19" ht="30" hidden="1" customHeight="1">
      <c r="B96" s="122" t="s">
        <v>116</v>
      </c>
      <c r="C96" s="10" t="s">
        <v>33</v>
      </c>
      <c r="D96" s="11" t="s">
        <v>21</v>
      </c>
      <c r="E96" s="11"/>
      <c r="F96" s="34">
        <v>41675</v>
      </c>
      <c r="G96"/>
      <c r="H96"/>
      <c r="I96" s="34"/>
      <c r="J96"/>
      <c r="K96" s="31"/>
      <c r="L96" s="30">
        <v>21.5</v>
      </c>
      <c r="M96" s="29"/>
      <c r="N96" s="27">
        <f>IF(OR(TableauCB[[#This Row],[Etat]]="",TableauCB[[#This Row],[Etat]]="c"),IF(TableauCB[[#This Row],[Solde]]="","",N95),N95-TableauCB[[#This Row],[Débit]]+TableauCB[[#This Row],[Crédit]])</f>
        <v>3197.6100000000006</v>
      </c>
      <c r="O96" s="27" t="e">
        <f>IF(TableauCB[[#This Row],[Etat]]="xc",O95-TableauCB[[#This Row],[Débit]]+TableauCB[[#This Row],[Crédit]],O95-TableauCB[[#This Row],[Débit]])</f>
        <v>#VALUE!</v>
      </c>
      <c r="P96" s="80">
        <f>IF(AND(ISBLANK(TableauCB[[#This Row],[Débit]]),ISBLANK(TableauCB[[#This Row],[Crédit]])),"",P95+TableauCB[[#This Row],[Crédit]]-TableauCB[[#This Row],[Débit]])</f>
        <v>3197.6100000000006</v>
      </c>
      <c r="Q96" s="26"/>
      <c r="R96" s="76"/>
      <c r="S96" s="76"/>
    </row>
    <row r="97" spans="2:19" ht="30" hidden="1" customHeight="1">
      <c r="B97" s="121"/>
      <c r="C97" s="10" t="s">
        <v>33</v>
      </c>
      <c r="D97" s="11" t="s">
        <v>58</v>
      </c>
      <c r="E97" s="11"/>
      <c r="F97" s="34">
        <v>41679</v>
      </c>
      <c r="G97"/>
      <c r="H97"/>
      <c r="I97" s="34"/>
      <c r="J97"/>
      <c r="K97" s="31"/>
      <c r="L97" s="30">
        <v>60.01</v>
      </c>
      <c r="M97" s="29"/>
      <c r="N97" s="27">
        <f>IF(OR(TableauCB[[#This Row],[Etat]]="",TableauCB[[#This Row],[Etat]]="c"),IF(TableauCB[[#This Row],[Solde]]="","",N96),N96-TableauCB[[#This Row],[Débit]]+TableauCB[[#This Row],[Crédit]])</f>
        <v>3137.6000000000004</v>
      </c>
      <c r="O97" s="27" t="e">
        <f>IF(TableauCB[[#This Row],[Etat]]="xc",O96-TableauCB[[#This Row],[Débit]]+TableauCB[[#This Row],[Crédit]],O96-TableauCB[[#This Row],[Débit]])</f>
        <v>#VALUE!</v>
      </c>
      <c r="P97" s="80">
        <f>IF(AND(ISBLANK(TableauCB[[#This Row],[Débit]]),ISBLANK(TableauCB[[#This Row],[Crédit]])),"",P96+TableauCB[[#This Row],[Crédit]]-TableauCB[[#This Row],[Débit]])</f>
        <v>3137.6000000000004</v>
      </c>
      <c r="Q97" s="26"/>
      <c r="R97" s="76"/>
      <c r="S97" s="76"/>
    </row>
    <row r="98" spans="2:19" ht="30" hidden="1" customHeight="1">
      <c r="B98" s="121"/>
      <c r="C98" s="10" t="s">
        <v>33</v>
      </c>
      <c r="D98" s="11" t="s">
        <v>15</v>
      </c>
      <c r="E98" s="11"/>
      <c r="F98" s="34">
        <v>41680</v>
      </c>
      <c r="G98"/>
      <c r="H98"/>
      <c r="I98" s="34"/>
      <c r="J98"/>
      <c r="K98" s="31"/>
      <c r="L98" s="30">
        <v>24</v>
      </c>
      <c r="M98" s="29"/>
      <c r="N98" s="27">
        <f>IF(OR(TableauCB[[#This Row],[Etat]]="",TableauCB[[#This Row],[Etat]]="c"),IF(TableauCB[[#This Row],[Solde]]="","",N97),N97-TableauCB[[#This Row],[Débit]]+TableauCB[[#This Row],[Crédit]])</f>
        <v>3113.6000000000004</v>
      </c>
      <c r="O98" s="27" t="e">
        <f>IF(TableauCB[[#This Row],[Etat]]="xc",O97-TableauCB[[#This Row],[Débit]]+TableauCB[[#This Row],[Crédit]],O97-TableauCB[[#This Row],[Débit]])</f>
        <v>#VALUE!</v>
      </c>
      <c r="P98" s="80">
        <f>IF(AND(ISBLANK(TableauCB[[#This Row],[Débit]]),ISBLANK(TableauCB[[#This Row],[Crédit]])),"",P97+TableauCB[[#This Row],[Crédit]]-TableauCB[[#This Row],[Débit]])</f>
        <v>3113.6000000000004</v>
      </c>
      <c r="Q98" s="26"/>
      <c r="R98" s="76"/>
      <c r="S98" s="76"/>
    </row>
    <row r="99" spans="2:19" ht="30" hidden="1" customHeight="1">
      <c r="B99" s="121"/>
      <c r="C99" s="10" t="s">
        <v>33</v>
      </c>
      <c r="D99" s="11" t="s">
        <v>15</v>
      </c>
      <c r="E99" s="11"/>
      <c r="F99" s="34">
        <v>41682</v>
      </c>
      <c r="G99"/>
      <c r="H99"/>
      <c r="I99" s="34"/>
      <c r="J99"/>
      <c r="K99" s="31"/>
      <c r="L99" s="30">
        <v>14.21</v>
      </c>
      <c r="M99" s="29"/>
      <c r="N99" s="27">
        <f>IF(OR(TableauCB[[#This Row],[Etat]]="",TableauCB[[#This Row],[Etat]]="c"),IF(TableauCB[[#This Row],[Solde]]="","",N98),N98-TableauCB[[#This Row],[Débit]]+TableauCB[[#This Row],[Crédit]])</f>
        <v>3099.3900000000003</v>
      </c>
      <c r="O99" s="27" t="e">
        <f>IF(TableauCB[[#This Row],[Etat]]="xc",O98-TableauCB[[#This Row],[Débit]]+TableauCB[[#This Row],[Crédit]],O98-TableauCB[[#This Row],[Débit]])</f>
        <v>#VALUE!</v>
      </c>
      <c r="P99" s="80">
        <f>IF(AND(ISBLANK(TableauCB[[#This Row],[Débit]]),ISBLANK(TableauCB[[#This Row],[Crédit]])),"",P98+TableauCB[[#This Row],[Crédit]]-TableauCB[[#This Row],[Débit]])</f>
        <v>3099.3900000000003</v>
      </c>
      <c r="Q99" s="26"/>
      <c r="R99" s="76"/>
      <c r="S99" s="76"/>
    </row>
    <row r="100" spans="2:19" ht="30" hidden="1" customHeight="1">
      <c r="B100" s="121"/>
      <c r="C100" s="10" t="s">
        <v>33</v>
      </c>
      <c r="D100" s="11" t="s">
        <v>15</v>
      </c>
      <c r="E100" s="11"/>
      <c r="F100" s="34">
        <v>41682</v>
      </c>
      <c r="G100"/>
      <c r="H100"/>
      <c r="I100" s="34"/>
      <c r="J100"/>
      <c r="K100" s="31"/>
      <c r="L100" s="30">
        <v>11.5</v>
      </c>
      <c r="M100" s="29"/>
      <c r="N100" s="27">
        <f>IF(OR(TableauCB[[#This Row],[Etat]]="",TableauCB[[#This Row],[Etat]]="c"),IF(TableauCB[[#This Row],[Solde]]="","",N99),N99-TableauCB[[#This Row],[Débit]]+TableauCB[[#This Row],[Crédit]])</f>
        <v>3087.8900000000003</v>
      </c>
      <c r="O100" s="27" t="e">
        <f>IF(TableauCB[[#This Row],[Etat]]="xc",O99-TableauCB[[#This Row],[Débit]]+TableauCB[[#This Row],[Crédit]],O99-TableauCB[[#This Row],[Débit]])</f>
        <v>#VALUE!</v>
      </c>
      <c r="P100" s="80">
        <f>IF(AND(ISBLANK(TableauCB[[#This Row],[Débit]]),ISBLANK(TableauCB[[#This Row],[Crédit]])),"",P99+TableauCB[[#This Row],[Crédit]]-TableauCB[[#This Row],[Débit]])</f>
        <v>3087.8900000000003</v>
      </c>
      <c r="Q100" s="26"/>
      <c r="R100" s="76"/>
      <c r="S100" s="76"/>
    </row>
    <row r="101" spans="2:19" ht="30" hidden="1" customHeight="1">
      <c r="B101" s="121"/>
      <c r="C101" s="10" t="s">
        <v>33</v>
      </c>
      <c r="D101" s="11" t="s">
        <v>9</v>
      </c>
      <c r="E101" s="11"/>
      <c r="F101" s="34">
        <v>41683</v>
      </c>
      <c r="G101"/>
      <c r="H101"/>
      <c r="I101" s="34"/>
      <c r="J101"/>
      <c r="K101" s="31"/>
      <c r="L101" s="30">
        <v>66.430000000000007</v>
      </c>
      <c r="M101" s="29"/>
      <c r="N101" s="27">
        <f>IF(OR(TableauCB[[#This Row],[Etat]]="",TableauCB[[#This Row],[Etat]]="c"),IF(TableauCB[[#This Row],[Solde]]="","",N100),N100-TableauCB[[#This Row],[Débit]]+TableauCB[[#This Row],[Crédit]])</f>
        <v>3021.4600000000005</v>
      </c>
      <c r="O101" s="27" t="e">
        <f>IF(TableauCB[[#This Row],[Etat]]="xc",O100-TableauCB[[#This Row],[Débit]]+TableauCB[[#This Row],[Crédit]],O100-TableauCB[[#This Row],[Débit]])</f>
        <v>#VALUE!</v>
      </c>
      <c r="P101" s="80">
        <f>IF(AND(ISBLANK(TableauCB[[#This Row],[Débit]]),ISBLANK(TableauCB[[#This Row],[Crédit]])),"",P100+TableauCB[[#This Row],[Crédit]]-TableauCB[[#This Row],[Débit]])</f>
        <v>3021.4600000000005</v>
      </c>
      <c r="Q101" s="26"/>
      <c r="R101" s="76"/>
      <c r="S101" s="76"/>
    </row>
    <row r="102" spans="2:19" ht="30" hidden="1" customHeight="1">
      <c r="B102" s="121"/>
      <c r="C102" s="10" t="s">
        <v>33</v>
      </c>
      <c r="D102" s="11" t="s">
        <v>21</v>
      </c>
      <c r="E102" s="11"/>
      <c r="F102" s="34">
        <v>41689</v>
      </c>
      <c r="G102"/>
      <c r="H102"/>
      <c r="I102" s="34"/>
      <c r="J102"/>
      <c r="K102" s="31"/>
      <c r="L102" s="30">
        <v>2.4</v>
      </c>
      <c r="M102" s="29"/>
      <c r="N102" s="27">
        <f>IF(OR(TableauCB[[#This Row],[Etat]]="",TableauCB[[#This Row],[Etat]]="c"),IF(TableauCB[[#This Row],[Solde]]="","",N101),N101-TableauCB[[#This Row],[Débit]]+TableauCB[[#This Row],[Crédit]])</f>
        <v>3019.0600000000004</v>
      </c>
      <c r="O102" s="27" t="e">
        <f>IF(TableauCB[[#This Row],[Etat]]="xc",O101-TableauCB[[#This Row],[Débit]]+TableauCB[[#This Row],[Crédit]],O101-TableauCB[[#This Row],[Débit]])</f>
        <v>#VALUE!</v>
      </c>
      <c r="P102" s="80">
        <f>IF(AND(ISBLANK(TableauCB[[#This Row],[Débit]]),ISBLANK(TableauCB[[#This Row],[Crédit]])),"",P101+TableauCB[[#This Row],[Crédit]]-TableauCB[[#This Row],[Débit]])</f>
        <v>3019.0600000000004</v>
      </c>
      <c r="Q102" s="26"/>
      <c r="R102" s="117" t="s">
        <v>115</v>
      </c>
      <c r="S102" s="76"/>
    </row>
    <row r="103" spans="2:19" ht="30" hidden="1" customHeight="1">
      <c r="B103" s="121"/>
      <c r="C103" s="11" t="s">
        <v>33</v>
      </c>
      <c r="D103" s="11" t="s">
        <v>41</v>
      </c>
      <c r="E103" s="11"/>
      <c r="F103" s="34">
        <v>41690</v>
      </c>
      <c r="G103"/>
      <c r="H103"/>
      <c r="I103" s="34"/>
      <c r="J103"/>
      <c r="K103" s="31"/>
      <c r="L103" s="30">
        <v>169.21</v>
      </c>
      <c r="M103" s="29"/>
      <c r="N103" s="27">
        <f>IF(OR(TableauCB[[#This Row],[Etat]]="",TableauCB[[#This Row],[Etat]]="c"),IF(TableauCB[[#This Row],[Solde]]="","",N102),N102-TableauCB[[#This Row],[Débit]]+TableauCB[[#This Row],[Crédit]])</f>
        <v>2849.8500000000004</v>
      </c>
      <c r="O103" s="27" t="e">
        <f>IF(TableauCB[[#This Row],[Etat]]="xc",O102-TableauCB[[#This Row],[Débit]]+TableauCB[[#This Row],[Crédit]],O102-TableauCB[[#This Row],[Débit]])</f>
        <v>#VALUE!</v>
      </c>
      <c r="P103" s="27">
        <f>IF(AND(ISBLANK(TableauCB[[#This Row],[Débit]]),ISBLANK(TableauCB[[#This Row],[Crédit]])),"",P102+TableauCB[[#This Row],[Crédit]]-TableauCB[[#This Row],[Débit]])</f>
        <v>2849.8500000000004</v>
      </c>
      <c r="Q103" s="26"/>
    </row>
    <row r="104" spans="2:19" ht="30" hidden="1" customHeight="1">
      <c r="B104" s="121"/>
      <c r="C104" s="11" t="s">
        <v>33</v>
      </c>
      <c r="D104" s="11" t="s">
        <v>21</v>
      </c>
      <c r="E104" s="11"/>
      <c r="F104" s="34">
        <v>41691</v>
      </c>
      <c r="G104"/>
      <c r="H104"/>
      <c r="I104" s="34"/>
      <c r="J104"/>
      <c r="K104" s="31"/>
      <c r="L104" s="30"/>
      <c r="M104" s="29">
        <v>2.2999999999999998</v>
      </c>
      <c r="N104" s="28">
        <f>IF(OR(TableauCB[[#This Row],[Etat]]="",TableauCB[[#This Row],[Etat]]="c"),IF(TableauCB[[#This Row],[Solde]]="","",N103),N103-TableauCB[[#This Row],[Débit]]+TableauCB[[#This Row],[Crédit]])</f>
        <v>2852.1500000000005</v>
      </c>
      <c r="O104" s="27" t="e">
        <f>IF(TableauCB[[#This Row],[Etat]]="xc",O103-TableauCB[[#This Row],[Débit]]+TableauCB[[#This Row],[Crédit]],O103-TableauCB[[#This Row],[Débit]])</f>
        <v>#VALUE!</v>
      </c>
      <c r="P104" s="27">
        <f>IF(AND(ISBLANK(TableauCB[[#This Row],[Débit]]),ISBLANK(TableauCB[[#This Row],[Crédit]])),"",P103+TableauCB[[#This Row],[Crédit]]-TableauCB[[#This Row],[Débit]])</f>
        <v>2852.1500000000005</v>
      </c>
      <c r="Q104" s="26"/>
    </row>
    <row r="105" spans="2:19" ht="30" hidden="1" customHeight="1">
      <c r="B105" s="121"/>
      <c r="C105" s="10" t="s">
        <v>33</v>
      </c>
      <c r="D105" s="11" t="s">
        <v>11</v>
      </c>
      <c r="E105" s="11"/>
      <c r="F105" s="34">
        <v>41698</v>
      </c>
      <c r="G105"/>
      <c r="H105"/>
      <c r="I105" s="34"/>
      <c r="J105"/>
      <c r="K105" s="31"/>
      <c r="L105" s="30"/>
      <c r="M105" s="29">
        <v>216</v>
      </c>
      <c r="N105" s="27">
        <f>IF(OR(TableauCB[[#This Row],[Etat]]="",TableauCB[[#This Row],[Etat]]="c"),IF(TableauCB[[#This Row],[Solde]]="","",N104),N104-TableauCB[[#This Row],[Débit]]+TableauCB[[#This Row],[Crédit]])</f>
        <v>3068.1500000000005</v>
      </c>
      <c r="O105" s="27" t="e">
        <f>IF(TableauCB[[#This Row],[Etat]]="xc",O104-TableauCB[[#This Row],[Débit]]+TableauCB[[#This Row],[Crédit]],O104-TableauCB[[#This Row],[Débit]])</f>
        <v>#VALUE!</v>
      </c>
      <c r="P105" s="80">
        <f>IF(AND(ISBLANK(TableauCB[[#This Row],[Débit]]),ISBLANK(TableauCB[[#This Row],[Crédit]])),"",P104+TableauCB[[#This Row],[Crédit]]-TableauCB[[#This Row],[Débit]])</f>
        <v>3068.1500000000005</v>
      </c>
      <c r="Q105" s="26"/>
      <c r="R105" s="118"/>
      <c r="S105" s="118"/>
    </row>
    <row r="106" spans="2:19" ht="30" hidden="1" customHeight="1">
      <c r="B106" s="121"/>
      <c r="C106" s="10" t="s">
        <v>33</v>
      </c>
      <c r="D106" s="11" t="s">
        <v>11</v>
      </c>
      <c r="E106" s="11"/>
      <c r="F106" s="34">
        <v>41698</v>
      </c>
      <c r="G106"/>
      <c r="H106"/>
      <c r="I106" s="34"/>
      <c r="J106"/>
      <c r="K106" s="31"/>
      <c r="L106" s="30"/>
      <c r="M106" s="29">
        <v>198</v>
      </c>
      <c r="N106" s="27">
        <f>IF(OR(TableauCB[[#This Row],[Etat]]="",TableauCB[[#This Row],[Etat]]="c"),IF(TableauCB[[#This Row],[Solde]]="","",N105),N105-TableauCB[[#This Row],[Débit]]+TableauCB[[#This Row],[Crédit]])</f>
        <v>3266.1500000000005</v>
      </c>
      <c r="O106" s="27" t="e">
        <f>IF(TableauCB[[#This Row],[Etat]]="xc",O105-TableauCB[[#This Row],[Débit]]+TableauCB[[#This Row],[Crédit]],O105-TableauCB[[#This Row],[Débit]])</f>
        <v>#VALUE!</v>
      </c>
      <c r="P106" s="80">
        <f>IF(AND(ISBLANK(TableauCB[[#This Row],[Débit]]),ISBLANK(TableauCB[[#This Row],[Crédit]])),"",P105+TableauCB[[#This Row],[Crédit]]-TableauCB[[#This Row],[Débit]])</f>
        <v>3266.1500000000005</v>
      </c>
      <c r="Q106" s="26"/>
      <c r="R106" s="118"/>
      <c r="S106" s="118"/>
    </row>
    <row r="107" spans="2:19" ht="30" hidden="1" customHeight="1">
      <c r="B107" s="121"/>
      <c r="C107" s="10" t="s">
        <v>33</v>
      </c>
      <c r="D107" s="11" t="s">
        <v>11</v>
      </c>
      <c r="E107" s="11"/>
      <c r="F107" s="34">
        <v>41698</v>
      </c>
      <c r="G107"/>
      <c r="H107"/>
      <c r="I107" s="34"/>
      <c r="J107"/>
      <c r="K107" s="31"/>
      <c r="L107" s="30"/>
      <c r="M107" s="29">
        <v>522</v>
      </c>
      <c r="N107" s="27">
        <f>IF(OR(TableauCB[[#This Row],[Etat]]="",TableauCB[[#This Row],[Etat]]="c"),IF(TableauCB[[#This Row],[Solde]]="","",N106),N106-TableauCB[[#This Row],[Débit]]+TableauCB[[#This Row],[Crédit]])</f>
        <v>3788.1500000000005</v>
      </c>
      <c r="O107" s="27" t="e">
        <f>IF(TableauCB[[#This Row],[Etat]]="xc",O106-TableauCB[[#This Row],[Débit]]+TableauCB[[#This Row],[Crédit]],O106-TableauCB[[#This Row],[Débit]])</f>
        <v>#VALUE!</v>
      </c>
      <c r="P107" s="80">
        <f>IF(AND(ISBLANK(TableauCB[[#This Row],[Débit]]),ISBLANK(TableauCB[[#This Row],[Crédit]])),"",P106+TableauCB[[#This Row],[Crédit]]-TableauCB[[#This Row],[Débit]])</f>
        <v>3788.1500000000005</v>
      </c>
      <c r="Q107" s="26"/>
      <c r="R107" s="118"/>
      <c r="S107" s="118"/>
    </row>
    <row r="108" spans="2:19" ht="30" hidden="1" customHeight="1">
      <c r="B108" s="121"/>
      <c r="C108" s="10" t="s">
        <v>33</v>
      </c>
      <c r="D108" s="11" t="s">
        <v>11</v>
      </c>
      <c r="E108" s="11"/>
      <c r="F108" s="34">
        <v>41698</v>
      </c>
      <c r="G108"/>
      <c r="H108"/>
      <c r="I108" s="34"/>
      <c r="J108"/>
      <c r="K108" s="31"/>
      <c r="L108" s="30"/>
      <c r="M108" s="29">
        <v>151.80000000000001</v>
      </c>
      <c r="N108" s="27">
        <f>IF(OR(TableauCB[[#This Row],[Etat]]="",TableauCB[[#This Row],[Etat]]="c"),IF(TableauCB[[#This Row],[Solde]]="","",N107),N107-TableauCB[[#This Row],[Débit]]+TableauCB[[#This Row],[Crédit]])</f>
        <v>3939.9500000000007</v>
      </c>
      <c r="O108" s="27" t="e">
        <f>IF(TableauCB[[#This Row],[Etat]]="xc",O107-TableauCB[[#This Row],[Débit]]+TableauCB[[#This Row],[Crédit]],O107-TableauCB[[#This Row],[Débit]])</f>
        <v>#VALUE!</v>
      </c>
      <c r="P108" s="80">
        <f>IF(AND(ISBLANK(TableauCB[[#This Row],[Débit]]),ISBLANK(TableauCB[[#This Row],[Crédit]])),"",P107+TableauCB[[#This Row],[Crédit]]-TableauCB[[#This Row],[Débit]])</f>
        <v>3939.9500000000007</v>
      </c>
      <c r="Q108" s="26"/>
      <c r="R108" s="118"/>
      <c r="S108" s="118"/>
    </row>
    <row r="109" spans="2:19" ht="30" hidden="1" customHeight="1">
      <c r="B109" s="121"/>
      <c r="C109" s="10" t="s">
        <v>33</v>
      </c>
      <c r="D109" s="11" t="s">
        <v>11</v>
      </c>
      <c r="E109" s="11"/>
      <c r="F109" s="34">
        <v>41698</v>
      </c>
      <c r="G109"/>
      <c r="H109"/>
      <c r="I109" s="34"/>
      <c r="J109"/>
      <c r="K109" s="31"/>
      <c r="L109" s="30"/>
      <c r="M109" s="29">
        <v>50.4</v>
      </c>
      <c r="N109" s="27">
        <f>IF(OR(TableauCB[[#This Row],[Etat]]="",TableauCB[[#This Row],[Etat]]="c"),IF(TableauCB[[#This Row],[Solde]]="","",N108),N108-TableauCB[[#This Row],[Débit]]+TableauCB[[#This Row],[Crédit]])</f>
        <v>3990.3500000000008</v>
      </c>
      <c r="O109" s="27" t="e">
        <f>IF(TableauCB[[#This Row],[Etat]]="xc",O108-TableauCB[[#This Row],[Débit]]+TableauCB[[#This Row],[Crédit]],O108-TableauCB[[#This Row],[Débit]])</f>
        <v>#VALUE!</v>
      </c>
      <c r="P109" s="80">
        <f>IF(AND(ISBLANK(TableauCB[[#This Row],[Débit]]),ISBLANK(TableauCB[[#This Row],[Crédit]])),"",P108+TableauCB[[#This Row],[Crédit]]-TableauCB[[#This Row],[Débit]])</f>
        <v>3990.3500000000008</v>
      </c>
      <c r="Q109" s="26"/>
      <c r="R109" s="118"/>
      <c r="S109" s="118"/>
    </row>
    <row r="110" spans="2:19" ht="30" hidden="1" customHeight="1">
      <c r="B110" s="121"/>
      <c r="C110" s="10" t="s">
        <v>33</v>
      </c>
      <c r="D110" s="11" t="s">
        <v>11</v>
      </c>
      <c r="E110" s="11"/>
      <c r="F110" s="34">
        <v>41698</v>
      </c>
      <c r="G110"/>
      <c r="H110"/>
      <c r="I110" s="34"/>
      <c r="J110"/>
      <c r="K110" s="31"/>
      <c r="L110" s="30"/>
      <c r="M110" s="29">
        <v>252</v>
      </c>
      <c r="N110" s="27">
        <f>IF(OR(TableauCB[[#This Row],[Etat]]="",TableauCB[[#This Row],[Etat]]="c"),IF(TableauCB[[#This Row],[Solde]]="","",N109),N109-TableauCB[[#This Row],[Débit]]+TableauCB[[#This Row],[Crédit]])</f>
        <v>4242.3500000000004</v>
      </c>
      <c r="O110" s="27" t="e">
        <f>IF(TableauCB[[#This Row],[Etat]]="xc",O109-TableauCB[[#This Row],[Débit]]+TableauCB[[#This Row],[Crédit]],O109-TableauCB[[#This Row],[Débit]])</f>
        <v>#VALUE!</v>
      </c>
      <c r="P110" s="80">
        <f>IF(AND(ISBLANK(TableauCB[[#This Row],[Débit]]),ISBLANK(TableauCB[[#This Row],[Crédit]])),"",P109+TableauCB[[#This Row],[Crédit]]-TableauCB[[#This Row],[Débit]])</f>
        <v>4242.3500000000004</v>
      </c>
      <c r="Q110" s="26"/>
      <c r="R110" s="118"/>
      <c r="S110" s="119"/>
    </row>
    <row r="111" spans="2:19" ht="30" hidden="1" customHeight="1">
      <c r="B111" s="121"/>
      <c r="C111" s="10" t="s">
        <v>33</v>
      </c>
      <c r="D111" s="11" t="s">
        <v>11</v>
      </c>
      <c r="E111" s="11"/>
      <c r="F111" s="34">
        <v>41698</v>
      </c>
      <c r="G111"/>
      <c r="H111"/>
      <c r="I111" s="34"/>
      <c r="J111"/>
      <c r="K111" s="31"/>
      <c r="L111" s="30"/>
      <c r="M111" s="29">
        <v>504</v>
      </c>
      <c r="N111" s="27">
        <f>IF(OR(TableauCB[[#This Row],[Etat]]="",TableauCB[[#This Row],[Etat]]="c"),IF(TableauCB[[#This Row],[Solde]]="","",N110),N110-TableauCB[[#This Row],[Débit]]+TableauCB[[#This Row],[Crédit]])</f>
        <v>4746.3500000000004</v>
      </c>
      <c r="O111" s="27" t="e">
        <f>IF(TableauCB[[#This Row],[Etat]]="xc",O110-TableauCB[[#This Row],[Débit]]+TableauCB[[#This Row],[Crédit]],O110-TableauCB[[#This Row],[Débit]])</f>
        <v>#VALUE!</v>
      </c>
      <c r="P111" s="80">
        <f>IF(AND(ISBLANK(TableauCB[[#This Row],[Débit]]),ISBLANK(TableauCB[[#This Row],[Crédit]])),"",P110+TableauCB[[#This Row],[Crédit]]-TableauCB[[#This Row],[Débit]])</f>
        <v>4746.3500000000004</v>
      </c>
      <c r="Q111" s="26"/>
      <c r="R111" s="118"/>
      <c r="S111" s="118"/>
    </row>
    <row r="112" spans="2:19" ht="30" hidden="1" customHeight="1">
      <c r="B112" s="121"/>
      <c r="C112" s="10" t="s">
        <v>33</v>
      </c>
      <c r="D112" s="11" t="s">
        <v>45</v>
      </c>
      <c r="E112" s="11"/>
      <c r="F112" s="34">
        <v>41698</v>
      </c>
      <c r="G112"/>
      <c r="H112"/>
      <c r="I112" s="34"/>
      <c r="J112"/>
      <c r="K112" s="31"/>
      <c r="L112" s="30"/>
      <c r="M112" s="29">
        <v>72</v>
      </c>
      <c r="N112" s="27">
        <f>IF(OR(TableauCB[[#This Row],[Etat]]="",TableauCB[[#This Row],[Etat]]="c"),IF(TableauCB[[#This Row],[Solde]]="","",N111),N111-TableauCB[[#This Row],[Débit]]+TableauCB[[#This Row],[Crédit]])</f>
        <v>4818.3500000000004</v>
      </c>
      <c r="O112" s="27" t="e">
        <f>IF(TableauCB[[#This Row],[Etat]]="xc",O111-TableauCB[[#This Row],[Débit]]+TableauCB[[#This Row],[Crédit]],O111-TableauCB[[#This Row],[Débit]])</f>
        <v>#VALUE!</v>
      </c>
      <c r="P112" s="80">
        <f>IF(AND(ISBLANK(TableauCB[[#This Row],[Débit]]),ISBLANK(TableauCB[[#This Row],[Crédit]])),"",P111+TableauCB[[#This Row],[Crédit]]-TableauCB[[#This Row],[Débit]])</f>
        <v>4818.3500000000004</v>
      </c>
      <c r="Q112" s="26"/>
      <c r="R112" s="118"/>
      <c r="S112" s="118"/>
    </row>
    <row r="113" spans="2:19" ht="30" hidden="1" customHeight="1" thickBot="1">
      <c r="B113" s="121"/>
      <c r="C113" s="10" t="s">
        <v>33</v>
      </c>
      <c r="D113" s="11" t="s">
        <v>5</v>
      </c>
      <c r="E113" s="11"/>
      <c r="F113" s="34">
        <v>41698</v>
      </c>
      <c r="G113"/>
      <c r="H113"/>
      <c r="I113" s="34"/>
      <c r="J113"/>
      <c r="K113" s="31"/>
      <c r="L113" s="30">
        <v>520.34</v>
      </c>
      <c r="M113" s="29"/>
      <c r="N113" s="27">
        <f>IF(OR(TableauCB[[#This Row],[Etat]]="",TableauCB[[#This Row],[Etat]]="c"),IF(TableauCB[[#This Row],[Solde]]="","",N112),N112-TableauCB[[#This Row],[Débit]]+TableauCB[[#This Row],[Crédit]])</f>
        <v>4298.01</v>
      </c>
      <c r="O113" s="27" t="e">
        <f>IF(TableauCB[[#This Row],[Etat]]="xc",O112-TableauCB[[#This Row],[Débit]]+TableauCB[[#This Row],[Crédit]],O112-TableauCB[[#This Row],[Débit]])</f>
        <v>#VALUE!</v>
      </c>
      <c r="P113" s="80">
        <f>IF(AND(ISBLANK(TableauCB[[#This Row],[Débit]]),ISBLANK(TableauCB[[#This Row],[Crédit]])),"",P112+TableauCB[[#This Row],[Crédit]]-TableauCB[[#This Row],[Débit]])</f>
        <v>4298.01</v>
      </c>
      <c r="Q113" s="26"/>
      <c r="R113" s="47" t="s">
        <v>54</v>
      </c>
      <c r="S113" s="47" t="s">
        <v>53</v>
      </c>
    </row>
    <row r="114" spans="2:19" ht="30" hidden="1" customHeight="1" thickBot="1">
      <c r="B114" s="120"/>
      <c r="C114" s="11" t="s">
        <v>33</v>
      </c>
      <c r="D114" s="11" t="s">
        <v>9</v>
      </c>
      <c r="E114" s="11"/>
      <c r="F114" s="34">
        <v>41698</v>
      </c>
      <c r="G114"/>
      <c r="H114"/>
      <c r="I114" s="34"/>
      <c r="J114"/>
      <c r="K114" s="31"/>
      <c r="L114" s="30">
        <v>240</v>
      </c>
      <c r="M114" s="29"/>
      <c r="N114" s="27">
        <f>IF(OR(TableauCB[[#This Row],[Etat]]="",TableauCB[[#This Row],[Etat]]="c"),IF(TableauCB[[#This Row],[Solde]]="","",N113),N113-TableauCB[[#This Row],[Débit]]+TableauCB[[#This Row],[Crédit]])</f>
        <v>4058.01</v>
      </c>
      <c r="O114" s="27" t="e">
        <f>IF(TableauCB[[#This Row],[Etat]]="xc",O113-TableauCB[[#This Row],[Débit]]+TableauCB[[#This Row],[Crédit]],O113-TableauCB[[#This Row],[Débit]])</f>
        <v>#VALUE!</v>
      </c>
      <c r="P114" s="27">
        <f>IF(AND(ISBLANK(TableauCB[[#This Row],[Débit]]),ISBLANK(TableauCB[[#This Row],[Crédit]])),"",P113+TableauCB[[#This Row],[Crédit]]-TableauCB[[#This Row],[Débit]])</f>
        <v>4058.01</v>
      </c>
      <c r="Q114" s="26"/>
      <c r="R114" s="25">
        <f>SUM(M96:M114)-SUM(L96:L114)</f>
        <v>838.90000000000009</v>
      </c>
      <c r="S114" s="25">
        <f>R114/1.2</f>
        <v>699.08333333333348</v>
      </c>
    </row>
    <row r="115" spans="2:19" ht="30" hidden="1" customHeight="1">
      <c r="B115" s="73" t="s">
        <v>114</v>
      </c>
      <c r="C115" s="68" t="s">
        <v>33</v>
      </c>
      <c r="D115" s="68" t="s">
        <v>9</v>
      </c>
      <c r="E115" s="68"/>
      <c r="F115" s="67">
        <v>41699</v>
      </c>
      <c r="G115"/>
      <c r="H115"/>
      <c r="I115" s="67"/>
      <c r="J115"/>
      <c r="K115" s="65"/>
      <c r="L115" s="64">
        <v>5.6</v>
      </c>
      <c r="M115" s="63"/>
      <c r="N115" s="61">
        <f>IF(OR(TableauCB[[#This Row],[Etat]]="",TableauCB[[#This Row],[Etat]]="c"),IF(TableauCB[[#This Row],[Solde]]="","",N114),N114-TableauCB[[#This Row],[Débit]]+TableauCB[[#This Row],[Crédit]])</f>
        <v>4052.4100000000003</v>
      </c>
      <c r="O115" s="61" t="e">
        <f>IF(TableauCB[[#This Row],[Etat]]="xc",O114-TableauCB[[#This Row],[Débit]]+TableauCB[[#This Row],[Crédit]],O114-TableauCB[[#This Row],[Débit]])</f>
        <v>#VALUE!</v>
      </c>
      <c r="P115" s="61">
        <f>IF(AND(ISBLANK(TableauCB[[#This Row],[Débit]]),ISBLANK(TableauCB[[#This Row],[Crédit]])),"",P114+TableauCB[[#This Row],[Crédit]]-TableauCB[[#This Row],[Débit]])</f>
        <v>4052.4100000000003</v>
      </c>
      <c r="Q115" s="26"/>
      <c r="R115" s="117" t="s">
        <v>113</v>
      </c>
      <c r="S115" s="118"/>
    </row>
    <row r="116" spans="2:19" ht="30" hidden="1" customHeight="1">
      <c r="B116" s="71"/>
      <c r="C116" s="10" t="s">
        <v>33</v>
      </c>
      <c r="D116" s="11" t="s">
        <v>21</v>
      </c>
      <c r="E116" s="11"/>
      <c r="F116" s="34">
        <v>41703</v>
      </c>
      <c r="G116"/>
      <c r="H116"/>
      <c r="I116" s="34"/>
      <c r="J116"/>
      <c r="K116" s="31"/>
      <c r="L116" s="30">
        <v>21.5</v>
      </c>
      <c r="M116" s="29"/>
      <c r="N116" s="27">
        <f>IF(OR(TableauCB[[#This Row],[Etat]]="",TableauCB[[#This Row],[Etat]]="c"),IF(TableauCB[[#This Row],[Solde]]="","",N115),N115-TableauCB[[#This Row],[Débit]]+TableauCB[[#This Row],[Crédit]])</f>
        <v>4030.9100000000003</v>
      </c>
      <c r="O116" s="27" t="e">
        <f>IF(TableauCB[[#This Row],[Etat]]="xc",O115-TableauCB[[#This Row],[Débit]]+TableauCB[[#This Row],[Crédit]],O115-TableauCB[[#This Row],[Débit]])</f>
        <v>#VALUE!</v>
      </c>
      <c r="P116" s="80">
        <f>IF(AND(ISBLANK(TableauCB[[#This Row],[Débit]]),ISBLANK(TableauCB[[#This Row],[Crédit]])),"",P115+TableauCB[[#This Row],[Crédit]]-TableauCB[[#This Row],[Débit]])</f>
        <v>4030.9100000000003</v>
      </c>
      <c r="Q116" s="26"/>
    </row>
    <row r="117" spans="2:19" ht="30" hidden="1" customHeight="1">
      <c r="B117" s="71"/>
      <c r="C117" s="11" t="s">
        <v>33</v>
      </c>
      <c r="D117" s="11" t="s">
        <v>58</v>
      </c>
      <c r="E117" s="11"/>
      <c r="F117" s="34">
        <v>41705</v>
      </c>
      <c r="G117"/>
      <c r="H117"/>
      <c r="I117" s="34"/>
      <c r="J117"/>
      <c r="K117" s="31"/>
      <c r="L117" s="30">
        <v>66</v>
      </c>
      <c r="M117" s="29"/>
      <c r="N117" s="28">
        <f>IF(OR(TableauCB[[#This Row],[Etat]]="",TableauCB[[#This Row],[Etat]]="c"),IF(TableauCB[[#This Row],[Solde]]="","",N116),N116-TableauCB[[#This Row],[Débit]]+TableauCB[[#This Row],[Crédit]])</f>
        <v>3964.9100000000003</v>
      </c>
      <c r="O117" s="27" t="e">
        <f>IF(TableauCB[[#This Row],[Etat]]="xc",O116-TableauCB[[#This Row],[Débit]]+TableauCB[[#This Row],[Crédit]],O116-TableauCB[[#This Row],[Débit]])</f>
        <v>#VALUE!</v>
      </c>
      <c r="P117" s="27">
        <f>IF(AND(ISBLANK(TableauCB[[#This Row],[Débit]]),ISBLANK(TableauCB[[#This Row],[Crédit]])),"",P116+TableauCB[[#This Row],[Crédit]]-TableauCB[[#This Row],[Débit]])</f>
        <v>3964.9100000000003</v>
      </c>
      <c r="Q117" s="26"/>
    </row>
    <row r="118" spans="2:19" ht="30" hidden="1" customHeight="1">
      <c r="B118" s="71"/>
      <c r="C118" s="11" t="s">
        <v>33</v>
      </c>
      <c r="D118" s="11" t="s">
        <v>11</v>
      </c>
      <c r="E118" s="11"/>
      <c r="F118" s="34">
        <v>41728</v>
      </c>
      <c r="G118"/>
      <c r="H118"/>
      <c r="I118" s="34"/>
      <c r="J118"/>
      <c r="K118" s="31"/>
      <c r="L118" s="30"/>
      <c r="M118" s="29">
        <v>216</v>
      </c>
      <c r="N118" s="27">
        <f>IF(OR(TableauCB[[#This Row],[Etat]]="",TableauCB[[#This Row],[Etat]]="c"),IF(TableauCB[[#This Row],[Solde]]="","",N117),N117-TableauCB[[#This Row],[Débit]]+TableauCB[[#This Row],[Crédit]])</f>
        <v>4180.91</v>
      </c>
      <c r="O118" s="27" t="e">
        <f>IF(TableauCB[[#This Row],[Etat]]="xc",O117-TableauCB[[#This Row],[Débit]]+TableauCB[[#This Row],[Crédit]],O117-TableauCB[[#This Row],[Débit]])</f>
        <v>#VALUE!</v>
      </c>
      <c r="P118" s="27">
        <f>IF(AND(ISBLANK(TableauCB[[#This Row],[Débit]]),ISBLANK(TableauCB[[#This Row],[Crédit]])),"",P117+TableauCB[[#This Row],[Crédit]]-TableauCB[[#This Row],[Débit]])</f>
        <v>4180.91</v>
      </c>
      <c r="Q118" s="26"/>
      <c r="R118" s="118"/>
      <c r="S118" s="118"/>
    </row>
    <row r="119" spans="2:19" ht="30" hidden="1" customHeight="1">
      <c r="B119" s="71"/>
      <c r="C119" s="11" t="s">
        <v>33</v>
      </c>
      <c r="D119" s="11" t="s">
        <v>11</v>
      </c>
      <c r="E119" s="11"/>
      <c r="F119" s="34">
        <v>41728</v>
      </c>
      <c r="G119"/>
      <c r="H119"/>
      <c r="I119" s="34"/>
      <c r="J119"/>
      <c r="K119" s="31"/>
      <c r="L119" s="30"/>
      <c r="M119" s="29">
        <v>198</v>
      </c>
      <c r="N119" s="27">
        <f>IF(OR(TableauCB[[#This Row],[Etat]]="",TableauCB[[#This Row],[Etat]]="c"),IF(TableauCB[[#This Row],[Solde]]="","",N118),N118-TableauCB[[#This Row],[Débit]]+TableauCB[[#This Row],[Crédit]])</f>
        <v>4378.91</v>
      </c>
      <c r="O119" s="27" t="e">
        <f>IF(TableauCB[[#This Row],[Etat]]="xc",O118-TableauCB[[#This Row],[Débit]]+TableauCB[[#This Row],[Crédit]],O118-TableauCB[[#This Row],[Débit]])</f>
        <v>#VALUE!</v>
      </c>
      <c r="P119" s="27">
        <f>IF(AND(ISBLANK(TableauCB[[#This Row],[Débit]]),ISBLANK(TableauCB[[#This Row],[Crédit]])),"",P118+TableauCB[[#This Row],[Crédit]]-TableauCB[[#This Row],[Débit]])</f>
        <v>4378.91</v>
      </c>
      <c r="Q119" s="26"/>
      <c r="R119" s="118"/>
      <c r="S119" s="118"/>
    </row>
    <row r="120" spans="2:19" ht="30" hidden="1" customHeight="1">
      <c r="B120" s="71"/>
      <c r="C120" s="10" t="s">
        <v>33</v>
      </c>
      <c r="D120" s="11" t="s">
        <v>11</v>
      </c>
      <c r="E120" s="11"/>
      <c r="F120" s="34">
        <v>41728</v>
      </c>
      <c r="G120"/>
      <c r="H120"/>
      <c r="I120" s="34"/>
      <c r="J120"/>
      <c r="K120" s="31"/>
      <c r="L120" s="30"/>
      <c r="M120" s="29">
        <v>522</v>
      </c>
      <c r="N120" s="27">
        <f>IF(OR(TableauCB[[#This Row],[Etat]]="",TableauCB[[#This Row],[Etat]]="c"),IF(TableauCB[[#This Row],[Solde]]="","",N119),N119-TableauCB[[#This Row],[Débit]]+TableauCB[[#This Row],[Crédit]])</f>
        <v>4900.91</v>
      </c>
      <c r="O120" s="27" t="e">
        <f>IF(TableauCB[[#This Row],[Etat]]="xc",O119-TableauCB[[#This Row],[Débit]]+TableauCB[[#This Row],[Crédit]],O119-TableauCB[[#This Row],[Débit]])</f>
        <v>#VALUE!</v>
      </c>
      <c r="P120" s="80">
        <f>IF(AND(ISBLANK(TableauCB[[#This Row],[Débit]]),ISBLANK(TableauCB[[#This Row],[Crédit]])),"",P119+TableauCB[[#This Row],[Crédit]]-TableauCB[[#This Row],[Débit]])</f>
        <v>4900.91</v>
      </c>
      <c r="Q120" s="26"/>
      <c r="R120" s="118"/>
      <c r="S120" s="118"/>
    </row>
    <row r="121" spans="2:19" ht="30" hidden="1" customHeight="1">
      <c r="B121" s="71"/>
      <c r="C121" s="10" t="s">
        <v>33</v>
      </c>
      <c r="D121" s="11" t="s">
        <v>11</v>
      </c>
      <c r="E121" s="11"/>
      <c r="F121" s="34">
        <v>41728</v>
      </c>
      <c r="G121"/>
      <c r="H121"/>
      <c r="I121" s="34"/>
      <c r="J121"/>
      <c r="K121" s="31"/>
      <c r="L121" s="30"/>
      <c r="M121" s="29">
        <v>151.80000000000001</v>
      </c>
      <c r="N121" s="27">
        <f>IF(OR(TableauCB[[#This Row],[Etat]]="",TableauCB[[#This Row],[Etat]]="c"),IF(TableauCB[[#This Row],[Solde]]="","",N120),N120-TableauCB[[#This Row],[Débit]]+TableauCB[[#This Row],[Crédit]])</f>
        <v>5052.71</v>
      </c>
      <c r="O121" s="27" t="e">
        <f>IF(TableauCB[[#This Row],[Etat]]="xc",O120-TableauCB[[#This Row],[Débit]]+TableauCB[[#This Row],[Crédit]],O120-TableauCB[[#This Row],[Débit]])</f>
        <v>#VALUE!</v>
      </c>
      <c r="P121" s="80">
        <f>IF(AND(ISBLANK(TableauCB[[#This Row],[Débit]]),ISBLANK(TableauCB[[#This Row],[Crédit]])),"",P120+TableauCB[[#This Row],[Crédit]]-TableauCB[[#This Row],[Débit]])</f>
        <v>5052.71</v>
      </c>
      <c r="Q121" s="26"/>
      <c r="R121" s="118"/>
      <c r="S121" s="118"/>
    </row>
    <row r="122" spans="2:19" ht="30" hidden="1" customHeight="1">
      <c r="B122" s="71"/>
      <c r="C122" s="11" t="s">
        <v>33</v>
      </c>
      <c r="D122" s="11" t="s">
        <v>11</v>
      </c>
      <c r="E122" s="11"/>
      <c r="F122" s="34">
        <v>41728</v>
      </c>
      <c r="G122"/>
      <c r="H122"/>
      <c r="I122" s="34"/>
      <c r="J122"/>
      <c r="K122" s="31"/>
      <c r="L122" s="30"/>
      <c r="M122" s="29">
        <v>50.4</v>
      </c>
      <c r="N122" s="27">
        <f>IF(OR(TableauCB[[#This Row],[Etat]]="",TableauCB[[#This Row],[Etat]]="c"),IF(TableauCB[[#This Row],[Solde]]="","",N121),N121-TableauCB[[#This Row],[Débit]]+TableauCB[[#This Row],[Crédit]])</f>
        <v>5103.1099999999997</v>
      </c>
      <c r="O122" s="27" t="e">
        <f>IF(TableauCB[[#This Row],[Etat]]="xc",O121-TableauCB[[#This Row],[Débit]]+TableauCB[[#This Row],[Crédit]],O121-TableauCB[[#This Row],[Débit]])</f>
        <v>#VALUE!</v>
      </c>
      <c r="P122" s="80">
        <f>IF(AND(ISBLANK(TableauCB[[#This Row],[Débit]]),ISBLANK(TableauCB[[#This Row],[Crédit]])),"",P121+TableauCB[[#This Row],[Crédit]]-TableauCB[[#This Row],[Débit]])</f>
        <v>5103.1099999999997</v>
      </c>
      <c r="Q122" s="26"/>
      <c r="R122" s="118"/>
      <c r="S122" s="118"/>
    </row>
    <row r="123" spans="2:19" ht="30" hidden="1" customHeight="1">
      <c r="B123" s="71"/>
      <c r="C123" s="10" t="s">
        <v>33</v>
      </c>
      <c r="D123" s="11" t="s">
        <v>11</v>
      </c>
      <c r="E123" s="11"/>
      <c r="F123" s="34">
        <v>41728</v>
      </c>
      <c r="G123"/>
      <c r="H123"/>
      <c r="I123" s="34"/>
      <c r="J123"/>
      <c r="K123" s="31"/>
      <c r="L123" s="30"/>
      <c r="M123" s="29">
        <v>192</v>
      </c>
      <c r="N123" s="27">
        <f>IF(OR(TableauCB[[#This Row],[Etat]]="",TableauCB[[#This Row],[Etat]]="c"),IF(TableauCB[[#This Row],[Solde]]="","",N122),N122-TableauCB[[#This Row],[Débit]]+TableauCB[[#This Row],[Crédit]])</f>
        <v>5295.11</v>
      </c>
      <c r="O123" s="27" t="e">
        <f>IF(TableauCB[[#This Row],[Etat]]="xc",O122-TableauCB[[#This Row],[Débit]]+TableauCB[[#This Row],[Crédit]],O122-TableauCB[[#This Row],[Débit]])</f>
        <v>#VALUE!</v>
      </c>
      <c r="P123" s="80">
        <f>IF(AND(ISBLANK(TableauCB[[#This Row],[Débit]]),ISBLANK(TableauCB[[#This Row],[Crédit]])),"",P122+TableauCB[[#This Row],[Crédit]]-TableauCB[[#This Row],[Débit]])</f>
        <v>5295.11</v>
      </c>
      <c r="Q123" s="26"/>
      <c r="R123" s="118"/>
      <c r="S123" s="119"/>
    </row>
    <row r="124" spans="2:19" ht="30" hidden="1" customHeight="1">
      <c r="B124" s="71"/>
      <c r="C124" s="10" t="s">
        <v>33</v>
      </c>
      <c r="D124" s="11" t="s">
        <v>11</v>
      </c>
      <c r="E124" s="11"/>
      <c r="F124" s="34">
        <v>41728</v>
      </c>
      <c r="G124"/>
      <c r="H124"/>
      <c r="I124" s="34"/>
      <c r="J124"/>
      <c r="K124" s="31"/>
      <c r="L124" s="30"/>
      <c r="M124" s="29">
        <v>504</v>
      </c>
      <c r="N124" s="27">
        <f>IF(OR(TableauCB[[#This Row],[Etat]]="",TableauCB[[#This Row],[Etat]]="c"),IF(TableauCB[[#This Row],[Solde]]="","",N123),N123-TableauCB[[#This Row],[Débit]]+TableauCB[[#This Row],[Crédit]])</f>
        <v>5799.11</v>
      </c>
      <c r="O124" s="27" t="e">
        <f>IF(TableauCB[[#This Row],[Etat]]="xc",O123-TableauCB[[#This Row],[Débit]]+TableauCB[[#This Row],[Crédit]],O123-TableauCB[[#This Row],[Débit]])</f>
        <v>#VALUE!</v>
      </c>
      <c r="P124" s="80">
        <f>IF(AND(ISBLANK(TableauCB[[#This Row],[Débit]]),ISBLANK(TableauCB[[#This Row],[Crédit]])),"",P123+TableauCB[[#This Row],[Crédit]]-TableauCB[[#This Row],[Débit]])</f>
        <v>5799.11</v>
      </c>
      <c r="Q124" s="26"/>
      <c r="R124" s="118"/>
      <c r="S124" s="118"/>
    </row>
    <row r="125" spans="2:19" ht="30" hidden="1" customHeight="1">
      <c r="B125" s="71"/>
      <c r="C125" s="10" t="s">
        <v>33</v>
      </c>
      <c r="D125" s="11" t="s">
        <v>11</v>
      </c>
      <c r="E125" s="11"/>
      <c r="F125" s="34">
        <v>41728</v>
      </c>
      <c r="G125"/>
      <c r="H125"/>
      <c r="I125" s="34"/>
      <c r="J125"/>
      <c r="K125" s="31"/>
      <c r="L125" s="30"/>
      <c r="M125" s="29">
        <v>115.2</v>
      </c>
      <c r="N125" s="27">
        <f>IF(OR(TableauCB[[#This Row],[Etat]]="",TableauCB[[#This Row],[Etat]]="c"),IF(TableauCB[[#This Row],[Solde]]="","",N124),N124-TableauCB[[#This Row],[Débit]]+TableauCB[[#This Row],[Crédit]])</f>
        <v>5914.3099999999995</v>
      </c>
      <c r="O125" s="27" t="e">
        <f>IF(TableauCB[[#This Row],[Etat]]="xc",O124-TableauCB[[#This Row],[Débit]]+TableauCB[[#This Row],[Crédit]],O124-TableauCB[[#This Row],[Débit]])</f>
        <v>#VALUE!</v>
      </c>
      <c r="P125" s="80">
        <f>IF(AND(ISBLANK(TableauCB[[#This Row],[Débit]]),ISBLANK(TableauCB[[#This Row],[Crédit]])),"",P124+TableauCB[[#This Row],[Crédit]]-TableauCB[[#This Row],[Débit]])</f>
        <v>5914.3099999999995</v>
      </c>
      <c r="Q125" s="26"/>
      <c r="R125" s="118"/>
      <c r="S125" s="118"/>
    </row>
    <row r="126" spans="2:19" ht="30" hidden="1" customHeight="1">
      <c r="B126" s="71"/>
      <c r="C126" s="10" t="s">
        <v>33</v>
      </c>
      <c r="D126" s="11" t="s">
        <v>11</v>
      </c>
      <c r="E126" s="11"/>
      <c r="F126" s="34">
        <v>41728</v>
      </c>
      <c r="G126"/>
      <c r="H126"/>
      <c r="I126" s="34"/>
      <c r="J126"/>
      <c r="K126" s="31"/>
      <c r="L126" s="30"/>
      <c r="M126" s="29">
        <v>54</v>
      </c>
      <c r="N126" s="27">
        <f>IF(OR(TableauCB[[#This Row],[Etat]]="",TableauCB[[#This Row],[Etat]]="c"),IF(TableauCB[[#This Row],[Solde]]="","",N125),N125-TableauCB[[#This Row],[Débit]]+TableauCB[[#This Row],[Crédit]])</f>
        <v>5968.3099999999995</v>
      </c>
      <c r="O126" s="27" t="e">
        <f>IF(TableauCB[[#This Row],[Etat]]="xc",O125-TableauCB[[#This Row],[Débit]]+TableauCB[[#This Row],[Crédit]],O125-TableauCB[[#This Row],[Débit]])</f>
        <v>#VALUE!</v>
      </c>
      <c r="P126" s="80">
        <f>IF(AND(ISBLANK(TableauCB[[#This Row],[Débit]]),ISBLANK(TableauCB[[#This Row],[Crédit]])),"",P125+TableauCB[[#This Row],[Crédit]]-TableauCB[[#This Row],[Débit]])</f>
        <v>5968.3099999999995</v>
      </c>
      <c r="Q126" s="26"/>
      <c r="R126" s="118"/>
      <c r="S126" s="118"/>
    </row>
    <row r="127" spans="2:19" ht="30" hidden="1" customHeight="1" thickBot="1">
      <c r="B127" s="71"/>
      <c r="C127" s="10" t="s">
        <v>33</v>
      </c>
      <c r="D127" s="11" t="s">
        <v>9</v>
      </c>
      <c r="E127" s="11"/>
      <c r="F127" s="34">
        <v>41729</v>
      </c>
      <c r="G127"/>
      <c r="H127"/>
      <c r="I127" s="116"/>
      <c r="J127"/>
      <c r="K127" s="31"/>
      <c r="L127" s="30">
        <v>240</v>
      </c>
      <c r="M127" s="29"/>
      <c r="N127" s="27">
        <f>IF(OR(TableauCB[[#This Row],[Etat]]="",TableauCB[[#This Row],[Etat]]="c"),IF(TableauCB[[#This Row],[Solde]]="","",N126),N126-TableauCB[[#This Row],[Débit]]+TableauCB[[#This Row],[Crédit]])</f>
        <v>5728.3099999999995</v>
      </c>
      <c r="O127" s="27" t="e">
        <f>IF(TableauCB[[#This Row],[Etat]]="xc",O126-TableauCB[[#This Row],[Débit]]+TableauCB[[#This Row],[Crédit]],O126-TableauCB[[#This Row],[Débit]])</f>
        <v>#VALUE!</v>
      </c>
      <c r="P127" s="80">
        <f>IF(AND(ISBLANK(TableauCB[[#This Row],[Débit]]),ISBLANK(TableauCB[[#This Row],[Crédit]])),"",P126+TableauCB[[#This Row],[Crédit]]-TableauCB[[#This Row],[Débit]])</f>
        <v>5728.3099999999995</v>
      </c>
      <c r="Q127" s="26"/>
      <c r="R127" s="47" t="s">
        <v>54</v>
      </c>
      <c r="S127" s="47" t="s">
        <v>53</v>
      </c>
    </row>
    <row r="128" spans="2:19" ht="30" hidden="1" customHeight="1" thickBot="1">
      <c r="B128" s="70"/>
      <c r="C128" s="101" t="s">
        <v>33</v>
      </c>
      <c r="D128" s="101" t="s">
        <v>5</v>
      </c>
      <c r="E128" s="101"/>
      <c r="F128" s="100">
        <v>41729</v>
      </c>
      <c r="G128"/>
      <c r="H128"/>
      <c r="I128" s="100"/>
      <c r="J128"/>
      <c r="K128" s="98"/>
      <c r="L128" s="97">
        <v>503.48</v>
      </c>
      <c r="M128" s="96"/>
      <c r="N128" s="95">
        <f>IF(OR(TableauCB[[#This Row],[Etat]]="",TableauCB[[#This Row],[Etat]]="c"),IF(TableauCB[[#This Row],[Solde]]="","",N127),N127-TableauCB[[#This Row],[Débit]]+TableauCB[[#This Row],[Crédit]])</f>
        <v>5224.83</v>
      </c>
      <c r="O128" s="95" t="e">
        <f>IF(TableauCB[[#This Row],[Etat]]="xc",O127-TableauCB[[#This Row],[Débit]]+TableauCB[[#This Row],[Crédit]],O127-TableauCB[[#This Row],[Débit]])</f>
        <v>#VALUE!</v>
      </c>
      <c r="P128" s="95">
        <f>IF(AND(ISBLANK(TableauCB[[#This Row],[Débit]]),ISBLANK(TableauCB[[#This Row],[Crédit]])),"",P127+TableauCB[[#This Row],[Crédit]]-TableauCB[[#This Row],[Débit]])</f>
        <v>5224.83</v>
      </c>
      <c r="Q128" s="26"/>
      <c r="R128" s="25">
        <f>SUM(M115:M128)-SUM(L115:L128)</f>
        <v>1166.8200000000002</v>
      </c>
      <c r="S128" s="25">
        <f>R128/1.2</f>
        <v>972.35000000000014</v>
      </c>
    </row>
    <row r="129" spans="2:19" ht="30" hidden="1" customHeight="1">
      <c r="B129" s="71" t="s">
        <v>112</v>
      </c>
      <c r="C129" s="10" t="s">
        <v>33</v>
      </c>
      <c r="D129" s="11" t="s">
        <v>21</v>
      </c>
      <c r="E129" s="11"/>
      <c r="F129" s="34">
        <v>41730</v>
      </c>
      <c r="G129"/>
      <c r="H129"/>
      <c r="I129" s="116"/>
      <c r="J129"/>
      <c r="K129" s="31"/>
      <c r="L129" s="30">
        <v>2.71</v>
      </c>
      <c r="M129" s="29"/>
      <c r="N129" s="27">
        <f>IF(OR(TableauCB[[#This Row],[Etat]]="",TableauCB[[#This Row],[Etat]]="c"),IF(TableauCB[[#This Row],[Solde]]="","",N128),N128-TableauCB[[#This Row],[Débit]]+TableauCB[[#This Row],[Crédit]])</f>
        <v>5222.12</v>
      </c>
      <c r="O129" s="27" t="e">
        <f>IF(TableauCB[[#This Row],[Etat]]="xc",O128-TableauCB[[#This Row],[Débit]]+TableauCB[[#This Row],[Crédit]],O128-TableauCB[[#This Row],[Débit]])</f>
        <v>#VALUE!</v>
      </c>
      <c r="P129" s="80">
        <f>IF(AND(ISBLANK(TableauCB[[#This Row],[Débit]]),ISBLANK(TableauCB[[#This Row],[Crédit]])),"",P128+TableauCB[[#This Row],[Crédit]]-TableauCB[[#This Row],[Débit]])</f>
        <v>5222.12</v>
      </c>
      <c r="Q129" s="26"/>
      <c r="R129" s="76"/>
      <c r="S129" s="76"/>
    </row>
    <row r="130" spans="2:19" ht="30" hidden="1" customHeight="1">
      <c r="B130" s="71"/>
      <c r="C130" s="10" t="s">
        <v>33</v>
      </c>
      <c r="D130" s="11" t="s">
        <v>21</v>
      </c>
      <c r="E130" s="11"/>
      <c r="F130" s="34">
        <v>41734</v>
      </c>
      <c r="G130"/>
      <c r="H130"/>
      <c r="I130" s="34"/>
      <c r="J130"/>
      <c r="K130" s="31"/>
      <c r="L130" s="30">
        <v>21.5</v>
      </c>
      <c r="M130" s="29"/>
      <c r="N130" s="27">
        <f>IF(OR(TableauCB[[#This Row],[Etat]]="",TableauCB[[#This Row],[Etat]]="c"),IF(TableauCB[[#This Row],[Solde]]="","",N129),N129-TableauCB[[#This Row],[Débit]]+TableauCB[[#This Row],[Crédit]])</f>
        <v>5200.62</v>
      </c>
      <c r="O130" s="27" t="e">
        <f>IF(TableauCB[[#This Row],[Etat]]="xc",O129-TableauCB[[#This Row],[Débit]]+TableauCB[[#This Row],[Crédit]],O129-TableauCB[[#This Row],[Débit]])</f>
        <v>#VALUE!</v>
      </c>
      <c r="P130" s="80">
        <f>IF(AND(ISBLANK(TableauCB[[#This Row],[Débit]]),ISBLANK(TableauCB[[#This Row],[Crédit]])),"",P129+TableauCB[[#This Row],[Crédit]]-TableauCB[[#This Row],[Débit]])</f>
        <v>5200.62</v>
      </c>
      <c r="Q130" s="26"/>
      <c r="R130" s="76"/>
      <c r="S130" s="76"/>
    </row>
    <row r="131" spans="2:19" ht="30" hidden="1" customHeight="1">
      <c r="B131" s="71"/>
      <c r="C131" s="10" t="s">
        <v>33</v>
      </c>
      <c r="D131" s="11" t="s">
        <v>17</v>
      </c>
      <c r="E131" s="11"/>
      <c r="F131" s="34">
        <v>41740</v>
      </c>
      <c r="G131"/>
      <c r="H131"/>
      <c r="I131" s="34"/>
      <c r="J131"/>
      <c r="K131" s="31"/>
      <c r="L131" s="30">
        <v>17.54</v>
      </c>
      <c r="M131" s="29"/>
      <c r="N131" s="27">
        <f>IF(OR(TableauCB[[#This Row],[Etat]]="",TableauCB[[#This Row],[Etat]]="c"),IF(TableauCB[[#This Row],[Solde]]="","",N130),N130-TableauCB[[#This Row],[Débit]]+TableauCB[[#This Row],[Crédit]])</f>
        <v>5183.08</v>
      </c>
      <c r="O131" s="27" t="e">
        <f>IF(TableauCB[[#This Row],[Etat]]="xc",O130-TableauCB[[#This Row],[Débit]]+TableauCB[[#This Row],[Crédit]],O130-TableauCB[[#This Row],[Débit]])</f>
        <v>#VALUE!</v>
      </c>
      <c r="P131" s="80">
        <f>IF(AND(ISBLANK(TableauCB[[#This Row],[Débit]]),ISBLANK(TableauCB[[#This Row],[Crédit]])),"",P130+TableauCB[[#This Row],[Crédit]]-TableauCB[[#This Row],[Débit]])</f>
        <v>5183.08</v>
      </c>
      <c r="Q131" s="26"/>
      <c r="R131" s="76"/>
      <c r="S131" s="76"/>
    </row>
    <row r="132" spans="2:19" ht="30" hidden="1" customHeight="1">
      <c r="B132" s="71"/>
      <c r="C132" s="10" t="s">
        <v>33</v>
      </c>
      <c r="D132" s="11" t="s">
        <v>41</v>
      </c>
      <c r="E132" s="11"/>
      <c r="F132" s="34">
        <v>41740</v>
      </c>
      <c r="G132"/>
      <c r="H132"/>
      <c r="I132" s="34"/>
      <c r="J132"/>
      <c r="K132" s="31"/>
      <c r="L132" s="30">
        <v>128.04</v>
      </c>
      <c r="M132" s="29"/>
      <c r="N132" s="27">
        <f>IF(OR(TableauCB[[#This Row],[Etat]]="",TableauCB[[#This Row],[Etat]]="c"),IF(TableauCB[[#This Row],[Solde]]="","",N131),N131-TableauCB[[#This Row],[Débit]]+TableauCB[[#This Row],[Crédit]])</f>
        <v>5055.04</v>
      </c>
      <c r="O132" s="27" t="e">
        <f>IF(TableauCB[[#This Row],[Etat]]="xc",O131-TableauCB[[#This Row],[Débit]]+TableauCB[[#This Row],[Crédit]],O131-TableauCB[[#This Row],[Débit]])</f>
        <v>#VALUE!</v>
      </c>
      <c r="P132" s="80">
        <f>IF(AND(ISBLANK(TableauCB[[#This Row],[Débit]]),ISBLANK(TableauCB[[#This Row],[Crédit]])),"",P131+TableauCB[[#This Row],[Crédit]]-TableauCB[[#This Row],[Débit]])</f>
        <v>5055.04</v>
      </c>
      <c r="Q132" s="26"/>
      <c r="R132" s="81"/>
      <c r="S132" s="76"/>
    </row>
    <row r="133" spans="2:19" ht="30" hidden="1" customHeight="1">
      <c r="B133" s="71"/>
      <c r="C133" s="10" t="s">
        <v>33</v>
      </c>
      <c r="D133" s="11" t="s">
        <v>15</v>
      </c>
      <c r="E133" s="11"/>
      <c r="F133" s="34">
        <v>41743</v>
      </c>
      <c r="G133"/>
      <c r="H133"/>
      <c r="I133" s="34"/>
      <c r="J133"/>
      <c r="K133" s="31"/>
      <c r="L133" s="30">
        <v>200.4</v>
      </c>
      <c r="M133" s="29"/>
      <c r="N133" s="27">
        <f>IF(OR(TableauCB[[#This Row],[Etat]]="",TableauCB[[#This Row],[Etat]]="c"),IF(TableauCB[[#This Row],[Solde]]="","",N132),N132-TableauCB[[#This Row],[Débit]]+TableauCB[[#This Row],[Crédit]])</f>
        <v>4854.6400000000003</v>
      </c>
      <c r="O133" s="27" t="e">
        <f>IF(TableauCB[[#This Row],[Etat]]="xc",O132-TableauCB[[#This Row],[Débit]]+TableauCB[[#This Row],[Crédit]],O132-TableauCB[[#This Row],[Débit]])</f>
        <v>#VALUE!</v>
      </c>
      <c r="P133" s="80">
        <f>IF(AND(ISBLANK(TableauCB[[#This Row],[Débit]]),ISBLANK(TableauCB[[#This Row],[Crédit]])),"",P132+TableauCB[[#This Row],[Crédit]]-TableauCB[[#This Row],[Débit]])</f>
        <v>4854.6400000000003</v>
      </c>
      <c r="Q133" s="26"/>
      <c r="R133" s="76"/>
      <c r="S133" s="76"/>
    </row>
    <row r="134" spans="2:19" ht="30" hidden="1" customHeight="1">
      <c r="B134" s="71"/>
      <c r="C134" s="10" t="s">
        <v>33</v>
      </c>
      <c r="D134" s="11" t="s">
        <v>15</v>
      </c>
      <c r="E134" s="11"/>
      <c r="F134" s="34">
        <v>41744</v>
      </c>
      <c r="G134"/>
      <c r="H134"/>
      <c r="I134" s="34"/>
      <c r="J134"/>
      <c r="K134" s="31"/>
      <c r="L134" s="30">
        <v>1101</v>
      </c>
      <c r="M134" s="29"/>
      <c r="N134" s="27">
        <f>IF(OR(TableauCB[[#This Row],[Etat]]="",TableauCB[[#This Row],[Etat]]="c"),IF(TableauCB[[#This Row],[Solde]]="","",N133),N133-TableauCB[[#This Row],[Débit]]+TableauCB[[#This Row],[Crédit]])</f>
        <v>3753.6400000000003</v>
      </c>
      <c r="O134" s="27" t="e">
        <f>IF(TableauCB[[#This Row],[Etat]]="xc",O133-TableauCB[[#This Row],[Débit]]+TableauCB[[#This Row],[Crédit]],O133-TableauCB[[#This Row],[Débit]])</f>
        <v>#VALUE!</v>
      </c>
      <c r="P134" s="80">
        <f>IF(AND(ISBLANK(TableauCB[[#This Row],[Débit]]),ISBLANK(TableauCB[[#This Row],[Crédit]])),"",P133+TableauCB[[#This Row],[Crédit]]-TableauCB[[#This Row],[Débit]])</f>
        <v>3753.6400000000003</v>
      </c>
      <c r="Q134" s="26"/>
      <c r="R134" s="76"/>
      <c r="S134" s="76"/>
    </row>
    <row r="135" spans="2:19" ht="30" hidden="1" customHeight="1">
      <c r="B135" s="71"/>
      <c r="C135" s="11" t="s">
        <v>33</v>
      </c>
      <c r="D135" s="11" t="s">
        <v>15</v>
      </c>
      <c r="E135" s="11"/>
      <c r="F135" s="34">
        <v>41759</v>
      </c>
      <c r="G135"/>
      <c r="H135"/>
      <c r="I135" s="34"/>
      <c r="J135"/>
      <c r="K135" s="31"/>
      <c r="L135" s="30">
        <v>73</v>
      </c>
      <c r="M135" s="29"/>
      <c r="N135" s="27">
        <f>IF(OR(TableauCB[[#This Row],[Etat]]="",TableauCB[[#This Row],[Etat]]="c"),IF(TableauCB[[#This Row],[Solde]]="","",N134),N134-TableauCB[[#This Row],[Débit]]+TableauCB[[#This Row],[Crédit]])</f>
        <v>3680.6400000000003</v>
      </c>
      <c r="O135" s="27" t="e">
        <f>IF(TableauCB[[#This Row],[Etat]]="xc",O134-TableauCB[[#This Row],[Débit]]+TableauCB[[#This Row],[Crédit]],O134-TableauCB[[#This Row],[Débit]])</f>
        <v>#VALUE!</v>
      </c>
      <c r="P135" s="27">
        <f>IF(AND(ISBLANK(TableauCB[[#This Row],[Débit]]),ISBLANK(TableauCB[[#This Row],[Crédit]])),"",P134+TableauCB[[#This Row],[Crédit]]-TableauCB[[#This Row],[Débit]])</f>
        <v>3680.6400000000003</v>
      </c>
      <c r="Q135" s="26"/>
      <c r="R135" s="117" t="s">
        <v>111</v>
      </c>
      <c r="S135" s="76"/>
    </row>
    <row r="136" spans="2:19" ht="30" hidden="1" customHeight="1">
      <c r="B136" s="71"/>
      <c r="C136" s="11" t="s">
        <v>33</v>
      </c>
      <c r="D136" s="11" t="s">
        <v>15</v>
      </c>
      <c r="E136" s="11"/>
      <c r="F136" s="34">
        <v>41759</v>
      </c>
      <c r="G136"/>
      <c r="H136"/>
      <c r="I136" s="34"/>
      <c r="J136"/>
      <c r="K136" s="31"/>
      <c r="L136" s="30">
        <v>707.58</v>
      </c>
      <c r="M136" s="29"/>
      <c r="N136" s="27">
        <f>IF(OR(TableauCB[[#This Row],[Etat]]="",TableauCB[[#This Row],[Etat]]="c"),IF(TableauCB[[#This Row],[Solde]]="","",N135),N135-TableauCB[[#This Row],[Débit]]+TableauCB[[#This Row],[Crédit]])</f>
        <v>2973.0600000000004</v>
      </c>
      <c r="O136" s="27" t="e">
        <f>IF(TableauCB[[#This Row],[Etat]]="xc",O135-TableauCB[[#This Row],[Débit]]+TableauCB[[#This Row],[Crédit]],O135-TableauCB[[#This Row],[Débit]])</f>
        <v>#VALUE!</v>
      </c>
      <c r="P136" s="27">
        <f>IF(AND(ISBLANK(TableauCB[[#This Row],[Débit]]),ISBLANK(TableauCB[[#This Row],[Crédit]])),"",P135+TableauCB[[#This Row],[Crédit]]-TableauCB[[#This Row],[Débit]])</f>
        <v>2973.0600000000004</v>
      </c>
      <c r="Q136" s="26"/>
    </row>
    <row r="137" spans="2:19" ht="30" hidden="1" customHeight="1">
      <c r="B137" s="71"/>
      <c r="C137" s="10" t="s">
        <v>33</v>
      </c>
      <c r="D137" s="11" t="s">
        <v>32</v>
      </c>
      <c r="E137" s="11"/>
      <c r="F137" s="34">
        <v>41759</v>
      </c>
      <c r="G137"/>
      <c r="H137"/>
      <c r="I137" s="34"/>
      <c r="J137"/>
      <c r="K137" s="31"/>
      <c r="L137" s="30"/>
      <c r="M137" s="29">
        <v>360</v>
      </c>
      <c r="N137" s="28">
        <f>IF(OR(TableauCB[[#This Row],[Etat]]="",TableauCB[[#This Row],[Etat]]="c"),IF(TableauCB[[#This Row],[Solde]]="","",N136),N136-TableauCB[[#This Row],[Débit]]+TableauCB[[#This Row],[Crédit]])</f>
        <v>3333.0600000000004</v>
      </c>
      <c r="O137" s="27" t="e">
        <f>IF(TableauCB[[#This Row],[Etat]]="xc",O136-TableauCB[[#This Row],[Débit]]+TableauCB[[#This Row],[Crédit]],O136-TableauCB[[#This Row],[Débit]])</f>
        <v>#VALUE!</v>
      </c>
      <c r="P137" s="80">
        <f>IF(AND(ISBLANK(TableauCB[[#This Row],[Débit]]),ISBLANK(TableauCB[[#This Row],[Crédit]])),"",P136+TableauCB[[#This Row],[Crédit]]-TableauCB[[#This Row],[Débit]])</f>
        <v>3333.0600000000004</v>
      </c>
      <c r="Q137" s="26"/>
    </row>
    <row r="138" spans="2:19" ht="30" hidden="1" customHeight="1">
      <c r="B138" s="71"/>
      <c r="C138" s="10" t="s">
        <v>33</v>
      </c>
      <c r="D138" s="11" t="s">
        <v>11</v>
      </c>
      <c r="E138" s="11"/>
      <c r="F138" s="34">
        <v>41759</v>
      </c>
      <c r="G138"/>
      <c r="H138"/>
      <c r="I138" s="34"/>
      <c r="J138"/>
      <c r="K138" s="31"/>
      <c r="L138" s="30"/>
      <c r="M138" s="29">
        <v>216</v>
      </c>
      <c r="N138" s="27">
        <f>IF(OR(TableauCB[[#This Row],[Etat]]="",TableauCB[[#This Row],[Etat]]="c"),IF(TableauCB[[#This Row],[Solde]]="","",N137),N137-TableauCB[[#This Row],[Débit]]+TableauCB[[#This Row],[Crédit]])</f>
        <v>3549.0600000000004</v>
      </c>
      <c r="O138" s="27" t="e">
        <f>IF(TableauCB[[#This Row],[Etat]]="xc",O137-TableauCB[[#This Row],[Débit]]+TableauCB[[#This Row],[Crédit]],O137-TableauCB[[#This Row],[Débit]])</f>
        <v>#VALUE!</v>
      </c>
      <c r="P138" s="80">
        <f>IF(AND(ISBLANK(TableauCB[[#This Row],[Débit]]),ISBLANK(TableauCB[[#This Row],[Crédit]])),"",P137+TableauCB[[#This Row],[Crédit]]-TableauCB[[#This Row],[Débit]])</f>
        <v>3549.0600000000004</v>
      </c>
      <c r="Q138" s="26"/>
      <c r="R138" s="76"/>
      <c r="S138" s="76"/>
    </row>
    <row r="139" spans="2:19" ht="30" hidden="1" customHeight="1">
      <c r="B139" s="71"/>
      <c r="C139" s="10" t="s">
        <v>33</v>
      </c>
      <c r="D139" s="11" t="s">
        <v>11</v>
      </c>
      <c r="E139" s="11"/>
      <c r="F139" s="34">
        <v>41759</v>
      </c>
      <c r="G139"/>
      <c r="H139"/>
      <c r="I139" s="34"/>
      <c r="J139"/>
      <c r="K139" s="31"/>
      <c r="L139" s="30"/>
      <c r="M139" s="29">
        <v>198</v>
      </c>
      <c r="N139" s="27">
        <f>IF(OR(TableauCB[[#This Row],[Etat]]="",TableauCB[[#This Row],[Etat]]="c"),IF(TableauCB[[#This Row],[Solde]]="","",N138),N138-TableauCB[[#This Row],[Débit]]+TableauCB[[#This Row],[Crédit]])</f>
        <v>3747.0600000000004</v>
      </c>
      <c r="O139" s="27" t="e">
        <f>IF(TableauCB[[#This Row],[Etat]]="xc",O138-TableauCB[[#This Row],[Débit]]+TableauCB[[#This Row],[Crédit]],O138-TableauCB[[#This Row],[Débit]])</f>
        <v>#VALUE!</v>
      </c>
      <c r="P139" s="80">
        <f>IF(AND(ISBLANK(TableauCB[[#This Row],[Débit]]),ISBLANK(TableauCB[[#This Row],[Crédit]])),"",P138+TableauCB[[#This Row],[Crédit]]-TableauCB[[#This Row],[Débit]])</f>
        <v>3747.0600000000004</v>
      </c>
      <c r="Q139" s="26"/>
      <c r="R139" s="76"/>
      <c r="S139" s="76"/>
    </row>
    <row r="140" spans="2:19" ht="30" hidden="1" customHeight="1">
      <c r="B140" s="71"/>
      <c r="C140" s="10" t="s">
        <v>33</v>
      </c>
      <c r="D140" s="11" t="s">
        <v>11</v>
      </c>
      <c r="E140" s="11"/>
      <c r="F140" s="34">
        <v>41759</v>
      </c>
      <c r="G140"/>
      <c r="H140"/>
      <c r="I140" s="34"/>
      <c r="J140"/>
      <c r="K140" s="31"/>
      <c r="L140" s="30"/>
      <c r="M140" s="29">
        <v>522</v>
      </c>
      <c r="N140" s="27">
        <f>IF(OR(TableauCB[[#This Row],[Etat]]="",TableauCB[[#This Row],[Etat]]="c"),IF(TableauCB[[#This Row],[Solde]]="","",N139),N139-TableauCB[[#This Row],[Débit]]+TableauCB[[#This Row],[Crédit]])</f>
        <v>4269.0600000000004</v>
      </c>
      <c r="O140" s="27" t="e">
        <f>IF(TableauCB[[#This Row],[Etat]]="xc",O139-TableauCB[[#This Row],[Débit]]+TableauCB[[#This Row],[Crédit]],O139-TableauCB[[#This Row],[Débit]])</f>
        <v>#VALUE!</v>
      </c>
      <c r="P140" s="80">
        <f>IF(AND(ISBLANK(TableauCB[[#This Row],[Débit]]),ISBLANK(TableauCB[[#This Row],[Crédit]])),"",P139+TableauCB[[#This Row],[Crédit]]-TableauCB[[#This Row],[Débit]])</f>
        <v>4269.0600000000004</v>
      </c>
      <c r="Q140" s="26"/>
      <c r="R140" s="76"/>
      <c r="S140" s="76"/>
    </row>
    <row r="141" spans="2:19" ht="30" hidden="1" customHeight="1">
      <c r="B141" s="71"/>
      <c r="C141" s="10" t="s">
        <v>33</v>
      </c>
      <c r="D141" s="11" t="s">
        <v>11</v>
      </c>
      <c r="E141" s="11"/>
      <c r="F141" s="34">
        <v>41759</v>
      </c>
      <c r="G141"/>
      <c r="H141"/>
      <c r="I141" s="34"/>
      <c r="J141"/>
      <c r="K141" s="31"/>
      <c r="L141" s="30"/>
      <c r="M141" s="29">
        <v>151.80000000000001</v>
      </c>
      <c r="N141" s="27">
        <f>IF(OR(TableauCB[[#This Row],[Etat]]="",TableauCB[[#This Row],[Etat]]="c"),IF(TableauCB[[#This Row],[Solde]]="","",N140),N140-TableauCB[[#This Row],[Débit]]+TableauCB[[#This Row],[Crédit]])</f>
        <v>4420.8600000000006</v>
      </c>
      <c r="O141" s="27" t="e">
        <f>IF(TableauCB[[#This Row],[Etat]]="xc",O140-TableauCB[[#This Row],[Débit]]+TableauCB[[#This Row],[Crédit]],O140-TableauCB[[#This Row],[Débit]])</f>
        <v>#VALUE!</v>
      </c>
      <c r="P141" s="80">
        <f>IF(AND(ISBLANK(TableauCB[[#This Row],[Débit]]),ISBLANK(TableauCB[[#This Row],[Crédit]])),"",P140+TableauCB[[#This Row],[Crédit]]-TableauCB[[#This Row],[Débit]])</f>
        <v>4420.8600000000006</v>
      </c>
      <c r="Q141" s="26"/>
      <c r="R141" s="76"/>
      <c r="S141" s="76"/>
    </row>
    <row r="142" spans="2:19" ht="30" hidden="1" customHeight="1">
      <c r="B142" s="71"/>
      <c r="C142" s="10" t="s">
        <v>33</v>
      </c>
      <c r="D142" s="11" t="s">
        <v>11</v>
      </c>
      <c r="E142" s="11"/>
      <c r="F142" s="34">
        <v>41759</v>
      </c>
      <c r="G142"/>
      <c r="H142"/>
      <c r="I142" s="34"/>
      <c r="J142"/>
      <c r="K142" s="31"/>
      <c r="L142" s="30"/>
      <c r="M142" s="29">
        <v>50.4</v>
      </c>
      <c r="N142" s="27">
        <f>IF(OR(TableauCB[[#This Row],[Etat]]="",TableauCB[[#This Row],[Etat]]="c"),IF(TableauCB[[#This Row],[Solde]]="","",N141),N141-TableauCB[[#This Row],[Débit]]+TableauCB[[#This Row],[Crédit]])</f>
        <v>4471.26</v>
      </c>
      <c r="O142" s="27" t="e">
        <f>IF(TableauCB[[#This Row],[Etat]]="xc",O141-TableauCB[[#This Row],[Débit]]+TableauCB[[#This Row],[Crédit]],O141-TableauCB[[#This Row],[Débit]])</f>
        <v>#VALUE!</v>
      </c>
      <c r="P142" s="80">
        <f>IF(AND(ISBLANK(TableauCB[[#This Row],[Débit]]),ISBLANK(TableauCB[[#This Row],[Crédit]])),"",P141+TableauCB[[#This Row],[Crédit]]-TableauCB[[#This Row],[Débit]])</f>
        <v>4471.26</v>
      </c>
      <c r="Q142" s="26"/>
      <c r="R142" s="76"/>
      <c r="S142" s="81"/>
    </row>
    <row r="143" spans="2:19" ht="30" hidden="1" customHeight="1">
      <c r="B143" s="71"/>
      <c r="C143" s="10" t="s">
        <v>33</v>
      </c>
      <c r="D143" s="11" t="s">
        <v>11</v>
      </c>
      <c r="E143" s="11"/>
      <c r="F143" s="34">
        <v>41759</v>
      </c>
      <c r="G143"/>
      <c r="H143"/>
      <c r="I143" s="34"/>
      <c r="J143"/>
      <c r="K143" s="31"/>
      <c r="L143" s="30"/>
      <c r="M143" s="29">
        <v>192</v>
      </c>
      <c r="N143" s="27">
        <f>IF(OR(TableauCB[[#This Row],[Etat]]="",TableauCB[[#This Row],[Etat]]="c"),IF(TableauCB[[#This Row],[Solde]]="","",N142),N142-TableauCB[[#This Row],[Débit]]+TableauCB[[#This Row],[Crédit]])</f>
        <v>4663.26</v>
      </c>
      <c r="O143" s="27" t="e">
        <f>IF(TableauCB[[#This Row],[Etat]]="xc",O142-TableauCB[[#This Row],[Débit]]+TableauCB[[#This Row],[Crédit]],O142-TableauCB[[#This Row],[Débit]])</f>
        <v>#VALUE!</v>
      </c>
      <c r="P143" s="80">
        <f>IF(AND(ISBLANK(TableauCB[[#This Row],[Débit]]),ISBLANK(TableauCB[[#This Row],[Crédit]])),"",P142+TableauCB[[#This Row],[Crédit]]-TableauCB[[#This Row],[Débit]])</f>
        <v>4663.26</v>
      </c>
      <c r="Q143" s="26"/>
      <c r="R143" s="76"/>
      <c r="S143" s="76"/>
    </row>
    <row r="144" spans="2:19" ht="30" hidden="1" customHeight="1">
      <c r="B144" s="71"/>
      <c r="C144" s="10" t="s">
        <v>33</v>
      </c>
      <c r="D144" s="11" t="s">
        <v>11</v>
      </c>
      <c r="E144" s="11"/>
      <c r="F144" s="34">
        <v>41759</v>
      </c>
      <c r="G144"/>
      <c r="H144"/>
      <c r="I144" s="34"/>
      <c r="J144"/>
      <c r="K144" s="31"/>
      <c r="L144" s="30"/>
      <c r="M144" s="29">
        <v>504</v>
      </c>
      <c r="N144" s="27">
        <f>IF(OR(TableauCB[[#This Row],[Etat]]="",TableauCB[[#This Row],[Etat]]="c"),IF(TableauCB[[#This Row],[Solde]]="","",N143),N143-TableauCB[[#This Row],[Débit]]+TableauCB[[#This Row],[Crédit]])</f>
        <v>5167.26</v>
      </c>
      <c r="O144" s="27" t="e">
        <f>IF(TableauCB[[#This Row],[Etat]]="xc",O143-TableauCB[[#This Row],[Débit]]+TableauCB[[#This Row],[Crédit]],O143-TableauCB[[#This Row],[Débit]])</f>
        <v>#VALUE!</v>
      </c>
      <c r="P144" s="80">
        <f>IF(AND(ISBLANK(TableauCB[[#This Row],[Débit]]),ISBLANK(TableauCB[[#This Row],[Crédit]])),"",P143+TableauCB[[#This Row],[Crédit]]-TableauCB[[#This Row],[Débit]])</f>
        <v>5167.26</v>
      </c>
      <c r="Q144" s="26"/>
      <c r="R144" s="76"/>
      <c r="S144" s="76"/>
    </row>
    <row r="145" spans="2:19" ht="30" hidden="1" customHeight="1">
      <c r="B145" s="71"/>
      <c r="C145" s="10" t="s">
        <v>33</v>
      </c>
      <c r="D145" s="11" t="s">
        <v>11</v>
      </c>
      <c r="E145" s="11"/>
      <c r="F145" s="34">
        <v>41759</v>
      </c>
      <c r="G145"/>
      <c r="H145"/>
      <c r="I145" s="34"/>
      <c r="J145"/>
      <c r="K145" s="31"/>
      <c r="L145" s="30"/>
      <c r="M145" s="29">
        <v>115.2</v>
      </c>
      <c r="N145" s="27">
        <f>IF(OR(TableauCB[[#This Row],[Etat]]="",TableauCB[[#This Row],[Etat]]="c"),IF(TableauCB[[#This Row],[Solde]]="","",N144),N144-TableauCB[[#This Row],[Débit]]+TableauCB[[#This Row],[Crédit]])</f>
        <v>5282.46</v>
      </c>
      <c r="O145" s="27" t="e">
        <f>IF(TableauCB[[#This Row],[Etat]]="xc",O144-TableauCB[[#This Row],[Débit]]+TableauCB[[#This Row],[Crédit]],O144-TableauCB[[#This Row],[Débit]])</f>
        <v>#VALUE!</v>
      </c>
      <c r="P145" s="80">
        <f>IF(AND(ISBLANK(TableauCB[[#This Row],[Débit]]),ISBLANK(TableauCB[[#This Row],[Crédit]])),"",P144+TableauCB[[#This Row],[Crédit]]-TableauCB[[#This Row],[Débit]])</f>
        <v>5282.46</v>
      </c>
      <c r="Q145" s="26"/>
      <c r="R145" s="76"/>
      <c r="S145" s="76"/>
    </row>
    <row r="146" spans="2:19" ht="30" hidden="1" customHeight="1">
      <c r="B146" s="71"/>
      <c r="C146" s="11" t="s">
        <v>33</v>
      </c>
      <c r="D146" s="11" t="s">
        <v>11</v>
      </c>
      <c r="E146" s="11"/>
      <c r="F146" s="34">
        <v>41759</v>
      </c>
      <c r="G146"/>
      <c r="H146"/>
      <c r="I146" s="34"/>
      <c r="J146"/>
      <c r="K146" s="31"/>
      <c r="L146" s="30"/>
      <c r="M146" s="29">
        <v>54</v>
      </c>
      <c r="N146" s="27">
        <f>IF(OR(TableauCB[[#This Row],[Etat]]="",TableauCB[[#This Row],[Etat]]="c"),IF(TableauCB[[#This Row],[Solde]]="","",N145),N145-TableauCB[[#This Row],[Débit]]+TableauCB[[#This Row],[Crédit]])</f>
        <v>5336.46</v>
      </c>
      <c r="O146" s="27" t="e">
        <f>IF(TableauCB[[#This Row],[Etat]]="xc",O145-TableauCB[[#This Row],[Débit]]+TableauCB[[#This Row],[Crédit]],O145-TableauCB[[#This Row],[Débit]])</f>
        <v>#VALUE!</v>
      </c>
      <c r="P146" s="27">
        <f>IF(AND(ISBLANK(TableauCB[[#This Row],[Débit]]),ISBLANK(TableauCB[[#This Row],[Crédit]])),"",P145+TableauCB[[#This Row],[Crédit]]-TableauCB[[#This Row],[Débit]])</f>
        <v>5336.46</v>
      </c>
      <c r="Q146" s="26"/>
      <c r="R146" s="76"/>
      <c r="S146" s="76"/>
    </row>
    <row r="147" spans="2:19" ht="30" hidden="1" customHeight="1" thickBot="1">
      <c r="B147" s="71"/>
      <c r="C147" s="11" t="s">
        <v>33</v>
      </c>
      <c r="D147" s="11" t="s">
        <v>5</v>
      </c>
      <c r="E147" s="11"/>
      <c r="F147" s="34">
        <v>41759</v>
      </c>
      <c r="G147"/>
      <c r="H147"/>
      <c r="I147" s="34"/>
      <c r="J147"/>
      <c r="K147" s="31"/>
      <c r="L147" s="30">
        <v>604.16999999999996</v>
      </c>
      <c r="M147" s="29"/>
      <c r="N147" s="27">
        <f>IF(OR(TableauCB[[#This Row],[Etat]]="",TableauCB[[#This Row],[Etat]]="c"),IF(TableauCB[[#This Row],[Solde]]="","",N146),N146-TableauCB[[#This Row],[Débit]]+TableauCB[[#This Row],[Crédit]])</f>
        <v>4732.29</v>
      </c>
      <c r="O147" s="27" t="e">
        <f>IF(TableauCB[[#This Row],[Etat]]="xc",O146-TableauCB[[#This Row],[Débit]]+TableauCB[[#This Row],[Crédit]],O146-TableauCB[[#This Row],[Débit]])</f>
        <v>#VALUE!</v>
      </c>
      <c r="P147" s="27">
        <f>IF(AND(ISBLANK(TableauCB[[#This Row],[Débit]]),ISBLANK(TableauCB[[#This Row],[Crédit]])),"",P146+TableauCB[[#This Row],[Crédit]]-TableauCB[[#This Row],[Débit]])</f>
        <v>4732.29</v>
      </c>
      <c r="Q147" s="26"/>
      <c r="R147" s="47" t="s">
        <v>54</v>
      </c>
      <c r="S147" s="47" t="s">
        <v>53</v>
      </c>
    </row>
    <row r="148" spans="2:19" ht="30" hidden="1" customHeight="1" thickBot="1">
      <c r="B148" s="70"/>
      <c r="C148" s="101" t="s">
        <v>33</v>
      </c>
      <c r="D148" s="101" t="s">
        <v>9</v>
      </c>
      <c r="E148" s="101"/>
      <c r="F148" s="100">
        <v>41759</v>
      </c>
      <c r="G148"/>
      <c r="H148"/>
      <c r="I148" s="100"/>
      <c r="J148"/>
      <c r="K148" s="98"/>
      <c r="L148" s="97">
        <v>240</v>
      </c>
      <c r="M148" s="96"/>
      <c r="N148" s="95">
        <f>IF(OR(TableauCB[[#This Row],[Etat]]="",TableauCB[[#This Row],[Etat]]="c"),IF(TableauCB[[#This Row],[Solde]]="","",N147),N147-TableauCB[[#This Row],[Débit]]+TableauCB[[#This Row],[Crédit]])</f>
        <v>4492.29</v>
      </c>
      <c r="O148" s="95" t="e">
        <f>IF(TableauCB[[#This Row],[Etat]]="xc",O147-TableauCB[[#This Row],[Débit]]+TableauCB[[#This Row],[Crédit]],O147-TableauCB[[#This Row],[Débit]])</f>
        <v>#VALUE!</v>
      </c>
      <c r="P148" s="95">
        <f>IF(AND(ISBLANK(TableauCB[[#This Row],[Débit]]),ISBLANK(TableauCB[[#This Row],[Crédit]])),"",P147+TableauCB[[#This Row],[Crédit]]-TableauCB[[#This Row],[Débit]])</f>
        <v>4492.29</v>
      </c>
      <c r="Q148" s="26"/>
      <c r="R148" s="25">
        <f>SUM(M129:M148)-SUM(L129:L148)</f>
        <v>-732.54000000000042</v>
      </c>
      <c r="S148" s="25">
        <f>R148/1.2</f>
        <v>-610.45000000000039</v>
      </c>
    </row>
    <row r="149" spans="2:19" ht="30" hidden="1" customHeight="1">
      <c r="B149" s="73" t="s">
        <v>110</v>
      </c>
      <c r="C149" s="11" t="s">
        <v>33</v>
      </c>
      <c r="D149" s="11" t="s">
        <v>15</v>
      </c>
      <c r="E149" s="11"/>
      <c r="F149" s="34">
        <v>41762</v>
      </c>
      <c r="G149"/>
      <c r="H149"/>
      <c r="I149" s="34"/>
      <c r="J149"/>
      <c r="K149" s="31"/>
      <c r="L149" s="30">
        <v>61</v>
      </c>
      <c r="M149" s="29"/>
      <c r="N149" s="27">
        <f>IF(OR(TableauCB[[#This Row],[Etat]]="",TableauCB[[#This Row],[Etat]]="c"),IF(TableauCB[[#This Row],[Solde]]="","",N148),N148-TableauCB[[#This Row],[Débit]]+TableauCB[[#This Row],[Crédit]])</f>
        <v>4431.29</v>
      </c>
      <c r="O149" s="27" t="e">
        <f>IF(TableauCB[[#This Row],[Etat]]="xc",O148-TableauCB[[#This Row],[Débit]]+TableauCB[[#This Row],[Crédit]],O148-TableauCB[[#This Row],[Débit]])</f>
        <v>#VALUE!</v>
      </c>
      <c r="P149" s="27">
        <f>IF(AND(ISBLANK(TableauCB[[#This Row],[Débit]]),ISBLANK(TableauCB[[#This Row],[Crédit]])),"",P148+TableauCB[[#This Row],[Crédit]]-TableauCB[[#This Row],[Débit]])</f>
        <v>4431.29</v>
      </c>
      <c r="Q149" s="26"/>
      <c r="R149" s="76"/>
      <c r="S149" s="76"/>
    </row>
    <row r="150" spans="2:19" ht="30" hidden="1" customHeight="1">
      <c r="B150" s="71"/>
      <c r="C150" s="11" t="s">
        <v>33</v>
      </c>
      <c r="D150" s="11" t="s">
        <v>58</v>
      </c>
      <c r="E150" s="11"/>
      <c r="F150" s="34">
        <v>41764</v>
      </c>
      <c r="G150"/>
      <c r="H150"/>
      <c r="I150" s="34"/>
      <c r="J150"/>
      <c r="K150" s="31"/>
      <c r="L150" s="30">
        <v>60</v>
      </c>
      <c r="M150" s="29"/>
      <c r="N150" s="27">
        <f>IF(OR(TableauCB[[#This Row],[Etat]]="",TableauCB[[#This Row],[Etat]]="c"),IF(TableauCB[[#This Row],[Solde]]="","",N149),N149-TableauCB[[#This Row],[Débit]]+TableauCB[[#This Row],[Crédit]])</f>
        <v>4371.29</v>
      </c>
      <c r="O150" s="27" t="e">
        <f>IF(TableauCB[[#This Row],[Etat]]="xc",O149-TableauCB[[#This Row],[Débit]]+TableauCB[[#This Row],[Crédit]],O149-TableauCB[[#This Row],[Débit]])</f>
        <v>#VALUE!</v>
      </c>
      <c r="P150" s="27">
        <f>IF(AND(ISBLANK(TableauCB[[#This Row],[Débit]]),ISBLANK(TableauCB[[#This Row],[Crédit]])),"",P149+TableauCB[[#This Row],[Crédit]]-TableauCB[[#This Row],[Débit]])</f>
        <v>4371.29</v>
      </c>
      <c r="Q150" s="26"/>
      <c r="R150" s="76"/>
      <c r="S150" s="76"/>
    </row>
    <row r="151" spans="2:19" ht="30" hidden="1" customHeight="1">
      <c r="B151" s="71"/>
      <c r="C151" s="11" t="s">
        <v>33</v>
      </c>
      <c r="D151" s="11" t="s">
        <v>21</v>
      </c>
      <c r="E151" s="11"/>
      <c r="F151" s="34">
        <v>41764</v>
      </c>
      <c r="G151"/>
      <c r="H151"/>
      <c r="I151" s="34"/>
      <c r="J151"/>
      <c r="K151" s="31"/>
      <c r="L151" s="30">
        <v>21.5</v>
      </c>
      <c r="M151" s="29"/>
      <c r="N151" s="27">
        <f>IF(OR(TableauCB[[#This Row],[Etat]]="",TableauCB[[#This Row],[Etat]]="c"),IF(TableauCB[[#This Row],[Solde]]="","",N150),N150-TableauCB[[#This Row],[Débit]]+TableauCB[[#This Row],[Crédit]])</f>
        <v>4349.79</v>
      </c>
      <c r="O151" s="27" t="e">
        <f>IF(TableauCB[[#This Row],[Etat]]="xc",O150-TableauCB[[#This Row],[Débit]]+TableauCB[[#This Row],[Crédit]],O150-TableauCB[[#This Row],[Débit]])</f>
        <v>#VALUE!</v>
      </c>
      <c r="P151" s="27">
        <f>IF(AND(ISBLANK(TableauCB[[#This Row],[Débit]]),ISBLANK(TableauCB[[#This Row],[Crédit]])),"",P150+TableauCB[[#This Row],[Crédit]]-TableauCB[[#This Row],[Débit]])</f>
        <v>4349.79</v>
      </c>
      <c r="Q151" s="26"/>
      <c r="R151" s="76"/>
      <c r="S151" s="76"/>
    </row>
    <row r="152" spans="2:19" ht="30" hidden="1" customHeight="1">
      <c r="B152" s="71"/>
      <c r="C152" s="10" t="s">
        <v>33</v>
      </c>
      <c r="D152" s="11" t="s">
        <v>9</v>
      </c>
      <c r="E152" s="11"/>
      <c r="F152" s="34">
        <v>41765</v>
      </c>
      <c r="G152"/>
      <c r="H152"/>
      <c r="I152" s="34"/>
      <c r="J152"/>
      <c r="K152" s="31"/>
      <c r="L152" s="30">
        <v>5.6</v>
      </c>
      <c r="M152" s="29"/>
      <c r="N152" s="27">
        <f>IF(OR(TableauCB[[#This Row],[Etat]]="",TableauCB[[#This Row],[Etat]]="c"),IF(TableauCB[[#This Row],[Solde]]="","",N151),N151-TableauCB[[#This Row],[Débit]]+TableauCB[[#This Row],[Crédit]])</f>
        <v>4344.1899999999996</v>
      </c>
      <c r="O152" s="27" t="e">
        <f>IF(TableauCB[[#This Row],[Etat]]="xc",O151-TableauCB[[#This Row],[Débit]]+TableauCB[[#This Row],[Crédit]],O151-TableauCB[[#This Row],[Débit]])</f>
        <v>#VALUE!</v>
      </c>
      <c r="P152" s="80">
        <f>IF(AND(ISBLANK(TableauCB[[#This Row],[Débit]]),ISBLANK(TableauCB[[#This Row],[Crédit]])),"",P151+TableauCB[[#This Row],[Crédit]]-TableauCB[[#This Row],[Débit]])</f>
        <v>4344.1899999999996</v>
      </c>
      <c r="Q152" s="26"/>
      <c r="R152" s="76"/>
      <c r="S152" s="76"/>
    </row>
    <row r="153" spans="2:19" ht="30" hidden="1" customHeight="1">
      <c r="B153" s="71"/>
      <c r="C153" s="10" t="s">
        <v>33</v>
      </c>
      <c r="D153" s="11" t="s">
        <v>37</v>
      </c>
      <c r="E153" s="11"/>
      <c r="F153" s="34">
        <v>41766</v>
      </c>
      <c r="G153"/>
      <c r="H153"/>
      <c r="I153" s="34"/>
      <c r="J153"/>
      <c r="K153" s="31"/>
      <c r="L153" s="30">
        <v>146.80000000000001</v>
      </c>
      <c r="M153" s="29"/>
      <c r="N153" s="27">
        <f>IF(OR(TableauCB[[#This Row],[Etat]]="",TableauCB[[#This Row],[Etat]]="c"),IF(TableauCB[[#This Row],[Solde]]="","",N152),N152-TableauCB[[#This Row],[Débit]]+TableauCB[[#This Row],[Crédit]])</f>
        <v>4197.3899999999994</v>
      </c>
      <c r="O153" s="27" t="e">
        <f>IF(TableauCB[[#This Row],[Etat]]="xc",O152-TableauCB[[#This Row],[Débit]]+TableauCB[[#This Row],[Crédit]],O152-TableauCB[[#This Row],[Débit]])</f>
        <v>#VALUE!</v>
      </c>
      <c r="P153" s="80">
        <f>IF(AND(ISBLANK(TableauCB[[#This Row],[Débit]]),ISBLANK(TableauCB[[#This Row],[Crédit]])),"",P152+TableauCB[[#This Row],[Crédit]]-TableauCB[[#This Row],[Débit]])</f>
        <v>4197.3899999999994</v>
      </c>
      <c r="Q153" s="26"/>
      <c r="R153" s="76"/>
      <c r="S153" s="76"/>
    </row>
    <row r="154" spans="2:19" ht="30" hidden="1" customHeight="1">
      <c r="B154" s="71"/>
      <c r="C154" s="10" t="s">
        <v>33</v>
      </c>
      <c r="D154" s="11" t="s">
        <v>17</v>
      </c>
      <c r="E154" s="11"/>
      <c r="F154" s="34">
        <v>41767</v>
      </c>
      <c r="G154"/>
      <c r="H154"/>
      <c r="I154" s="34"/>
      <c r="J154"/>
      <c r="K154" s="31"/>
      <c r="L154" s="30">
        <v>16.09</v>
      </c>
      <c r="M154" s="29"/>
      <c r="N154" s="27">
        <f>IF(OR(TableauCB[[#This Row],[Etat]]="",TableauCB[[#This Row],[Etat]]="c"),IF(TableauCB[[#This Row],[Solde]]="","",N153),N153-TableauCB[[#This Row],[Débit]]+TableauCB[[#This Row],[Crédit]])</f>
        <v>4181.2999999999993</v>
      </c>
      <c r="O154" s="27" t="e">
        <f>IF(TableauCB[[#This Row],[Etat]]="xc",O153-TableauCB[[#This Row],[Débit]]+TableauCB[[#This Row],[Crédit]],O153-TableauCB[[#This Row],[Débit]])</f>
        <v>#VALUE!</v>
      </c>
      <c r="P154" s="80">
        <f>IF(AND(ISBLANK(TableauCB[[#This Row],[Débit]]),ISBLANK(TableauCB[[#This Row],[Crédit]])),"",P153+TableauCB[[#This Row],[Crédit]]-TableauCB[[#This Row],[Débit]])</f>
        <v>4181.2999999999993</v>
      </c>
      <c r="Q154" s="26"/>
      <c r="R154" s="117" t="s">
        <v>109</v>
      </c>
      <c r="S154" s="76"/>
    </row>
    <row r="155" spans="2:19" ht="30" hidden="1" customHeight="1">
      <c r="B155" s="71"/>
      <c r="C155" s="11" t="s">
        <v>33</v>
      </c>
      <c r="D155" s="11" t="s">
        <v>41</v>
      </c>
      <c r="E155" s="11"/>
      <c r="F155" s="34">
        <v>41775</v>
      </c>
      <c r="G155"/>
      <c r="H155"/>
      <c r="I155" s="34"/>
      <c r="J155"/>
      <c r="K155" s="31"/>
      <c r="L155" s="30">
        <v>72.19</v>
      </c>
      <c r="M155" s="29"/>
      <c r="N155" s="27">
        <f>IF(OR(TableauCB[[#This Row],[Etat]]="",TableauCB[[#This Row],[Etat]]="c"),IF(TableauCB[[#This Row],[Solde]]="","",N154),N154-TableauCB[[#This Row],[Débit]]+TableauCB[[#This Row],[Crédit]])</f>
        <v>4109.1099999999997</v>
      </c>
      <c r="O155" s="27" t="e">
        <f>IF(TableauCB[[#This Row],[Etat]]="xc",O154-TableauCB[[#This Row],[Débit]]+TableauCB[[#This Row],[Crédit]],O154-TableauCB[[#This Row],[Débit]])</f>
        <v>#VALUE!</v>
      </c>
      <c r="P155" s="27">
        <f>IF(AND(ISBLANK(TableauCB[[#This Row],[Débit]]),ISBLANK(TableauCB[[#This Row],[Crédit]])),"",P154+TableauCB[[#This Row],[Crédit]]-TableauCB[[#This Row],[Débit]])</f>
        <v>4109.1099999999997</v>
      </c>
      <c r="Q155" s="26"/>
    </row>
    <row r="156" spans="2:19" ht="30" hidden="1" customHeight="1">
      <c r="B156" s="71"/>
      <c r="C156" s="10" t="s">
        <v>33</v>
      </c>
      <c r="D156" s="11" t="s">
        <v>11</v>
      </c>
      <c r="E156" s="11"/>
      <c r="F156" s="34">
        <v>41789</v>
      </c>
      <c r="G156"/>
      <c r="H156"/>
      <c r="I156" s="34"/>
      <c r="J156"/>
      <c r="K156" s="31"/>
      <c r="L156" s="30"/>
      <c r="M156" s="29">
        <v>216</v>
      </c>
      <c r="N156" s="28">
        <f>IF(OR(TableauCB[[#This Row],[Etat]]="",TableauCB[[#This Row],[Etat]]="c"),IF(TableauCB[[#This Row],[Solde]]="","",N155),N155-TableauCB[[#This Row],[Débit]]+TableauCB[[#This Row],[Crédit]])</f>
        <v>4325.1099999999997</v>
      </c>
      <c r="O156" s="27" t="e">
        <f>IF(TableauCB[[#This Row],[Etat]]="xc",O155-TableauCB[[#This Row],[Débit]]+TableauCB[[#This Row],[Crédit]],O155-TableauCB[[#This Row],[Débit]])</f>
        <v>#VALUE!</v>
      </c>
      <c r="P156" s="80">
        <f>IF(AND(ISBLANK(TableauCB[[#This Row],[Débit]]),ISBLANK(TableauCB[[#This Row],[Crédit]])),"",P155+TableauCB[[#This Row],[Crédit]]-TableauCB[[#This Row],[Débit]])</f>
        <v>4325.1099999999997</v>
      </c>
      <c r="Q156" s="26"/>
    </row>
    <row r="157" spans="2:19" ht="30" hidden="1" customHeight="1">
      <c r="B157" s="71"/>
      <c r="C157" s="10" t="s">
        <v>33</v>
      </c>
      <c r="D157" s="11" t="s">
        <v>11</v>
      </c>
      <c r="E157" s="11"/>
      <c r="F157" s="34">
        <v>41789</v>
      </c>
      <c r="G157"/>
      <c r="H157"/>
      <c r="I157" s="34"/>
      <c r="J157"/>
      <c r="K157" s="31"/>
      <c r="L157" s="30"/>
      <c r="M157" s="29">
        <v>198</v>
      </c>
      <c r="N157" s="27">
        <f>IF(OR(TableauCB[[#This Row],[Etat]]="",TableauCB[[#This Row],[Etat]]="c"),IF(TableauCB[[#This Row],[Solde]]="","",N156),N156-TableauCB[[#This Row],[Débit]]+TableauCB[[#This Row],[Crédit]])</f>
        <v>4523.1099999999997</v>
      </c>
      <c r="O157" s="27" t="e">
        <f>IF(TableauCB[[#This Row],[Etat]]="xc",O156-TableauCB[[#This Row],[Débit]]+TableauCB[[#This Row],[Crédit]],O156-TableauCB[[#This Row],[Débit]])</f>
        <v>#VALUE!</v>
      </c>
      <c r="P157" s="80">
        <f>IF(AND(ISBLANK(TableauCB[[#This Row],[Débit]]),ISBLANK(TableauCB[[#This Row],[Crédit]])),"",P156+TableauCB[[#This Row],[Crédit]]-TableauCB[[#This Row],[Débit]])</f>
        <v>4523.1099999999997</v>
      </c>
      <c r="Q157" s="26"/>
      <c r="R157" s="76"/>
      <c r="S157" s="76"/>
    </row>
    <row r="158" spans="2:19" ht="30" hidden="1" customHeight="1">
      <c r="B158" s="71"/>
      <c r="C158" s="10" t="s">
        <v>33</v>
      </c>
      <c r="D158" s="11" t="s">
        <v>32</v>
      </c>
      <c r="E158" s="11"/>
      <c r="F158" s="34">
        <v>41789</v>
      </c>
      <c r="G158"/>
      <c r="H158"/>
      <c r="I158" s="34"/>
      <c r="J158"/>
      <c r="K158" s="31"/>
      <c r="L158" s="30"/>
      <c r="M158" s="29">
        <v>144</v>
      </c>
      <c r="N158" s="27">
        <f>IF(OR(TableauCB[[#This Row],[Etat]]="",TableauCB[[#This Row],[Etat]]="c"),IF(TableauCB[[#This Row],[Solde]]="","",N157),N157-TableauCB[[#This Row],[Débit]]+TableauCB[[#This Row],[Crédit]])</f>
        <v>4667.1099999999997</v>
      </c>
      <c r="O158" s="27" t="e">
        <f>IF(TableauCB[[#This Row],[Etat]]="xc",O157-TableauCB[[#This Row],[Débit]]+TableauCB[[#This Row],[Crédit]],O157-TableauCB[[#This Row],[Débit]])</f>
        <v>#VALUE!</v>
      </c>
      <c r="P158" s="80">
        <f>IF(AND(ISBLANK(TableauCB[[#This Row],[Débit]]),ISBLANK(TableauCB[[#This Row],[Crédit]])),"",P157+TableauCB[[#This Row],[Crédit]]-TableauCB[[#This Row],[Débit]])</f>
        <v>4667.1099999999997</v>
      </c>
      <c r="Q158" s="26"/>
      <c r="R158" s="76"/>
      <c r="S158" s="76"/>
    </row>
    <row r="159" spans="2:19" ht="30" hidden="1" customHeight="1">
      <c r="B159" s="71"/>
      <c r="C159" s="11" t="s">
        <v>33</v>
      </c>
      <c r="D159" s="11" t="s">
        <v>11</v>
      </c>
      <c r="E159" s="11"/>
      <c r="F159" s="34">
        <v>41789</v>
      </c>
      <c r="G159"/>
      <c r="H159"/>
      <c r="I159" s="34"/>
      <c r="J159"/>
      <c r="K159" s="31"/>
      <c r="L159" s="30"/>
      <c r="M159" s="29">
        <v>522</v>
      </c>
      <c r="N159" s="27">
        <f>IF(OR(TableauCB[[#This Row],[Etat]]="",TableauCB[[#This Row],[Etat]]="c"),IF(TableauCB[[#This Row],[Solde]]="","",N158),N158-TableauCB[[#This Row],[Débit]]+TableauCB[[#This Row],[Crédit]])</f>
        <v>5189.1099999999997</v>
      </c>
      <c r="O159" s="27" t="e">
        <f>IF(TableauCB[[#This Row],[Etat]]="xc",O158-TableauCB[[#This Row],[Débit]]+TableauCB[[#This Row],[Crédit]],O158-TableauCB[[#This Row],[Débit]])</f>
        <v>#VALUE!</v>
      </c>
      <c r="P159" s="27">
        <f>IF(AND(ISBLANK(TableauCB[[#This Row],[Débit]]),ISBLANK(TableauCB[[#This Row],[Crédit]])),"",P158+TableauCB[[#This Row],[Crédit]]-TableauCB[[#This Row],[Débit]])</f>
        <v>5189.1099999999997</v>
      </c>
      <c r="Q159" s="26"/>
      <c r="R159" s="76"/>
      <c r="S159" s="76"/>
    </row>
    <row r="160" spans="2:19" ht="30" hidden="1" customHeight="1">
      <c r="B160" s="71"/>
      <c r="C160" s="10" t="s">
        <v>33</v>
      </c>
      <c r="D160" s="11" t="s">
        <v>11</v>
      </c>
      <c r="E160" s="11"/>
      <c r="F160" s="34">
        <v>41789</v>
      </c>
      <c r="G160"/>
      <c r="H160"/>
      <c r="I160" s="34"/>
      <c r="J160"/>
      <c r="K160" s="31"/>
      <c r="L160" s="30"/>
      <c r="M160" s="29">
        <v>151.80000000000001</v>
      </c>
      <c r="N160" s="27">
        <f>IF(OR(TableauCB[[#This Row],[Etat]]="",TableauCB[[#This Row],[Etat]]="c"),IF(TableauCB[[#This Row],[Solde]]="","",N159),N159-TableauCB[[#This Row],[Débit]]+TableauCB[[#This Row],[Crédit]])</f>
        <v>5340.91</v>
      </c>
      <c r="O160" s="27" t="e">
        <f>IF(TableauCB[[#This Row],[Etat]]="xc",O159-TableauCB[[#This Row],[Débit]]+TableauCB[[#This Row],[Crédit]],O159-TableauCB[[#This Row],[Débit]])</f>
        <v>#VALUE!</v>
      </c>
      <c r="P160" s="80">
        <f>IF(AND(ISBLANK(TableauCB[[#This Row],[Débit]]),ISBLANK(TableauCB[[#This Row],[Crédit]])),"",P159+TableauCB[[#This Row],[Crédit]]-TableauCB[[#This Row],[Débit]])</f>
        <v>5340.91</v>
      </c>
      <c r="Q160" s="26"/>
      <c r="R160" s="76"/>
      <c r="S160" s="76"/>
    </row>
    <row r="161" spans="2:19" ht="30" hidden="1" customHeight="1">
      <c r="B161" s="71"/>
      <c r="C161" s="10" t="s">
        <v>33</v>
      </c>
      <c r="D161" s="11" t="s">
        <v>11</v>
      </c>
      <c r="E161" s="11"/>
      <c r="F161" s="34">
        <v>41789</v>
      </c>
      <c r="G161"/>
      <c r="H161"/>
      <c r="I161" s="34"/>
      <c r="J161"/>
      <c r="K161" s="31"/>
      <c r="L161" s="30"/>
      <c r="M161" s="29">
        <v>50.4</v>
      </c>
      <c r="N161" s="27">
        <f>IF(OR(TableauCB[[#This Row],[Etat]]="",TableauCB[[#This Row],[Etat]]="c"),IF(TableauCB[[#This Row],[Solde]]="","",N160),N160-TableauCB[[#This Row],[Débit]]+TableauCB[[#This Row],[Crédit]])</f>
        <v>5391.3099999999995</v>
      </c>
      <c r="O161" s="27" t="e">
        <f>IF(TableauCB[[#This Row],[Etat]]="xc",O160-TableauCB[[#This Row],[Débit]]+TableauCB[[#This Row],[Crédit]],O160-TableauCB[[#This Row],[Débit]])</f>
        <v>#VALUE!</v>
      </c>
      <c r="P161" s="80">
        <f>IF(AND(ISBLANK(TableauCB[[#This Row],[Débit]]),ISBLANK(TableauCB[[#This Row],[Crédit]])),"",P160+TableauCB[[#This Row],[Crédit]]-TableauCB[[#This Row],[Débit]])</f>
        <v>5391.3099999999995</v>
      </c>
      <c r="Q161" s="26"/>
      <c r="R161" s="76"/>
      <c r="S161" s="81"/>
    </row>
    <row r="162" spans="2:19" ht="30" hidden="1" customHeight="1">
      <c r="B162" s="71"/>
      <c r="C162" s="11" t="s">
        <v>33</v>
      </c>
      <c r="D162" s="11" t="s">
        <v>11</v>
      </c>
      <c r="E162" s="11"/>
      <c r="F162" s="34">
        <v>41789</v>
      </c>
      <c r="G162"/>
      <c r="H162"/>
      <c r="I162" s="34"/>
      <c r="J162"/>
      <c r="K162" s="31"/>
      <c r="L162" s="30"/>
      <c r="M162" s="29">
        <v>192</v>
      </c>
      <c r="N162" s="27">
        <f>IF(OR(TableauCB[[#This Row],[Etat]]="",TableauCB[[#This Row],[Etat]]="c"),IF(TableauCB[[#This Row],[Solde]]="","",N161),N161-TableauCB[[#This Row],[Débit]]+TableauCB[[#This Row],[Crédit]])</f>
        <v>5583.3099999999995</v>
      </c>
      <c r="O162" s="27" t="e">
        <f>IF(TableauCB[[#This Row],[Etat]]="xc",O161-TableauCB[[#This Row],[Débit]]+TableauCB[[#This Row],[Crédit]],O161-TableauCB[[#This Row],[Débit]])</f>
        <v>#VALUE!</v>
      </c>
      <c r="P162" s="80">
        <f>IF(AND(ISBLANK(TableauCB[[#This Row],[Débit]]),ISBLANK(TableauCB[[#This Row],[Crédit]])),"",P161+TableauCB[[#This Row],[Crédit]]-TableauCB[[#This Row],[Débit]])</f>
        <v>5583.3099999999995</v>
      </c>
      <c r="Q162" s="26"/>
      <c r="R162" s="76"/>
      <c r="S162" s="76"/>
    </row>
    <row r="163" spans="2:19" ht="30" hidden="1" customHeight="1">
      <c r="B163" s="71"/>
      <c r="C163" s="10" t="s">
        <v>33</v>
      </c>
      <c r="D163" s="11" t="s">
        <v>11</v>
      </c>
      <c r="E163" s="11"/>
      <c r="F163" s="34">
        <v>41789</v>
      </c>
      <c r="G163"/>
      <c r="H163"/>
      <c r="I163" s="34"/>
      <c r="J163"/>
      <c r="K163" s="31"/>
      <c r="L163" s="30"/>
      <c r="M163" s="29">
        <v>504</v>
      </c>
      <c r="N163" s="27">
        <f>IF(OR(TableauCB[[#This Row],[Etat]]="",TableauCB[[#This Row],[Etat]]="c"),IF(TableauCB[[#This Row],[Solde]]="","",N162),N162-TableauCB[[#This Row],[Débit]]+TableauCB[[#This Row],[Crédit]])</f>
        <v>6087.3099999999995</v>
      </c>
      <c r="O163" s="27" t="e">
        <f>IF(TableauCB[[#This Row],[Etat]]="xc",O162-TableauCB[[#This Row],[Débit]]+TableauCB[[#This Row],[Crédit]],O162-TableauCB[[#This Row],[Débit]])</f>
        <v>#VALUE!</v>
      </c>
      <c r="P163" s="80">
        <f>IF(AND(ISBLANK(TableauCB[[#This Row],[Débit]]),ISBLANK(TableauCB[[#This Row],[Crédit]])),"",P162+TableauCB[[#This Row],[Crédit]]-TableauCB[[#This Row],[Débit]])</f>
        <v>6087.3099999999995</v>
      </c>
      <c r="Q163" s="26"/>
      <c r="R163" s="76"/>
      <c r="S163" s="76"/>
    </row>
    <row r="164" spans="2:19" ht="30" hidden="1" customHeight="1">
      <c r="B164" s="71"/>
      <c r="C164" s="10" t="s">
        <v>33</v>
      </c>
      <c r="D164" s="11" t="s">
        <v>11</v>
      </c>
      <c r="E164" s="11"/>
      <c r="F164" s="34">
        <v>41789</v>
      </c>
      <c r="G164"/>
      <c r="H164"/>
      <c r="I164" s="34"/>
      <c r="J164"/>
      <c r="K164" s="31"/>
      <c r="L164" s="30"/>
      <c r="M164" s="29">
        <v>115.2</v>
      </c>
      <c r="N164" s="27">
        <f>IF(OR(TableauCB[[#This Row],[Etat]]="",TableauCB[[#This Row],[Etat]]="c"),IF(TableauCB[[#This Row],[Solde]]="","",N163),N163-TableauCB[[#This Row],[Débit]]+TableauCB[[#This Row],[Crédit]])</f>
        <v>6202.5099999999993</v>
      </c>
      <c r="O164" s="27" t="e">
        <f>IF(TableauCB[[#This Row],[Etat]]="xc",O163-TableauCB[[#This Row],[Débit]]+TableauCB[[#This Row],[Crédit]],O163-TableauCB[[#This Row],[Débit]])</f>
        <v>#VALUE!</v>
      </c>
      <c r="P164" s="80">
        <f>IF(AND(ISBLANK(TableauCB[[#This Row],[Débit]]),ISBLANK(TableauCB[[#This Row],[Crédit]])),"",P163+TableauCB[[#This Row],[Crédit]]-TableauCB[[#This Row],[Débit]])</f>
        <v>6202.5099999999993</v>
      </c>
      <c r="Q164" s="26"/>
      <c r="R164" s="76"/>
      <c r="S164" s="76"/>
    </row>
    <row r="165" spans="2:19" ht="30" hidden="1" customHeight="1">
      <c r="B165" s="71"/>
      <c r="C165" s="10" t="s">
        <v>33</v>
      </c>
      <c r="D165" s="11" t="s">
        <v>11</v>
      </c>
      <c r="E165" s="11"/>
      <c r="F165" s="34">
        <v>41789</v>
      </c>
      <c r="G165"/>
      <c r="H165"/>
      <c r="I165" s="34"/>
      <c r="J165"/>
      <c r="K165" s="31"/>
      <c r="L165" s="30"/>
      <c r="M165" s="29">
        <v>54</v>
      </c>
      <c r="N165" s="27">
        <f>IF(OR(TableauCB[[#This Row],[Etat]]="",TableauCB[[#This Row],[Etat]]="c"),IF(TableauCB[[#This Row],[Solde]]="","",N164),N164-TableauCB[[#This Row],[Débit]]+TableauCB[[#This Row],[Crédit]])</f>
        <v>6256.5099999999993</v>
      </c>
      <c r="O165" s="27" t="e">
        <f>IF(TableauCB[[#This Row],[Etat]]="xc",O164-TableauCB[[#This Row],[Débit]]+TableauCB[[#This Row],[Crédit]],O164-TableauCB[[#This Row],[Débit]])</f>
        <v>#VALUE!</v>
      </c>
      <c r="P165" s="80">
        <f>IF(AND(ISBLANK(TableauCB[[#This Row],[Débit]]),ISBLANK(TableauCB[[#This Row],[Crédit]])),"",P164+TableauCB[[#This Row],[Crédit]]-TableauCB[[#This Row],[Débit]])</f>
        <v>6256.5099999999993</v>
      </c>
      <c r="Q165" s="26"/>
    </row>
    <row r="166" spans="2:19" ht="30" hidden="1" customHeight="1" thickBot="1">
      <c r="B166" s="71"/>
      <c r="C166" s="11" t="s">
        <v>33</v>
      </c>
      <c r="D166" s="11" t="s">
        <v>9</v>
      </c>
      <c r="E166" s="11"/>
      <c r="F166" s="34">
        <v>41790</v>
      </c>
      <c r="G166"/>
      <c r="H166"/>
      <c r="I166" s="34"/>
      <c r="J166"/>
      <c r="K166" s="31"/>
      <c r="L166" s="30">
        <v>240</v>
      </c>
      <c r="M166" s="29"/>
      <c r="N166" s="27">
        <f>IF(OR(TableauCB[[#This Row],[Etat]]="",TableauCB[[#This Row],[Etat]]="c"),IF(TableauCB[[#This Row],[Solde]]="","",N165),N165-TableauCB[[#This Row],[Débit]]+TableauCB[[#This Row],[Crédit]])</f>
        <v>6016.5099999999993</v>
      </c>
      <c r="O166" s="27" t="e">
        <f>IF(TableauCB[[#This Row],[Etat]]="xc",O165-TableauCB[[#This Row],[Débit]]+TableauCB[[#This Row],[Crédit]],O165-TableauCB[[#This Row],[Débit]])</f>
        <v>#VALUE!</v>
      </c>
      <c r="P166" s="80">
        <f>IF(AND(ISBLANK(TableauCB[[#This Row],[Débit]]),ISBLANK(TableauCB[[#This Row],[Crédit]])),"",P165+TableauCB[[#This Row],[Crédit]]-TableauCB[[#This Row],[Débit]])</f>
        <v>6016.5099999999993</v>
      </c>
      <c r="Q166" s="26"/>
      <c r="R166" s="47" t="s">
        <v>54</v>
      </c>
      <c r="S166" s="47" t="s">
        <v>53</v>
      </c>
    </row>
    <row r="167" spans="2:19" ht="30" hidden="1" customHeight="1" thickBot="1">
      <c r="B167" s="70"/>
      <c r="C167" s="101" t="s">
        <v>33</v>
      </c>
      <c r="D167" s="101" t="s">
        <v>5</v>
      </c>
      <c r="E167" s="101"/>
      <c r="F167" s="100">
        <v>41790</v>
      </c>
      <c r="G167"/>
      <c r="H167"/>
      <c r="I167" s="100"/>
      <c r="J167"/>
      <c r="K167" s="98"/>
      <c r="L167" s="97">
        <v>554.79999999999995</v>
      </c>
      <c r="M167" s="96"/>
      <c r="N167" s="95">
        <f>IF(OR(TableauCB[[#This Row],[Etat]]="",TableauCB[[#This Row],[Etat]]="c"),IF(TableauCB[[#This Row],[Solde]]="","",N166),N166-TableauCB[[#This Row],[Débit]]+TableauCB[[#This Row],[Crédit]])</f>
        <v>5461.7099999999991</v>
      </c>
      <c r="O167" s="95" t="e">
        <f>IF(TableauCB[[#This Row],[Etat]]="xc",O166-TableauCB[[#This Row],[Débit]]+TableauCB[[#This Row],[Crédit]],O166-TableauCB[[#This Row],[Débit]])</f>
        <v>#VALUE!</v>
      </c>
      <c r="P167" s="95">
        <f>IF(AND(ISBLANK(TableauCB[[#This Row],[Débit]]),ISBLANK(TableauCB[[#This Row],[Crédit]])),"",P166+TableauCB[[#This Row],[Crédit]]-TableauCB[[#This Row],[Débit]])</f>
        <v>5461.7099999999991</v>
      </c>
      <c r="Q167" s="26"/>
      <c r="R167" s="25">
        <f>SUM(M149:M167)-SUM(L149:L167)</f>
        <v>969.42000000000007</v>
      </c>
      <c r="S167" s="25">
        <f>R167/1.2</f>
        <v>807.85000000000014</v>
      </c>
    </row>
    <row r="168" spans="2:19" ht="30" hidden="1" customHeight="1">
      <c r="B168" s="73" t="s">
        <v>107</v>
      </c>
      <c r="C168" s="11" t="s">
        <v>33</v>
      </c>
      <c r="D168" s="11" t="s">
        <v>21</v>
      </c>
      <c r="E168" s="11"/>
      <c r="F168" s="34">
        <v>41795</v>
      </c>
      <c r="G168"/>
      <c r="H168"/>
      <c r="I168" s="34"/>
      <c r="J168"/>
      <c r="K168" s="31"/>
      <c r="L168" s="30">
        <v>21.5</v>
      </c>
      <c r="M168" s="29"/>
      <c r="N168" s="27">
        <f>IF(OR(TableauCB[[#This Row],[Etat]]="",TableauCB[[#This Row],[Etat]]="c"),IF(TableauCB[[#This Row],[Solde]]="","",N167),N167-TableauCB[[#This Row],[Débit]]+TableauCB[[#This Row],[Crédit]])</f>
        <v>5440.2099999999991</v>
      </c>
      <c r="O168" s="27" t="e">
        <f>IF(TableauCB[[#This Row],[Etat]]="xc",O167-TableauCB[[#This Row],[Débit]]+TableauCB[[#This Row],[Crédit]],O167-TableauCB[[#This Row],[Débit]])</f>
        <v>#VALUE!</v>
      </c>
      <c r="P168" s="27">
        <f>IF(AND(ISBLANK(TableauCB[[#This Row],[Débit]]),ISBLANK(TableauCB[[#This Row],[Crédit]])),"",P167+TableauCB[[#This Row],[Crédit]]-TableauCB[[#This Row],[Débit]])</f>
        <v>5440.2099999999991</v>
      </c>
      <c r="Q168" s="26"/>
    </row>
    <row r="169" spans="2:19" ht="30" hidden="1" customHeight="1">
      <c r="B169" s="71"/>
      <c r="C169" s="11" t="s">
        <v>33</v>
      </c>
      <c r="D169" s="11" t="s">
        <v>37</v>
      </c>
      <c r="E169" s="11"/>
      <c r="F169" s="34">
        <v>41797</v>
      </c>
      <c r="G169"/>
      <c r="H169"/>
      <c r="I169" s="116"/>
      <c r="J169"/>
      <c r="K169" s="31"/>
      <c r="L169" s="30">
        <v>79</v>
      </c>
      <c r="M169" s="29"/>
      <c r="N169" s="27">
        <f>IF(OR(TableauCB[[#This Row],[Etat]]="",TableauCB[[#This Row],[Etat]]="c"),IF(TableauCB[[#This Row],[Solde]]="","",N168),N168-TableauCB[[#This Row],[Débit]]+TableauCB[[#This Row],[Crédit]])</f>
        <v>5361.2099999999991</v>
      </c>
      <c r="O169" s="27" t="e">
        <f>IF(TableauCB[[#This Row],[Etat]]="xc",O168-TableauCB[[#This Row],[Débit]]+TableauCB[[#This Row],[Crédit]],O168-TableauCB[[#This Row],[Débit]])</f>
        <v>#VALUE!</v>
      </c>
      <c r="P169" s="27">
        <f>IF(AND(ISBLANK(TableauCB[[#This Row],[Débit]]),ISBLANK(TableauCB[[#This Row],[Crédit]])),"",P168+TableauCB[[#This Row],[Crédit]]-TableauCB[[#This Row],[Débit]])</f>
        <v>5361.2099999999991</v>
      </c>
      <c r="Q169" s="26"/>
      <c r="R169" s="76"/>
      <c r="S169" s="76"/>
    </row>
    <row r="170" spans="2:19" ht="30" hidden="1" customHeight="1">
      <c r="B170" s="71"/>
      <c r="C170" s="11" t="s">
        <v>33</v>
      </c>
      <c r="D170" s="11" t="s">
        <v>58</v>
      </c>
      <c r="E170" s="11"/>
      <c r="F170" s="34">
        <v>41798</v>
      </c>
      <c r="G170"/>
      <c r="H170"/>
      <c r="I170" s="34"/>
      <c r="J170"/>
      <c r="K170" s="31"/>
      <c r="L170" s="30">
        <v>75</v>
      </c>
      <c r="M170" s="29"/>
      <c r="N170" s="27">
        <f>IF(OR(TableauCB[[#This Row],[Etat]]="",TableauCB[[#This Row],[Etat]]="c"),IF(TableauCB[[#This Row],[Solde]]="","",N169),N169-TableauCB[[#This Row],[Débit]]+TableauCB[[#This Row],[Crédit]])</f>
        <v>5286.2099999999991</v>
      </c>
      <c r="O170" s="27" t="e">
        <f>IF(TableauCB[[#This Row],[Etat]]="xc",O169-TableauCB[[#This Row],[Débit]]+TableauCB[[#This Row],[Crédit]],O169-TableauCB[[#This Row],[Débit]])</f>
        <v>#VALUE!</v>
      </c>
      <c r="P170" s="27">
        <f>IF(AND(ISBLANK(TableauCB[[#This Row],[Débit]]),ISBLANK(TableauCB[[#This Row],[Crédit]])),"",P169+TableauCB[[#This Row],[Crédit]]-TableauCB[[#This Row],[Débit]])</f>
        <v>5286.2099999999991</v>
      </c>
      <c r="Q170" s="26"/>
      <c r="R170" s="76"/>
      <c r="S170" s="76"/>
    </row>
    <row r="171" spans="2:19" ht="30" hidden="1" customHeight="1">
      <c r="B171" s="71"/>
      <c r="C171" s="11" t="s">
        <v>33</v>
      </c>
      <c r="D171" s="11" t="s">
        <v>17</v>
      </c>
      <c r="E171" s="11"/>
      <c r="F171" s="34">
        <v>41800</v>
      </c>
      <c r="G171"/>
      <c r="H171"/>
      <c r="I171" s="34"/>
      <c r="J171"/>
      <c r="K171" s="31"/>
      <c r="L171" s="30">
        <v>20.27</v>
      </c>
      <c r="M171" s="29"/>
      <c r="N171" s="27">
        <f>IF(OR(TableauCB[[#This Row],[Etat]]="",TableauCB[[#This Row],[Etat]]="c"),IF(TableauCB[[#This Row],[Solde]]="","",N170),N170-TableauCB[[#This Row],[Débit]]+TableauCB[[#This Row],[Crédit]])</f>
        <v>5265.9399999999987</v>
      </c>
      <c r="O171" s="27" t="e">
        <f>IF(TableauCB[[#This Row],[Etat]]="xc",O170-TableauCB[[#This Row],[Débit]]+TableauCB[[#This Row],[Crédit]],O170-TableauCB[[#This Row],[Débit]])</f>
        <v>#VALUE!</v>
      </c>
      <c r="P171" s="27">
        <f>IF(AND(ISBLANK(TableauCB[[#This Row],[Débit]]),ISBLANK(TableauCB[[#This Row],[Crédit]])),"",P170+TableauCB[[#This Row],[Crédit]]-TableauCB[[#This Row],[Débit]])</f>
        <v>5265.9399999999987</v>
      </c>
      <c r="Q171" s="26"/>
      <c r="R171" s="76"/>
      <c r="S171" s="76"/>
    </row>
    <row r="172" spans="2:19" ht="30" hidden="1" customHeight="1">
      <c r="B172" s="71"/>
      <c r="C172" s="10" t="s">
        <v>33</v>
      </c>
      <c r="D172" s="11" t="s">
        <v>41</v>
      </c>
      <c r="E172" s="11"/>
      <c r="F172" s="34">
        <v>41800</v>
      </c>
      <c r="G172"/>
      <c r="H172"/>
      <c r="I172" s="34"/>
      <c r="J172"/>
      <c r="K172" s="31"/>
      <c r="L172" s="30">
        <v>6.72</v>
      </c>
      <c r="M172" s="29"/>
      <c r="N172" s="27">
        <f>IF(OR(TableauCB[[#This Row],[Etat]]="",TableauCB[[#This Row],[Etat]]="c"),IF(TableauCB[[#This Row],[Solde]]="","",N171),N171-TableauCB[[#This Row],[Débit]]+TableauCB[[#This Row],[Crédit]])</f>
        <v>5259.2199999999984</v>
      </c>
      <c r="O172" s="27" t="e">
        <f>IF(TableauCB[[#This Row],[Etat]]="xc",O171-TableauCB[[#This Row],[Débit]]+TableauCB[[#This Row],[Crédit]],O171-TableauCB[[#This Row],[Débit]])</f>
        <v>#VALUE!</v>
      </c>
      <c r="P172" s="80">
        <f>IF(AND(ISBLANK(TableauCB[[#This Row],[Débit]]),ISBLANK(TableauCB[[#This Row],[Crédit]])),"",P171+TableauCB[[#This Row],[Crédit]]-TableauCB[[#This Row],[Débit]])</f>
        <v>5259.2199999999984</v>
      </c>
      <c r="Q172" s="26"/>
      <c r="R172" s="76"/>
      <c r="S172" s="76"/>
    </row>
    <row r="173" spans="2:19" ht="30" hidden="1" customHeight="1">
      <c r="B173" s="71"/>
      <c r="C173" s="11" t="s">
        <v>33</v>
      </c>
      <c r="D173" s="11" t="s">
        <v>9</v>
      </c>
      <c r="E173" s="11"/>
      <c r="F173" s="34">
        <v>41801</v>
      </c>
      <c r="G173"/>
      <c r="H173"/>
      <c r="I173" s="31"/>
      <c r="J173"/>
      <c r="K173" s="31"/>
      <c r="L173" s="30">
        <v>20</v>
      </c>
      <c r="M173" s="29"/>
      <c r="N173" s="27">
        <f>IF(OR(TableauCB[[#This Row],[Etat]]="",TableauCB[[#This Row],[Etat]]="c"),IF(TableauCB[[#This Row],[Solde]]="","",N172),N172-TableauCB[[#This Row],[Débit]]+TableauCB[[#This Row],[Crédit]])</f>
        <v>5239.2199999999984</v>
      </c>
      <c r="O173" s="27" t="e">
        <f>IF(TableauCB[[#This Row],[Etat]]="xc",O172-TableauCB[[#This Row],[Débit]]+TableauCB[[#This Row],[Crédit]],O172-TableauCB[[#This Row],[Débit]])</f>
        <v>#VALUE!</v>
      </c>
      <c r="P173" s="80">
        <f>IF(AND(ISBLANK(TableauCB[[#This Row],[Débit]]),ISBLANK(TableauCB[[#This Row],[Crédit]])),"",P172+TableauCB[[#This Row],[Crédit]]-TableauCB[[#This Row],[Débit]])</f>
        <v>5239.2199999999984</v>
      </c>
      <c r="Q173" s="26"/>
      <c r="R173" s="76"/>
      <c r="S173" s="76"/>
    </row>
    <row r="174" spans="2:19" ht="30" hidden="1" customHeight="1">
      <c r="B174" s="71"/>
      <c r="C174" s="11" t="s">
        <v>33</v>
      </c>
      <c r="D174" s="11" t="s">
        <v>41</v>
      </c>
      <c r="E174" s="11"/>
      <c r="F174" s="34">
        <v>41801</v>
      </c>
      <c r="G174"/>
      <c r="H174"/>
      <c r="I174" s="34"/>
      <c r="J174"/>
      <c r="K174" s="31"/>
      <c r="L174" s="30">
        <v>25.43</v>
      </c>
      <c r="M174" s="29"/>
      <c r="N174" s="27">
        <f>IF(OR(TableauCB[[#This Row],[Etat]]="",TableauCB[[#This Row],[Etat]]="c"),IF(TableauCB[[#This Row],[Solde]]="","",N173),N173-TableauCB[[#This Row],[Débit]]+TableauCB[[#This Row],[Crédit]])</f>
        <v>5213.7899999999981</v>
      </c>
      <c r="O174" s="27" t="e">
        <f>IF(TableauCB[[#This Row],[Etat]]="xc",O173-TableauCB[[#This Row],[Débit]]+TableauCB[[#This Row],[Crédit]],O173-TableauCB[[#This Row],[Débit]])</f>
        <v>#VALUE!</v>
      </c>
      <c r="P174" s="27">
        <f>IF(AND(ISBLANK(TableauCB[[#This Row],[Débit]]),ISBLANK(TableauCB[[#This Row],[Crédit]])),"",P173+TableauCB[[#This Row],[Crédit]]-TableauCB[[#This Row],[Débit]])</f>
        <v>5213.7899999999981</v>
      </c>
      <c r="Q174" s="26"/>
      <c r="R174" s="76"/>
      <c r="S174" s="76"/>
    </row>
    <row r="175" spans="2:19" ht="30" hidden="1" customHeight="1">
      <c r="B175" s="71"/>
      <c r="C175" s="11" t="s">
        <v>33</v>
      </c>
      <c r="D175" s="11" t="s">
        <v>37</v>
      </c>
      <c r="E175" s="11"/>
      <c r="F175" s="34">
        <v>41810</v>
      </c>
      <c r="G175"/>
      <c r="H175"/>
      <c r="I175" s="116"/>
      <c r="J175"/>
      <c r="K175" s="31"/>
      <c r="L175" s="30">
        <v>127.7</v>
      </c>
      <c r="M175" s="29"/>
      <c r="N175" s="27">
        <f>IF(OR(TableauCB[[#This Row],[Etat]]="",TableauCB[[#This Row],[Etat]]="c"),IF(TableauCB[[#This Row],[Solde]]="","",N174),N174-TableauCB[[#This Row],[Débit]]+TableauCB[[#This Row],[Crédit]])</f>
        <v>5086.0899999999983</v>
      </c>
      <c r="O175" s="27" t="e">
        <f>IF(TableauCB[[#This Row],[Etat]]="xc",O174-TableauCB[[#This Row],[Débit]]+TableauCB[[#This Row],[Crédit]],O174-TableauCB[[#This Row],[Débit]])</f>
        <v>#VALUE!</v>
      </c>
      <c r="P175" s="80">
        <f>IF(AND(ISBLANK(TableauCB[[#This Row],[Débit]]),ISBLANK(TableauCB[[#This Row],[Crédit]])),"",P174+TableauCB[[#This Row],[Crédit]]-TableauCB[[#This Row],[Débit]])</f>
        <v>5086.0899999999983</v>
      </c>
      <c r="Q175" s="26"/>
      <c r="R175" s="87"/>
      <c r="S175" s="87"/>
    </row>
    <row r="176" spans="2:19" ht="30" hidden="1" customHeight="1">
      <c r="B176" s="71"/>
      <c r="C176" s="11" t="s">
        <v>33</v>
      </c>
      <c r="D176" s="11" t="s">
        <v>41</v>
      </c>
      <c r="E176" s="11"/>
      <c r="F176" s="34">
        <v>41819</v>
      </c>
      <c r="G176"/>
      <c r="H176"/>
      <c r="I176" s="34"/>
      <c r="J176"/>
      <c r="K176" s="31"/>
      <c r="L176" s="30">
        <v>195.51</v>
      </c>
      <c r="M176" s="29"/>
      <c r="N176" s="27">
        <f>IF(OR(TableauCB[[#This Row],[Etat]]="",TableauCB[[#This Row],[Etat]]="c"),IF(TableauCB[[#This Row],[Solde]]="","",N175),N175-TableauCB[[#This Row],[Débit]]+TableauCB[[#This Row],[Crédit]])</f>
        <v>4890.5799999999981</v>
      </c>
      <c r="O176" s="27" t="e">
        <f>IF(TableauCB[[#This Row],[Etat]]="xc",O175-TableauCB[[#This Row],[Débit]]+TableauCB[[#This Row],[Crédit]],O175-TableauCB[[#This Row],[Débit]])</f>
        <v>#VALUE!</v>
      </c>
      <c r="P176" s="27">
        <f>IF(AND(ISBLANK(TableauCB[[#This Row],[Débit]]),ISBLANK(TableauCB[[#This Row],[Crédit]])),"",P175+TableauCB[[#This Row],[Crédit]]-TableauCB[[#This Row],[Débit]])</f>
        <v>4890.5799999999981</v>
      </c>
      <c r="Q176" s="26"/>
      <c r="R176" s="87"/>
      <c r="S176" s="87"/>
    </row>
    <row r="177" spans="2:48" ht="30" hidden="1" customHeight="1">
      <c r="B177" s="71"/>
      <c r="C177" s="11" t="s">
        <v>33</v>
      </c>
      <c r="D177" s="11" t="s">
        <v>17</v>
      </c>
      <c r="E177" s="11"/>
      <c r="F177" s="34">
        <v>41820</v>
      </c>
      <c r="G177"/>
      <c r="H177"/>
      <c r="I177" s="34"/>
      <c r="J177"/>
      <c r="K177" s="31"/>
      <c r="L177" s="30">
        <v>4</v>
      </c>
      <c r="M177" s="29"/>
      <c r="N177" s="27">
        <f>IF(OR(TableauCB[[#This Row],[Etat]]="",TableauCB[[#This Row],[Etat]]="c"),IF(TableauCB[[#This Row],[Solde]]="","",N176),N176-TableauCB[[#This Row],[Débit]]+TableauCB[[#This Row],[Crédit]])</f>
        <v>4886.5799999999981</v>
      </c>
      <c r="O177" s="27" t="e">
        <f>IF(TableauCB[[#This Row],[Etat]]="xc",O176-TableauCB[[#This Row],[Débit]]+TableauCB[[#This Row],[Crédit]],O176-TableauCB[[#This Row],[Débit]])</f>
        <v>#VALUE!</v>
      </c>
      <c r="P177" s="27">
        <f>IF(AND(ISBLANK(TableauCB[[#This Row],[Débit]]),ISBLANK(TableauCB[[#This Row],[Crédit]])),"",P176+TableauCB[[#This Row],[Crédit]]-TableauCB[[#This Row],[Débit]])</f>
        <v>4886.5799999999981</v>
      </c>
      <c r="Q177" s="26"/>
    </row>
    <row r="178" spans="2:48" ht="30" hidden="1" customHeight="1">
      <c r="B178" s="71"/>
      <c r="C178" s="10" t="s">
        <v>33</v>
      </c>
      <c r="D178" s="11" t="s">
        <v>11</v>
      </c>
      <c r="E178" s="11"/>
      <c r="F178" s="34">
        <v>41820</v>
      </c>
      <c r="G178"/>
      <c r="H178"/>
      <c r="I178" s="60"/>
      <c r="J178"/>
      <c r="K178" s="31"/>
      <c r="L178" s="30"/>
      <c r="M178" s="29">
        <v>522</v>
      </c>
      <c r="N178" s="28">
        <f>IF(OR(TableauCB[[#This Row],[Etat]]="",TableauCB[[#This Row],[Etat]]="c"),IF(TableauCB[[#This Row],[Solde]]="","",N177),N177-TableauCB[[#This Row],[Débit]]+TableauCB[[#This Row],[Crédit]])</f>
        <v>5408.5799999999981</v>
      </c>
      <c r="O178" s="27" t="e">
        <f>IF(TableauCB[[#This Row],[Etat]]="xc",O177-TableauCB[[#This Row],[Débit]]+TableauCB[[#This Row],[Crédit]],O177-TableauCB[[#This Row],[Débit]])</f>
        <v>#VALUE!</v>
      </c>
      <c r="P178" s="80">
        <f>IF(AND(ISBLANK(TableauCB[[#This Row],[Débit]]),ISBLANK(TableauCB[[#This Row],[Crédit]])),"",P177+TableauCB[[#This Row],[Crédit]]-TableauCB[[#This Row],[Débit]])</f>
        <v>5408.5799999999981</v>
      </c>
      <c r="Q178" s="26"/>
    </row>
    <row r="179" spans="2:48" ht="30" hidden="1" customHeight="1">
      <c r="B179" s="71"/>
      <c r="C179" s="11" t="s">
        <v>33</v>
      </c>
      <c r="D179" s="11" t="s">
        <v>11</v>
      </c>
      <c r="E179" s="11"/>
      <c r="F179" s="34">
        <v>41820</v>
      </c>
      <c r="G179"/>
      <c r="H179"/>
      <c r="I179" s="32"/>
      <c r="J179"/>
      <c r="K179" s="31"/>
      <c r="L179" s="30"/>
      <c r="M179" s="29">
        <v>151.80000000000001</v>
      </c>
      <c r="N179" s="27">
        <f>IF(OR(TableauCB[[#This Row],[Etat]]="",TableauCB[[#This Row],[Etat]]="c"),IF(TableauCB[[#This Row],[Solde]]="","",N178),N178-TableauCB[[#This Row],[Débit]]+TableauCB[[#This Row],[Crédit]])</f>
        <v>5560.3799999999983</v>
      </c>
      <c r="O179" s="27" t="e">
        <f>IF(TableauCB[[#This Row],[Etat]]="xc",O178-TableauCB[[#This Row],[Débit]]+TableauCB[[#This Row],[Crédit]],O178-TableauCB[[#This Row],[Débit]])</f>
        <v>#VALUE!</v>
      </c>
      <c r="P179" s="27">
        <f>IF(AND(ISBLANK(TableauCB[[#This Row],[Débit]]),ISBLANK(TableauCB[[#This Row],[Crédit]])),"",P178+TableauCB[[#This Row],[Crédit]]-TableauCB[[#This Row],[Débit]])</f>
        <v>5560.3799999999983</v>
      </c>
      <c r="Q179" s="26"/>
      <c r="R179" s="76"/>
      <c r="S179" s="76"/>
    </row>
    <row r="180" spans="2:48" ht="30" hidden="1" customHeight="1">
      <c r="B180" s="71"/>
      <c r="C180" s="10" t="s">
        <v>33</v>
      </c>
      <c r="D180" s="11" t="s">
        <v>11</v>
      </c>
      <c r="E180" s="11"/>
      <c r="F180" s="34">
        <v>41820</v>
      </c>
      <c r="G180"/>
      <c r="H180"/>
      <c r="I180" s="60"/>
      <c r="J180"/>
      <c r="K180" s="31"/>
      <c r="L180" s="30"/>
      <c r="M180" s="29">
        <v>50.4</v>
      </c>
      <c r="N180" s="27">
        <f>IF(OR(TableauCB[[#This Row],[Etat]]="",TableauCB[[#This Row],[Etat]]="c"),IF(TableauCB[[#This Row],[Solde]]="","",N179),N179-TableauCB[[#This Row],[Débit]]+TableauCB[[#This Row],[Crédit]])</f>
        <v>5610.7799999999979</v>
      </c>
      <c r="O180" s="27" t="e">
        <f>IF(TableauCB[[#This Row],[Etat]]="xc",O179-TableauCB[[#This Row],[Débit]]+TableauCB[[#This Row],[Crédit]],O179-TableauCB[[#This Row],[Débit]])</f>
        <v>#VALUE!</v>
      </c>
      <c r="P180" s="80">
        <f>IF(AND(ISBLANK(TableauCB[[#This Row],[Débit]]),ISBLANK(TableauCB[[#This Row],[Crédit]])),"",P179+TableauCB[[#This Row],[Crédit]]-TableauCB[[#This Row],[Débit]])</f>
        <v>5610.7799999999979</v>
      </c>
      <c r="Q180" s="26"/>
      <c r="R180" s="76"/>
      <c r="S180" s="76"/>
    </row>
    <row r="181" spans="2:48" ht="30" hidden="1" customHeight="1">
      <c r="B181" s="71"/>
      <c r="C181" s="10" t="s">
        <v>33</v>
      </c>
      <c r="D181" s="11" t="s">
        <v>11</v>
      </c>
      <c r="E181" s="11"/>
      <c r="F181" s="34">
        <v>41820</v>
      </c>
      <c r="G181"/>
      <c r="H181"/>
      <c r="I181" s="60"/>
      <c r="J181"/>
      <c r="K181" s="31"/>
      <c r="L181" s="30"/>
      <c r="M181" s="29">
        <v>192</v>
      </c>
      <c r="N181" s="27">
        <f>IF(OR(TableauCB[[#This Row],[Etat]]="",TableauCB[[#This Row],[Etat]]="c"),IF(TableauCB[[#This Row],[Solde]]="","",N180),N180-TableauCB[[#This Row],[Débit]]+TableauCB[[#This Row],[Crédit]])</f>
        <v>5802.7799999999979</v>
      </c>
      <c r="O181" s="27" t="e">
        <f>IF(TableauCB[[#This Row],[Etat]]="xc",O180-TableauCB[[#This Row],[Débit]]+TableauCB[[#This Row],[Crédit]],O180-TableauCB[[#This Row],[Débit]])</f>
        <v>#VALUE!</v>
      </c>
      <c r="P181" s="80">
        <f>IF(AND(ISBLANK(TableauCB[[#This Row],[Débit]]),ISBLANK(TableauCB[[#This Row],[Crédit]])),"",P180+TableauCB[[#This Row],[Crédit]]-TableauCB[[#This Row],[Débit]])</f>
        <v>5802.7799999999979</v>
      </c>
      <c r="Q181" s="26"/>
      <c r="R181" s="76"/>
      <c r="S181" s="81"/>
    </row>
    <row r="182" spans="2:48" ht="30" hidden="1" customHeight="1">
      <c r="B182" s="71"/>
      <c r="C182" s="10" t="s">
        <v>33</v>
      </c>
      <c r="D182" s="11" t="s">
        <v>11</v>
      </c>
      <c r="E182" s="11"/>
      <c r="F182" s="34">
        <v>41820</v>
      </c>
      <c r="G182"/>
      <c r="H182"/>
      <c r="I182" s="60"/>
      <c r="J182"/>
      <c r="K182" s="31"/>
      <c r="L182" s="30"/>
      <c r="M182" s="29">
        <v>504</v>
      </c>
      <c r="N182" s="27">
        <f>IF(OR(TableauCB[[#This Row],[Etat]]="",TableauCB[[#This Row],[Etat]]="c"),IF(TableauCB[[#This Row],[Solde]]="","",N181),N181-TableauCB[[#This Row],[Débit]]+TableauCB[[#This Row],[Crédit]])</f>
        <v>6306.7799999999979</v>
      </c>
      <c r="O182" s="27" t="e">
        <f>IF(TableauCB[[#This Row],[Etat]]="xc",O181-TableauCB[[#This Row],[Débit]]+TableauCB[[#This Row],[Crédit]],O181-TableauCB[[#This Row],[Débit]])</f>
        <v>#VALUE!</v>
      </c>
      <c r="P182" s="80">
        <f>IF(AND(ISBLANK(TableauCB[[#This Row],[Débit]]),ISBLANK(TableauCB[[#This Row],[Crédit]])),"",P181+TableauCB[[#This Row],[Crédit]]-TableauCB[[#This Row],[Débit]])</f>
        <v>6306.7799999999979</v>
      </c>
      <c r="Q182" s="26"/>
      <c r="R182" s="76"/>
      <c r="S182" s="76"/>
      <c r="AJ182" s="114" t="s">
        <v>105</v>
      </c>
      <c r="AK182" s="114"/>
      <c r="AL182" s="115"/>
      <c r="AM182" s="115"/>
      <c r="AN182" s="115"/>
      <c r="AO182" s="115"/>
      <c r="AP182" s="115"/>
      <c r="AQ182" s="114" t="s">
        <v>104</v>
      </c>
      <c r="AR182" s="114"/>
    </row>
    <row r="183" spans="2:48" ht="30" hidden="1" customHeight="1">
      <c r="B183" s="71"/>
      <c r="C183" s="10" t="s">
        <v>33</v>
      </c>
      <c r="D183" s="11" t="s">
        <v>11</v>
      </c>
      <c r="E183" s="11"/>
      <c r="F183" s="34">
        <v>41820</v>
      </c>
      <c r="G183"/>
      <c r="H183"/>
      <c r="I183" s="60"/>
      <c r="J183"/>
      <c r="K183" s="31"/>
      <c r="L183" s="30"/>
      <c r="M183" s="29">
        <v>115.2</v>
      </c>
      <c r="N183" s="27">
        <f>IF(OR(TableauCB[[#This Row],[Etat]]="",TableauCB[[#This Row],[Etat]]="c"),IF(TableauCB[[#This Row],[Solde]]="","",N182),N182-TableauCB[[#This Row],[Débit]]+TableauCB[[#This Row],[Crédit]])</f>
        <v>6421.9799999999977</v>
      </c>
      <c r="O183" s="27" t="e">
        <f>IF(TableauCB[[#This Row],[Etat]]="xc",O182-TableauCB[[#This Row],[Débit]]+TableauCB[[#This Row],[Crédit]],O182-TableauCB[[#This Row],[Débit]])</f>
        <v>#VALUE!</v>
      </c>
      <c r="P183" s="80">
        <f>IF(AND(ISBLANK(TableauCB[[#This Row],[Débit]]),ISBLANK(TableauCB[[#This Row],[Crédit]])),"",P182+TableauCB[[#This Row],[Crédit]]-TableauCB[[#This Row],[Débit]])</f>
        <v>6421.9799999999977</v>
      </c>
      <c r="Q183" s="26"/>
      <c r="R183" s="76"/>
      <c r="S183" s="76"/>
      <c r="AJ183" s="94"/>
      <c r="AK183" s="94"/>
      <c r="AL183" s="94"/>
      <c r="AM183" s="94"/>
      <c r="AN183" s="90"/>
      <c r="AO183" s="90"/>
      <c r="AQ183" s="90"/>
      <c r="AR183" s="90"/>
      <c r="AS183" s="90"/>
      <c r="AT183" s="90"/>
      <c r="AU183" s="90"/>
      <c r="AV183" s="90"/>
    </row>
    <row r="184" spans="2:48" ht="30" hidden="1" customHeight="1">
      <c r="B184" s="71"/>
      <c r="C184" s="10" t="s">
        <v>33</v>
      </c>
      <c r="D184" s="11" t="s">
        <v>11</v>
      </c>
      <c r="E184" s="11"/>
      <c r="F184" s="34">
        <v>41820</v>
      </c>
      <c r="G184"/>
      <c r="H184"/>
      <c r="I184" s="60"/>
      <c r="J184"/>
      <c r="K184" s="31"/>
      <c r="L184" s="30"/>
      <c r="M184" s="29">
        <v>54</v>
      </c>
      <c r="N184" s="27">
        <f>IF(OR(TableauCB[[#This Row],[Etat]]="",TableauCB[[#This Row],[Etat]]="c"),IF(TableauCB[[#This Row],[Solde]]="","",N183),N183-TableauCB[[#This Row],[Débit]]+TableauCB[[#This Row],[Crédit]])</f>
        <v>6475.9799999999977</v>
      </c>
      <c r="O184" s="27" t="e">
        <f>IF(TableauCB[[#This Row],[Etat]]="xc",O183-TableauCB[[#This Row],[Débit]]+TableauCB[[#This Row],[Crédit]],O183-TableauCB[[#This Row],[Débit]])</f>
        <v>#VALUE!</v>
      </c>
      <c r="P184" s="80">
        <f>IF(AND(ISBLANK(TableauCB[[#This Row],[Débit]]),ISBLANK(TableauCB[[#This Row],[Crédit]])),"",P183+TableauCB[[#This Row],[Crédit]]-TableauCB[[#This Row],[Débit]])</f>
        <v>6475.9799999999977</v>
      </c>
      <c r="Q184" s="26"/>
      <c r="R184" s="76"/>
      <c r="S184" s="76"/>
      <c r="AJ184" s="94"/>
      <c r="AK184" s="113" t="s">
        <v>103</v>
      </c>
      <c r="AL184" s="112" t="s">
        <v>102</v>
      </c>
      <c r="AM184" s="112"/>
      <c r="AN184" s="112"/>
      <c r="AO184" s="111"/>
      <c r="AQ184" s="90"/>
      <c r="AR184" s="93" t="s">
        <v>101</v>
      </c>
      <c r="AS184" s="105" t="s">
        <v>20</v>
      </c>
      <c r="AT184" s="88"/>
      <c r="AU184" s="88"/>
      <c r="AV184" s="88"/>
    </row>
    <row r="185" spans="2:48" ht="30" hidden="1" customHeight="1">
      <c r="B185" s="71"/>
      <c r="C185" s="10" t="s">
        <v>33</v>
      </c>
      <c r="D185" s="11" t="s">
        <v>11</v>
      </c>
      <c r="E185" s="11"/>
      <c r="F185" s="34">
        <v>41820</v>
      </c>
      <c r="G185"/>
      <c r="H185"/>
      <c r="I185" s="60"/>
      <c r="J185"/>
      <c r="K185" s="31"/>
      <c r="L185" s="30"/>
      <c r="M185" s="29">
        <v>216</v>
      </c>
      <c r="N185" s="27">
        <f>IF(OR(TableauCB[[#This Row],[Etat]]="",TableauCB[[#This Row],[Etat]]="c"),IF(TableauCB[[#This Row],[Solde]]="","",N184),N184-TableauCB[[#This Row],[Débit]]+TableauCB[[#This Row],[Crédit]])</f>
        <v>6691.9799999999977</v>
      </c>
      <c r="O185" s="27" t="e">
        <f>IF(TableauCB[[#This Row],[Etat]]="xc",O184-TableauCB[[#This Row],[Débit]]+TableauCB[[#This Row],[Crédit]],O184-TableauCB[[#This Row],[Débit]])</f>
        <v>#VALUE!</v>
      </c>
      <c r="P185" s="80">
        <f>IF(AND(ISBLANK(TableauCB[[#This Row],[Débit]]),ISBLANK(TableauCB[[#This Row],[Crédit]])),"",P184+TableauCB[[#This Row],[Crédit]]-TableauCB[[#This Row],[Débit]])</f>
        <v>6691.9799999999977</v>
      </c>
      <c r="Q185" s="26"/>
      <c r="R185" s="76"/>
      <c r="S185" s="76"/>
      <c r="AJ185" s="94"/>
      <c r="AK185" s="108" t="s">
        <v>100</v>
      </c>
      <c r="AL185" s="110" t="s">
        <v>99</v>
      </c>
      <c r="AM185" s="109"/>
      <c r="AN185" s="106"/>
      <c r="AO185" s="106"/>
      <c r="AQ185" s="90"/>
      <c r="AR185" s="93" t="s">
        <v>98</v>
      </c>
      <c r="AS185" s="105" t="s">
        <v>97</v>
      </c>
      <c r="AT185" s="88"/>
      <c r="AU185" s="88"/>
      <c r="AV185" s="88"/>
    </row>
    <row r="186" spans="2:48" ht="30" hidden="1" customHeight="1">
      <c r="B186" s="71"/>
      <c r="C186" s="11" t="s">
        <v>33</v>
      </c>
      <c r="D186" s="11" t="s">
        <v>11</v>
      </c>
      <c r="E186" s="11"/>
      <c r="F186" s="34">
        <v>41820</v>
      </c>
      <c r="G186"/>
      <c r="H186"/>
      <c r="I186" s="32"/>
      <c r="J186"/>
      <c r="K186" s="31"/>
      <c r="L186" s="30"/>
      <c r="M186" s="29">
        <v>198</v>
      </c>
      <c r="N186" s="27">
        <f>IF(OR(TableauCB[[#This Row],[Etat]]="",TableauCB[[#This Row],[Etat]]="c"),IF(TableauCB[[#This Row],[Solde]]="","",N185),N185-TableauCB[[#This Row],[Débit]]+TableauCB[[#This Row],[Crédit]])</f>
        <v>6889.9799999999977</v>
      </c>
      <c r="O186" s="27" t="e">
        <f>IF(TableauCB[[#This Row],[Etat]]="xc",O185-TableauCB[[#This Row],[Débit]]+TableauCB[[#This Row],[Crédit]],O185-TableauCB[[#This Row],[Débit]])</f>
        <v>#VALUE!</v>
      </c>
      <c r="P186" s="27">
        <f>IF(AND(ISBLANK(TableauCB[[#This Row],[Débit]]),ISBLANK(TableauCB[[#This Row],[Crédit]])),"",P185+TableauCB[[#This Row],[Crédit]]-TableauCB[[#This Row],[Débit]])</f>
        <v>6889.9799999999977</v>
      </c>
      <c r="Q186" s="26"/>
      <c r="AJ186" s="94"/>
      <c r="AK186" s="108" t="s">
        <v>96</v>
      </c>
      <c r="AL186" s="107">
        <v>133163114</v>
      </c>
      <c r="AM186" s="107"/>
      <c r="AN186" s="107"/>
      <c r="AO186" s="106"/>
      <c r="AQ186" s="90"/>
      <c r="AR186" s="93" t="s">
        <v>95</v>
      </c>
      <c r="AS186" s="105" t="s">
        <v>94</v>
      </c>
      <c r="AT186" s="88"/>
      <c r="AU186" s="88"/>
      <c r="AV186" s="88"/>
    </row>
    <row r="187" spans="2:48" ht="30" hidden="1" customHeight="1" thickBot="1">
      <c r="B187" s="71"/>
      <c r="C187" s="11" t="s">
        <v>33</v>
      </c>
      <c r="D187" s="11" t="s">
        <v>9</v>
      </c>
      <c r="E187" s="11"/>
      <c r="F187" s="34">
        <v>41820</v>
      </c>
      <c r="G187"/>
      <c r="H187"/>
      <c r="I187" s="60"/>
      <c r="J187"/>
      <c r="K187" s="31"/>
      <c r="L187" s="30">
        <v>240</v>
      </c>
      <c r="M187" s="29"/>
      <c r="N187" s="27">
        <f>IF(OR(TableauCB[[#This Row],[Etat]]="",TableauCB[[#This Row],[Etat]]="c"),IF(TableauCB[[#This Row],[Solde]]="","",N186),N186-TableauCB[[#This Row],[Débit]]+TableauCB[[#This Row],[Crédit]])</f>
        <v>6649.9799999999977</v>
      </c>
      <c r="O187" s="27" t="e">
        <f>IF(TableauCB[[#This Row],[Etat]]="xc",O186-TableauCB[[#This Row],[Débit]]+TableauCB[[#This Row],[Crédit]],O186-TableauCB[[#This Row],[Débit]])</f>
        <v>#VALUE!</v>
      </c>
      <c r="P187" s="80">
        <f>IF(AND(ISBLANK(TableauCB[[#This Row],[Débit]]),ISBLANK(TableauCB[[#This Row],[Crédit]])),"",P186+TableauCB[[#This Row],[Crédit]]-TableauCB[[#This Row],[Débit]])</f>
        <v>6649.9799999999977</v>
      </c>
      <c r="Q187" s="26"/>
      <c r="R187" s="47" t="s">
        <v>54</v>
      </c>
      <c r="S187" s="47" t="s">
        <v>53</v>
      </c>
      <c r="AJ187" s="94"/>
      <c r="AK187" s="104" t="s">
        <v>92</v>
      </c>
      <c r="AL187" s="103">
        <f>LOOKUP(9^9,TableauCB[Solde réel])</f>
        <v>6224.3360000000048</v>
      </c>
      <c r="AM187" s="103"/>
      <c r="AN187" s="90"/>
      <c r="AO187" s="90"/>
      <c r="AQ187" s="90"/>
      <c r="AR187" s="93" t="s">
        <v>91</v>
      </c>
      <c r="AS187" s="102" t="s">
        <v>90</v>
      </c>
      <c r="AT187" s="88"/>
      <c r="AU187" s="88"/>
      <c r="AV187" s="88"/>
    </row>
    <row r="188" spans="2:48" ht="30" hidden="1" customHeight="1" thickBot="1">
      <c r="B188" s="70"/>
      <c r="C188" s="101" t="s">
        <v>33</v>
      </c>
      <c r="D188" s="101" t="s">
        <v>5</v>
      </c>
      <c r="E188" s="101"/>
      <c r="F188" s="100">
        <v>41820</v>
      </c>
      <c r="G188"/>
      <c r="H188"/>
      <c r="I188" s="99"/>
      <c r="J188"/>
      <c r="K188" s="98"/>
      <c r="L188" s="97">
        <v>519.97</v>
      </c>
      <c r="M188" s="96"/>
      <c r="N188" s="95">
        <f>IF(OR(TableauCB[[#This Row],[Etat]]="",TableauCB[[#This Row],[Etat]]="c"),IF(TableauCB[[#This Row],[Solde]]="","",N187),N187-TableauCB[[#This Row],[Débit]]+TableauCB[[#This Row],[Crédit]])</f>
        <v>6130.0099999999975</v>
      </c>
      <c r="O188" s="95" t="e">
        <f>IF(TableauCB[[#This Row],[Etat]]="xc",O187-TableauCB[[#This Row],[Débit]]+TableauCB[[#This Row],[Crédit]],O187-TableauCB[[#This Row],[Débit]])</f>
        <v>#VALUE!</v>
      </c>
      <c r="P188" s="95">
        <f>IF(AND(ISBLANK(TableauCB[[#This Row],[Débit]]),ISBLANK(TableauCB[[#This Row],[Crédit]])),"",P187+TableauCB[[#This Row],[Crédit]]-TableauCB[[#This Row],[Débit]])</f>
        <v>6130.0099999999975</v>
      </c>
      <c r="Q188" s="26"/>
      <c r="R188" s="25">
        <f>SUM(M168:M188)-SUM(L168:L188)</f>
        <v>668.3</v>
      </c>
      <c r="S188" s="25">
        <f>R188/1.2</f>
        <v>556.91666666666663</v>
      </c>
      <c r="AJ188" s="94"/>
      <c r="AK188" s="94"/>
      <c r="AL188" s="94"/>
      <c r="AM188" s="94"/>
      <c r="AN188" s="90"/>
      <c r="AO188" s="90"/>
      <c r="AQ188" s="90"/>
      <c r="AR188" s="93" t="s">
        <v>89</v>
      </c>
      <c r="AS188" s="92"/>
      <c r="AT188" s="88"/>
      <c r="AU188" s="88"/>
      <c r="AV188" s="88"/>
    </row>
    <row r="189" spans="2:48" ht="30" hidden="1" customHeight="1">
      <c r="B189" s="73" t="s">
        <v>88</v>
      </c>
      <c r="C189" s="11" t="s">
        <v>33</v>
      </c>
      <c r="D189" s="11" t="s">
        <v>21</v>
      </c>
      <c r="E189" s="11"/>
      <c r="F189" s="34">
        <v>41821</v>
      </c>
      <c r="G189"/>
      <c r="H189"/>
      <c r="I189" s="32"/>
      <c r="J189"/>
      <c r="K189" s="31"/>
      <c r="L189" s="30">
        <v>4.07</v>
      </c>
      <c r="M189" s="29"/>
      <c r="N189" s="27">
        <f>IF(OR(TableauCB[[#This Row],[Etat]]="",TableauCB[[#This Row],[Etat]]="c"),IF(TableauCB[[#This Row],[Solde]]="","",N188),N188-TableauCB[[#This Row],[Débit]]+TableauCB[[#This Row],[Crédit]])</f>
        <v>6125.9399999999978</v>
      </c>
      <c r="O189" s="27" t="e">
        <f>IF(TableauCB[[#This Row],[Etat]]="xc",O188-TableauCB[[#This Row],[Débit]]+TableauCB[[#This Row],[Crédit]],O188-TableauCB[[#This Row],[Débit]])</f>
        <v>#VALUE!</v>
      </c>
      <c r="P189" s="27">
        <f>IF(AND(ISBLANK(TableauCB[[#This Row],[Débit]]),ISBLANK(TableauCB[[#This Row],[Crédit]])),"",P188+TableauCB[[#This Row],[Crédit]]-TableauCB[[#This Row],[Débit]])</f>
        <v>6125.9399999999978</v>
      </c>
      <c r="Q189" s="26"/>
      <c r="R189" s="87"/>
      <c r="S189" s="87"/>
      <c r="AJ189" s="91"/>
      <c r="AK189" s="91"/>
      <c r="AL189" s="91"/>
      <c r="AM189" s="91"/>
      <c r="AN189" s="91"/>
      <c r="AO189" s="91"/>
      <c r="AQ189" s="90"/>
      <c r="AR189" s="89"/>
      <c r="AS189" s="88"/>
      <c r="AT189" s="88"/>
      <c r="AU189" s="88"/>
      <c r="AV189" s="88"/>
    </row>
    <row r="190" spans="2:48" ht="30" hidden="1" customHeight="1">
      <c r="B190" s="71"/>
      <c r="C190" s="11" t="s">
        <v>33</v>
      </c>
      <c r="D190" s="11" t="s">
        <v>41</v>
      </c>
      <c r="E190" s="11"/>
      <c r="F190" s="34">
        <v>41823</v>
      </c>
      <c r="G190"/>
      <c r="H190"/>
      <c r="I190" s="32"/>
      <c r="J190"/>
      <c r="K190" s="31"/>
      <c r="L190" s="30">
        <v>27.5</v>
      </c>
      <c r="M190" s="29"/>
      <c r="N190" s="27">
        <f>IF(OR(TableauCB[[#This Row],[Etat]]="",TableauCB[[#This Row],[Etat]]="c"),IF(TableauCB[[#This Row],[Solde]]="","",N189),N189-TableauCB[[#This Row],[Débit]]+TableauCB[[#This Row],[Crédit]])</f>
        <v>6098.4399999999978</v>
      </c>
      <c r="O190" s="27" t="e">
        <f>IF(TableauCB[[#This Row],[Etat]]="xc",O189-TableauCB[[#This Row],[Débit]]+TableauCB[[#This Row],[Crédit]],O189-TableauCB[[#This Row],[Débit]])</f>
        <v>#VALUE!</v>
      </c>
      <c r="P190" s="27">
        <f>IF(AND(ISBLANK(TableauCB[[#This Row],[Débit]]),ISBLANK(TableauCB[[#This Row],[Crédit]])),"",P189+TableauCB[[#This Row],[Crédit]]-TableauCB[[#This Row],[Débit]])</f>
        <v>6098.4399999999978</v>
      </c>
      <c r="Q190" s="26"/>
      <c r="R190" s="87"/>
      <c r="S190" s="87"/>
    </row>
    <row r="191" spans="2:48" ht="30" hidden="1" customHeight="1">
      <c r="B191" s="71"/>
      <c r="C191" s="11" t="s">
        <v>33</v>
      </c>
      <c r="D191" s="11" t="s">
        <v>41</v>
      </c>
      <c r="E191" s="11"/>
      <c r="F191" s="34">
        <v>41824</v>
      </c>
      <c r="G191"/>
      <c r="H191"/>
      <c r="I191" s="32"/>
      <c r="J191"/>
      <c r="K191" s="31"/>
      <c r="L191" s="30">
        <v>117.73</v>
      </c>
      <c r="M191" s="29"/>
      <c r="N191" s="27">
        <f>IF(OR(TableauCB[[#This Row],[Etat]]="",TableauCB[[#This Row],[Etat]]="c"),IF(TableauCB[[#This Row],[Solde]]="","",N190),N190-TableauCB[[#This Row],[Débit]]+TableauCB[[#This Row],[Crédit]])</f>
        <v>5980.7099999999982</v>
      </c>
      <c r="O191" s="27" t="e">
        <f>IF(TableauCB[[#This Row],[Etat]]="xc",O190-TableauCB[[#This Row],[Débit]]+TableauCB[[#This Row],[Crédit]],O190-TableauCB[[#This Row],[Débit]])</f>
        <v>#VALUE!</v>
      </c>
      <c r="P191" s="27">
        <f>IF(AND(ISBLANK(TableauCB[[#This Row],[Débit]]),ISBLANK(TableauCB[[#This Row],[Crédit]])),"",P190+TableauCB[[#This Row],[Crédit]]-TableauCB[[#This Row],[Débit]])</f>
        <v>5980.7099999999982</v>
      </c>
      <c r="Q191" s="26"/>
      <c r="R191" s="87"/>
      <c r="S191" s="87"/>
    </row>
    <row r="192" spans="2:48" ht="30" hidden="1" customHeight="1">
      <c r="B192" s="71"/>
      <c r="C192" s="11" t="s">
        <v>33</v>
      </c>
      <c r="D192" s="11" t="s">
        <v>21</v>
      </c>
      <c r="E192" s="11"/>
      <c r="F192" s="34">
        <v>41825</v>
      </c>
      <c r="G192"/>
      <c r="H192"/>
      <c r="I192" s="32"/>
      <c r="J192"/>
      <c r="K192" s="31"/>
      <c r="L192" s="30">
        <v>21.5</v>
      </c>
      <c r="M192" s="29"/>
      <c r="N192" s="27">
        <f>IF(OR(TableauCB[[#This Row],[Etat]]="",TableauCB[[#This Row],[Etat]]="c"),IF(TableauCB[[#This Row],[Solde]]="","",N191),N191-TableauCB[[#This Row],[Débit]]+TableauCB[[#This Row],[Crédit]])</f>
        <v>5959.2099999999982</v>
      </c>
      <c r="O192" s="27" t="e">
        <f>IF(TableauCB[[#This Row],[Etat]]="xc",O191-TableauCB[[#This Row],[Débit]]+TableauCB[[#This Row],[Crédit]],O191-TableauCB[[#This Row],[Débit]])</f>
        <v>#VALUE!</v>
      </c>
      <c r="P192" s="27">
        <f>IF(AND(ISBLANK(TableauCB[[#This Row],[Débit]]),ISBLANK(TableauCB[[#This Row],[Crédit]])),"",P191+TableauCB[[#This Row],[Crédit]]-TableauCB[[#This Row],[Débit]])</f>
        <v>5959.2099999999982</v>
      </c>
      <c r="Q192" s="26"/>
      <c r="R192" s="87"/>
      <c r="S192" s="87"/>
    </row>
    <row r="193" spans="2:19" ht="30" hidden="1" customHeight="1">
      <c r="B193" s="71"/>
      <c r="C193" s="11" t="s">
        <v>33</v>
      </c>
      <c r="D193" s="11" t="s">
        <v>17</v>
      </c>
      <c r="E193" s="11"/>
      <c r="F193" s="34">
        <v>41829</v>
      </c>
      <c r="G193"/>
      <c r="H193"/>
      <c r="I193" s="32"/>
      <c r="J193"/>
      <c r="K193" s="31"/>
      <c r="L193" s="30">
        <v>11.05</v>
      </c>
      <c r="M193" s="29"/>
      <c r="N193" s="27">
        <f>IF(OR(TableauCB[[#This Row],[Etat]]="",TableauCB[[#This Row],[Etat]]="c"),IF(TableauCB[[#This Row],[Solde]]="","",N192),N192-TableauCB[[#This Row],[Débit]]+TableauCB[[#This Row],[Crédit]])</f>
        <v>5948.159999999998</v>
      </c>
      <c r="O193" s="27" t="e">
        <f>IF(TableauCB[[#This Row],[Etat]]="xc",O192-TableauCB[[#This Row],[Débit]]+TableauCB[[#This Row],[Crédit]],O192-TableauCB[[#This Row],[Débit]])</f>
        <v>#VALUE!</v>
      </c>
      <c r="P193" s="27">
        <f>IF(AND(ISBLANK(TableauCB[[#This Row],[Débit]]),ISBLANK(TableauCB[[#This Row],[Crédit]])),"",P192+TableauCB[[#This Row],[Crédit]]-TableauCB[[#This Row],[Débit]])</f>
        <v>5948.159999999998</v>
      </c>
      <c r="Q193" s="26"/>
      <c r="R193" s="87"/>
      <c r="S193" s="87"/>
    </row>
    <row r="194" spans="2:19" ht="30" hidden="1" customHeight="1">
      <c r="B194" s="71"/>
      <c r="C194" s="11" t="s">
        <v>33</v>
      </c>
      <c r="D194" s="11" t="s">
        <v>15</v>
      </c>
      <c r="E194" s="11"/>
      <c r="F194" s="34">
        <v>41829</v>
      </c>
      <c r="G194"/>
      <c r="H194"/>
      <c r="I194" s="32"/>
      <c r="J194"/>
      <c r="K194" s="31"/>
      <c r="L194" s="30">
        <v>733.47</v>
      </c>
      <c r="M194" s="29"/>
      <c r="N194" s="27">
        <f>IF(OR(TableauCB[[#This Row],[Etat]]="",TableauCB[[#This Row],[Etat]]="c"),IF(TableauCB[[#This Row],[Solde]]="","",N193),N193-TableauCB[[#This Row],[Débit]]+TableauCB[[#This Row],[Crédit]])</f>
        <v>5214.6899999999978</v>
      </c>
      <c r="O194" s="27" t="e">
        <f>IF(TableauCB[[#This Row],[Etat]]="xc",O193-TableauCB[[#This Row],[Débit]]+TableauCB[[#This Row],[Crédit]],O193-TableauCB[[#This Row],[Débit]])</f>
        <v>#VALUE!</v>
      </c>
      <c r="P194" s="27">
        <f>IF(AND(ISBLANK(TableauCB[[#This Row],[Débit]]),ISBLANK(TableauCB[[#This Row],[Crédit]])),"",P193+TableauCB[[#This Row],[Crédit]]-TableauCB[[#This Row],[Débit]])</f>
        <v>5214.6899999999978</v>
      </c>
      <c r="Q194" s="26"/>
      <c r="R194" s="87"/>
      <c r="S194" s="87"/>
    </row>
    <row r="195" spans="2:19" ht="30" hidden="1" customHeight="1">
      <c r="B195" s="71"/>
      <c r="C195" s="11" t="s">
        <v>33</v>
      </c>
      <c r="D195" s="11" t="s">
        <v>15</v>
      </c>
      <c r="E195" s="11"/>
      <c r="F195" s="34">
        <v>41831</v>
      </c>
      <c r="G195"/>
      <c r="H195"/>
      <c r="I195" s="32"/>
      <c r="J195"/>
      <c r="K195" s="31"/>
      <c r="L195" s="30">
        <v>75</v>
      </c>
      <c r="M195" s="29"/>
      <c r="N195" s="27">
        <f>IF(OR(TableauCB[[#This Row],[Etat]]="",TableauCB[[#This Row],[Etat]]="c"),IF(TableauCB[[#This Row],[Solde]]="","",N194),N194-TableauCB[[#This Row],[Débit]]+TableauCB[[#This Row],[Crédit]])</f>
        <v>5139.6899999999978</v>
      </c>
      <c r="O195" s="27" t="e">
        <f>IF(TableauCB[[#This Row],[Etat]]="xc",O194-TableauCB[[#This Row],[Débit]]+TableauCB[[#This Row],[Crédit]],O194-TableauCB[[#This Row],[Débit]])</f>
        <v>#VALUE!</v>
      </c>
      <c r="P195" s="27">
        <f>IF(AND(ISBLANK(TableauCB[[#This Row],[Débit]]),ISBLANK(TableauCB[[#This Row],[Crédit]])),"",P194+TableauCB[[#This Row],[Crédit]]-TableauCB[[#This Row],[Débit]])</f>
        <v>5139.6899999999978</v>
      </c>
      <c r="Q195" s="26"/>
      <c r="R195" s="87"/>
      <c r="S195" s="87"/>
    </row>
    <row r="196" spans="2:19" ht="30" hidden="1" customHeight="1">
      <c r="B196" s="71"/>
      <c r="C196" s="10" t="s">
        <v>33</v>
      </c>
      <c r="D196" s="11" t="s">
        <v>15</v>
      </c>
      <c r="E196" s="11"/>
      <c r="F196" s="34">
        <v>41831</v>
      </c>
      <c r="G196"/>
      <c r="H196"/>
      <c r="I196" s="60"/>
      <c r="J196"/>
      <c r="K196" s="31"/>
      <c r="L196" s="30">
        <v>907</v>
      </c>
      <c r="M196" s="29"/>
      <c r="N196" s="27">
        <f>IF(OR(TableauCB[[#This Row],[Etat]]="",TableauCB[[#This Row],[Etat]]="c"),IF(TableauCB[[#This Row],[Solde]]="","",N195),N195-TableauCB[[#This Row],[Débit]]+TableauCB[[#This Row],[Crédit]])</f>
        <v>4232.6899999999978</v>
      </c>
      <c r="O196" s="27" t="e">
        <f>IF(TableauCB[[#This Row],[Etat]]="xc",O195-TableauCB[[#This Row],[Débit]]+TableauCB[[#This Row],[Crédit]],O195-TableauCB[[#This Row],[Débit]])</f>
        <v>#VALUE!</v>
      </c>
      <c r="P196" s="80">
        <f>IF(AND(ISBLANK(TableauCB[[#This Row],[Débit]]),ISBLANK(TableauCB[[#This Row],[Crédit]])),"",P195+TableauCB[[#This Row],[Crédit]]-TableauCB[[#This Row],[Débit]])</f>
        <v>4232.6899999999978</v>
      </c>
      <c r="Q196" s="26"/>
      <c r="R196" s="87"/>
      <c r="S196" s="87"/>
    </row>
    <row r="197" spans="2:19" ht="30" hidden="1" customHeight="1">
      <c r="B197" s="71"/>
      <c r="C197" s="10" t="s">
        <v>33</v>
      </c>
      <c r="D197" s="11" t="s">
        <v>15</v>
      </c>
      <c r="E197" s="11"/>
      <c r="F197" s="34">
        <v>41831</v>
      </c>
      <c r="G197"/>
      <c r="H197"/>
      <c r="I197" s="60"/>
      <c r="J197"/>
      <c r="K197" s="31"/>
      <c r="L197" s="30">
        <v>36</v>
      </c>
      <c r="M197" s="29"/>
      <c r="N197" s="27">
        <f>IF(OR(TableauCB[[#This Row],[Etat]]="",TableauCB[[#This Row],[Etat]]="c"),IF(TableauCB[[#This Row],[Solde]]="","",N196),N196-TableauCB[[#This Row],[Débit]]+TableauCB[[#This Row],[Crédit]])</f>
        <v>4196.6899999999978</v>
      </c>
      <c r="O197" s="27" t="e">
        <f>IF(TableauCB[[#This Row],[Etat]]="xc",O196-TableauCB[[#This Row],[Débit]]+TableauCB[[#This Row],[Crédit]],O196-TableauCB[[#This Row],[Débit]])</f>
        <v>#VALUE!</v>
      </c>
      <c r="P197" s="80">
        <f>IF(AND(ISBLANK(TableauCB[[#This Row],[Débit]]),ISBLANK(TableauCB[[#This Row],[Crédit]])),"",P196+TableauCB[[#This Row],[Crédit]]-TableauCB[[#This Row],[Débit]])</f>
        <v>4196.6899999999978</v>
      </c>
      <c r="Q197" s="26"/>
      <c r="R197" s="87"/>
      <c r="S197" s="87"/>
    </row>
    <row r="198" spans="2:19" ht="30" hidden="1" customHeight="1">
      <c r="B198" s="71"/>
      <c r="C198" s="10" t="s">
        <v>33</v>
      </c>
      <c r="D198" s="11" t="s">
        <v>17</v>
      </c>
      <c r="E198" s="11"/>
      <c r="F198" s="34">
        <v>41832</v>
      </c>
      <c r="G198"/>
      <c r="H198"/>
      <c r="I198" s="60"/>
      <c r="J198"/>
      <c r="K198" s="31"/>
      <c r="L198" s="30">
        <v>20</v>
      </c>
      <c r="M198" s="29"/>
      <c r="N198" s="27">
        <f>IF(OR(TableauCB[[#This Row],[Etat]]="",TableauCB[[#This Row],[Etat]]="c"),IF(TableauCB[[#This Row],[Solde]]="","",N197),N197-TableauCB[[#This Row],[Débit]]+TableauCB[[#This Row],[Crédit]])</f>
        <v>4176.6899999999978</v>
      </c>
      <c r="O198" s="27" t="e">
        <f>IF(TableauCB[[#This Row],[Etat]]="xc",O197-TableauCB[[#This Row],[Débit]]+TableauCB[[#This Row],[Crédit]],O197-TableauCB[[#This Row],[Débit]])</f>
        <v>#VALUE!</v>
      </c>
      <c r="P198" s="80">
        <f>IF(AND(ISBLANK(TableauCB[[#This Row],[Débit]]),ISBLANK(TableauCB[[#This Row],[Crédit]])),"",P197+TableauCB[[#This Row],[Crédit]]-TableauCB[[#This Row],[Débit]])</f>
        <v>4176.6899999999978</v>
      </c>
      <c r="Q198" s="26"/>
      <c r="R198" s="87"/>
      <c r="S198" s="87"/>
    </row>
    <row r="199" spans="2:19" ht="30" hidden="1" customHeight="1">
      <c r="B199" s="71"/>
      <c r="C199" s="10" t="s">
        <v>33</v>
      </c>
      <c r="D199" s="11" t="s">
        <v>9</v>
      </c>
      <c r="E199" s="11"/>
      <c r="F199" s="34">
        <v>41835</v>
      </c>
      <c r="G199"/>
      <c r="H199"/>
      <c r="I199" s="60"/>
      <c r="J199"/>
      <c r="K199" s="31"/>
      <c r="L199" s="30">
        <v>3.89</v>
      </c>
      <c r="M199" s="29"/>
      <c r="N199" s="27">
        <f>IF(OR(TableauCB[[#This Row],[Etat]]="",TableauCB[[#This Row],[Etat]]="c"),IF(TableauCB[[#This Row],[Solde]]="","",N198),N198-TableauCB[[#This Row],[Débit]]+TableauCB[[#This Row],[Crédit]])</f>
        <v>4172.7999999999975</v>
      </c>
      <c r="O199" s="27" t="e">
        <f>IF(TableauCB[[#This Row],[Etat]]="xc",O198-TableauCB[[#This Row],[Débit]]+TableauCB[[#This Row],[Crédit]],O198-TableauCB[[#This Row],[Débit]])</f>
        <v>#VALUE!</v>
      </c>
      <c r="P199" s="80">
        <f>IF(AND(ISBLANK(TableauCB[[#This Row],[Débit]]),ISBLANK(TableauCB[[#This Row],[Crédit]])),"",P198+TableauCB[[#This Row],[Crédit]]-TableauCB[[#This Row],[Débit]])</f>
        <v>4172.7999999999975</v>
      </c>
      <c r="Q199" s="26"/>
      <c r="R199" s="87"/>
      <c r="S199" s="87"/>
    </row>
    <row r="200" spans="2:19" ht="30" hidden="1" customHeight="1">
      <c r="B200" s="71"/>
      <c r="C200" s="10" t="s">
        <v>33</v>
      </c>
      <c r="D200" s="11" t="s">
        <v>58</v>
      </c>
      <c r="E200" s="11"/>
      <c r="F200" s="34">
        <v>41835</v>
      </c>
      <c r="G200"/>
      <c r="H200"/>
      <c r="I200" s="60"/>
      <c r="J200"/>
      <c r="K200" s="31"/>
      <c r="L200" s="30">
        <v>68</v>
      </c>
      <c r="M200" s="29"/>
      <c r="N200" s="27">
        <f>IF(OR(TableauCB[[#This Row],[Etat]]="",TableauCB[[#This Row],[Etat]]="c"),IF(TableauCB[[#This Row],[Solde]]="","",N199),N199-TableauCB[[#This Row],[Débit]]+TableauCB[[#This Row],[Crédit]])</f>
        <v>4104.7999999999975</v>
      </c>
      <c r="O200" s="27" t="e">
        <f>IF(TableauCB[[#This Row],[Etat]]="xc",O199-TableauCB[[#This Row],[Débit]]+TableauCB[[#This Row],[Crédit]],O199-TableauCB[[#This Row],[Débit]])</f>
        <v>#VALUE!</v>
      </c>
      <c r="P200" s="80">
        <f>IF(AND(ISBLANK(TableauCB[[#This Row],[Débit]]),ISBLANK(TableauCB[[#This Row],[Crédit]])),"",P199+TableauCB[[#This Row],[Crédit]]-TableauCB[[#This Row],[Débit]])</f>
        <v>4104.7999999999975</v>
      </c>
      <c r="Q200" s="26"/>
      <c r="R200" s="87"/>
      <c r="S200" s="87"/>
    </row>
    <row r="201" spans="2:19" ht="30" hidden="1" customHeight="1">
      <c r="B201" s="71"/>
      <c r="C201" s="10" t="s">
        <v>33</v>
      </c>
      <c r="D201" s="11" t="s">
        <v>9</v>
      </c>
      <c r="E201" s="11"/>
      <c r="F201" s="34">
        <v>41835</v>
      </c>
      <c r="G201"/>
      <c r="H201"/>
      <c r="I201" s="60"/>
      <c r="J201"/>
      <c r="K201" s="31"/>
      <c r="L201" s="30">
        <v>480</v>
      </c>
      <c r="M201" s="29"/>
      <c r="N201" s="27">
        <f>IF(OR(TableauCB[[#This Row],[Etat]]="",TableauCB[[#This Row],[Etat]]="c"),IF(TableauCB[[#This Row],[Solde]]="","",N200),N200-TableauCB[[#This Row],[Débit]]+TableauCB[[#This Row],[Crédit]])</f>
        <v>3624.7999999999975</v>
      </c>
      <c r="O201" s="27" t="e">
        <f>IF(TableauCB[[#This Row],[Etat]]="xc",O200-TableauCB[[#This Row],[Débit]]+TableauCB[[#This Row],[Crédit]],O200-TableauCB[[#This Row],[Débit]])</f>
        <v>#VALUE!</v>
      </c>
      <c r="P201" s="80">
        <f>IF(AND(ISBLANK(TableauCB[[#This Row],[Débit]]),ISBLANK(TableauCB[[#This Row],[Crédit]])),"",P200+TableauCB[[#This Row],[Crédit]]-TableauCB[[#This Row],[Débit]])</f>
        <v>3624.7999999999975</v>
      </c>
      <c r="Q201" s="26"/>
      <c r="R201" s="87"/>
      <c r="S201" s="87"/>
    </row>
    <row r="202" spans="2:19" ht="30" hidden="1" customHeight="1">
      <c r="B202" s="71"/>
      <c r="C202" s="11" t="s">
        <v>33</v>
      </c>
      <c r="D202" s="11" t="s">
        <v>41</v>
      </c>
      <c r="E202" s="11"/>
      <c r="F202" s="34">
        <v>41836</v>
      </c>
      <c r="G202"/>
      <c r="H202"/>
      <c r="I202" s="32"/>
      <c r="J202"/>
      <c r="K202" s="31"/>
      <c r="L202" s="30">
        <v>50</v>
      </c>
      <c r="M202" s="29"/>
      <c r="N202" s="27">
        <f>IF(OR(TableauCB[[#This Row],[Etat]]="",TableauCB[[#This Row],[Etat]]="c"),IF(TableauCB[[#This Row],[Solde]]="","",N201),N201-TableauCB[[#This Row],[Débit]]+TableauCB[[#This Row],[Crédit]])</f>
        <v>3574.7999999999975</v>
      </c>
      <c r="O202" s="27" t="e">
        <f>IF(TableauCB[[#This Row],[Etat]]="xc",O201-TableauCB[[#This Row],[Débit]]+TableauCB[[#This Row],[Crédit]],O201-TableauCB[[#This Row],[Débit]])</f>
        <v>#VALUE!</v>
      </c>
      <c r="P202" s="27">
        <f>IF(AND(ISBLANK(TableauCB[[#This Row],[Débit]]),ISBLANK(TableauCB[[#This Row],[Crédit]])),"",P201+TableauCB[[#This Row],[Crédit]]-TableauCB[[#This Row],[Débit]])</f>
        <v>3574.7999999999975</v>
      </c>
      <c r="Q202" s="26"/>
      <c r="R202" s="87"/>
      <c r="S202" s="87"/>
    </row>
    <row r="203" spans="2:19" ht="30" hidden="1" customHeight="1">
      <c r="B203" s="71"/>
      <c r="C203" s="10" t="s">
        <v>33</v>
      </c>
      <c r="D203" s="11" t="s">
        <v>9</v>
      </c>
      <c r="E203" s="11"/>
      <c r="F203" s="34">
        <v>41837</v>
      </c>
      <c r="G203"/>
      <c r="H203"/>
      <c r="I203" s="60"/>
      <c r="J203"/>
      <c r="K203" s="31"/>
      <c r="L203" s="30">
        <v>59.99</v>
      </c>
      <c r="M203" s="29"/>
      <c r="N203" s="27">
        <f>IF(OR(TableauCB[[#This Row],[Etat]]="",TableauCB[[#This Row],[Etat]]="c"),IF(TableauCB[[#This Row],[Solde]]="","",N202),N202-TableauCB[[#This Row],[Débit]]+TableauCB[[#This Row],[Crédit]])</f>
        <v>3514.8099999999977</v>
      </c>
      <c r="O203" s="27" t="e">
        <f>IF(TableauCB[[#This Row],[Etat]]="xc",O202-TableauCB[[#This Row],[Débit]]+TableauCB[[#This Row],[Crédit]],O202-TableauCB[[#This Row],[Débit]])</f>
        <v>#VALUE!</v>
      </c>
      <c r="P203" s="80">
        <f>IF(AND(ISBLANK(TableauCB[[#This Row],[Débit]]),ISBLANK(TableauCB[[#This Row],[Crédit]])),"",P202+TableauCB[[#This Row],[Crédit]]-TableauCB[[#This Row],[Débit]])</f>
        <v>3514.8099999999977</v>
      </c>
      <c r="Q203" s="26"/>
      <c r="R203" s="87"/>
      <c r="S203" s="87"/>
    </row>
    <row r="204" spans="2:19" ht="30" hidden="1" customHeight="1">
      <c r="B204" s="71"/>
      <c r="C204" s="11" t="s">
        <v>33</v>
      </c>
      <c r="D204" s="11" t="s">
        <v>5</v>
      </c>
      <c r="E204" s="11"/>
      <c r="F204" s="34">
        <v>41839</v>
      </c>
      <c r="G204"/>
      <c r="H204"/>
      <c r="I204" s="60"/>
      <c r="J204"/>
      <c r="K204" s="31"/>
      <c r="L204" s="30">
        <v>937.9</v>
      </c>
      <c r="M204" s="29"/>
      <c r="N204" s="27">
        <f>IF(OR(TableauCB[[#This Row],[Etat]]="",TableauCB[[#This Row],[Etat]]="c"),IF(TableauCB[[#This Row],[Solde]]="","",N203),N203-TableauCB[[#This Row],[Débit]]+TableauCB[[#This Row],[Crédit]])</f>
        <v>2576.9099999999976</v>
      </c>
      <c r="O204" s="27" t="e">
        <f>IF(TableauCB[[#This Row],[Etat]]="xc",O203-TableauCB[[#This Row],[Débit]]+TableauCB[[#This Row],[Crédit]],O203-TableauCB[[#This Row],[Débit]])</f>
        <v>#VALUE!</v>
      </c>
      <c r="P204" s="80">
        <f>IF(AND(ISBLANK(TableauCB[[#This Row],[Débit]]),ISBLANK(TableauCB[[#This Row],[Crédit]])),"",P203+TableauCB[[#This Row],[Crédit]]-TableauCB[[#This Row],[Débit]])</f>
        <v>2576.9099999999976</v>
      </c>
      <c r="Q204" s="26"/>
      <c r="R204" s="87"/>
      <c r="S204" s="87"/>
    </row>
    <row r="205" spans="2:19" ht="30" hidden="1" customHeight="1">
      <c r="B205" s="71"/>
      <c r="C205" s="11" t="s">
        <v>33</v>
      </c>
      <c r="D205" s="11" t="s">
        <v>9</v>
      </c>
      <c r="E205" s="11"/>
      <c r="F205" s="34">
        <v>41843</v>
      </c>
      <c r="G205"/>
      <c r="H205"/>
      <c r="I205" s="60"/>
      <c r="J205"/>
      <c r="K205" s="31"/>
      <c r="L205" s="30">
        <v>1.2</v>
      </c>
      <c r="M205" s="29"/>
      <c r="N205" s="27">
        <f>IF(OR(TableauCB[[#This Row],[Etat]]="",TableauCB[[#This Row],[Etat]]="c"),IF(TableauCB[[#This Row],[Solde]]="","",N204),N204-TableauCB[[#This Row],[Débit]]+TableauCB[[#This Row],[Crédit]])</f>
        <v>2575.7099999999978</v>
      </c>
      <c r="O205" s="27" t="e">
        <f>IF(TableauCB[[#This Row],[Etat]]="xc",O204-TableauCB[[#This Row],[Débit]]+TableauCB[[#This Row],[Crédit]],O204-TableauCB[[#This Row],[Débit]])</f>
        <v>#VALUE!</v>
      </c>
      <c r="P205" s="80">
        <f>IF(AND(ISBLANK(TableauCB[[#This Row],[Débit]]),ISBLANK(TableauCB[[#This Row],[Crédit]])),"",P204+TableauCB[[#This Row],[Crédit]]-TableauCB[[#This Row],[Débit]])</f>
        <v>2575.7099999999978</v>
      </c>
      <c r="Q205" s="26"/>
      <c r="R205" s="87"/>
      <c r="S205" s="87"/>
    </row>
    <row r="206" spans="2:19" ht="30" hidden="1" customHeight="1">
      <c r="B206" s="71"/>
      <c r="C206" s="11" t="s">
        <v>33</v>
      </c>
      <c r="D206" s="11" t="s">
        <v>41</v>
      </c>
      <c r="E206" s="11"/>
      <c r="F206" s="34">
        <v>41843</v>
      </c>
      <c r="G206"/>
      <c r="H206"/>
      <c r="I206" s="60"/>
      <c r="J206"/>
      <c r="K206" s="31"/>
      <c r="L206" s="30">
        <v>99.52</v>
      </c>
      <c r="M206" s="29"/>
      <c r="N206" s="27">
        <f>IF(OR(TableauCB[[#This Row],[Etat]]="",TableauCB[[#This Row],[Etat]]="c"),IF(TableauCB[[#This Row],[Solde]]="","",N205),N205-TableauCB[[#This Row],[Débit]]+TableauCB[[#This Row],[Crédit]])</f>
        <v>2476.1899999999978</v>
      </c>
      <c r="O206" s="27" t="e">
        <f>IF(TableauCB[[#This Row],[Etat]]="xc",O205-TableauCB[[#This Row],[Débit]]+TableauCB[[#This Row],[Crédit]],O205-TableauCB[[#This Row],[Débit]])</f>
        <v>#VALUE!</v>
      </c>
      <c r="P206" s="80">
        <f>IF(AND(ISBLANK(TableauCB[[#This Row],[Débit]]),ISBLANK(TableauCB[[#This Row],[Crédit]])),"",P205+TableauCB[[#This Row],[Crédit]]-TableauCB[[#This Row],[Débit]])</f>
        <v>2476.1899999999978</v>
      </c>
      <c r="Q206" s="26"/>
      <c r="R206" s="87"/>
      <c r="S206" s="87"/>
    </row>
    <row r="207" spans="2:19" ht="30" hidden="1" customHeight="1">
      <c r="B207" s="71"/>
      <c r="C207" s="11" t="s">
        <v>33</v>
      </c>
      <c r="D207" s="11" t="s">
        <v>37</v>
      </c>
      <c r="E207" s="11"/>
      <c r="F207" s="34">
        <v>41845</v>
      </c>
      <c r="G207"/>
      <c r="H207"/>
      <c r="I207" s="60"/>
      <c r="J207"/>
      <c r="K207" s="31"/>
      <c r="L207" s="30">
        <v>112.6</v>
      </c>
      <c r="M207" s="29"/>
      <c r="N207" s="27">
        <f>IF(OR(TableauCB[[#This Row],[Etat]]="",TableauCB[[#This Row],[Etat]]="c"),IF(TableauCB[[#This Row],[Solde]]="","",N206),N206-TableauCB[[#This Row],[Débit]]+TableauCB[[#This Row],[Crédit]])</f>
        <v>2363.5899999999979</v>
      </c>
      <c r="O207" s="27" t="e">
        <f>IF(TableauCB[[#This Row],[Etat]]="xc",O206-TableauCB[[#This Row],[Débit]]+TableauCB[[#This Row],[Crédit]],O206-TableauCB[[#This Row],[Débit]])</f>
        <v>#VALUE!</v>
      </c>
      <c r="P207" s="80">
        <f>IF(AND(ISBLANK(TableauCB[[#This Row],[Débit]]),ISBLANK(TableauCB[[#This Row],[Crédit]])),"",P206+TableauCB[[#This Row],[Crédit]]-TableauCB[[#This Row],[Débit]])</f>
        <v>2363.5899999999979</v>
      </c>
      <c r="Q207" s="26"/>
      <c r="R207" s="87"/>
      <c r="S207" s="87"/>
    </row>
    <row r="208" spans="2:19" ht="30" hidden="1" customHeight="1">
      <c r="B208" s="71"/>
      <c r="C208" s="11" t="s">
        <v>33</v>
      </c>
      <c r="D208" s="11" t="s">
        <v>17</v>
      </c>
      <c r="E208" s="11"/>
      <c r="F208" s="34">
        <v>41848</v>
      </c>
      <c r="G208"/>
      <c r="H208"/>
      <c r="I208" s="60"/>
      <c r="J208"/>
      <c r="K208" s="31"/>
      <c r="L208" s="30">
        <v>40.020000000000003</v>
      </c>
      <c r="M208" s="29"/>
      <c r="N208" s="27">
        <f>IF(OR(TableauCB[[#This Row],[Etat]]="",TableauCB[[#This Row],[Etat]]="c"),IF(TableauCB[[#This Row],[Solde]]="","",N207),N207-TableauCB[[#This Row],[Débit]]+TableauCB[[#This Row],[Crédit]])</f>
        <v>2323.5699999999979</v>
      </c>
      <c r="O208" s="27" t="e">
        <f>IF(TableauCB[[#This Row],[Etat]]="xc",O207-TableauCB[[#This Row],[Débit]]+TableauCB[[#This Row],[Crédit]],O207-TableauCB[[#This Row],[Débit]])</f>
        <v>#VALUE!</v>
      </c>
      <c r="P208" s="80">
        <f>IF(AND(ISBLANK(TableauCB[[#This Row],[Débit]]),ISBLANK(TableauCB[[#This Row],[Crédit]])),"",P207+TableauCB[[#This Row],[Crédit]]-TableauCB[[#This Row],[Débit]])</f>
        <v>2323.5699999999979</v>
      </c>
      <c r="Q208" s="26"/>
      <c r="R208" s="87"/>
      <c r="S208" s="87"/>
    </row>
    <row r="209" spans="2:19" ht="30" hidden="1" customHeight="1">
      <c r="B209" s="71"/>
      <c r="C209" s="10" t="s">
        <v>33</v>
      </c>
      <c r="D209" s="11" t="s">
        <v>11</v>
      </c>
      <c r="E209" s="11"/>
      <c r="F209" s="34">
        <v>41850</v>
      </c>
      <c r="G209"/>
      <c r="H209"/>
      <c r="I209" s="60"/>
      <c r="J209"/>
      <c r="K209" s="31"/>
      <c r="L209" s="30"/>
      <c r="M209" s="29">
        <v>216</v>
      </c>
      <c r="N209" s="27">
        <f>IF(OR(TableauCB[[#This Row],[Etat]]="",TableauCB[[#This Row],[Etat]]="c"),IF(TableauCB[[#This Row],[Solde]]="","",N208),N208-TableauCB[[#This Row],[Débit]]+TableauCB[[#This Row],[Crédit]])</f>
        <v>2539.5699999999979</v>
      </c>
      <c r="O209" s="27" t="e">
        <f>IF(TableauCB[[#This Row],[Etat]]="xc",O208-TableauCB[[#This Row],[Débit]]+TableauCB[[#This Row],[Crédit]],O208-TableauCB[[#This Row],[Débit]])</f>
        <v>#VALUE!</v>
      </c>
      <c r="P209" s="80">
        <f>IF(AND(ISBLANK(TableauCB[[#This Row],[Débit]]),ISBLANK(TableauCB[[#This Row],[Crédit]])),"",P208+TableauCB[[#This Row],[Crédit]]-TableauCB[[#This Row],[Débit]])</f>
        <v>2539.5699999999979</v>
      </c>
      <c r="Q209" s="26"/>
    </row>
    <row r="210" spans="2:19" ht="30" hidden="1" customHeight="1">
      <c r="B210" s="71"/>
      <c r="C210" s="11" t="s">
        <v>33</v>
      </c>
      <c r="D210" s="11" t="s">
        <v>11</v>
      </c>
      <c r="E210" s="11"/>
      <c r="F210" s="34">
        <v>41850</v>
      </c>
      <c r="G210"/>
      <c r="H210"/>
      <c r="I210" s="32"/>
      <c r="J210"/>
      <c r="K210" s="31"/>
      <c r="L210" s="30"/>
      <c r="M210" s="29">
        <v>198</v>
      </c>
      <c r="N210" s="28">
        <f>IF(OR(TableauCB[[#This Row],[Etat]]="",TableauCB[[#This Row],[Etat]]="c"),IF(TableauCB[[#This Row],[Solde]]="","",N209),N209-TableauCB[[#This Row],[Débit]]+TableauCB[[#This Row],[Crédit]])</f>
        <v>2737.5699999999979</v>
      </c>
      <c r="O210" s="27" t="e">
        <f>IF(TableauCB[[#This Row],[Etat]]="xc",O209-TableauCB[[#This Row],[Débit]]+TableauCB[[#This Row],[Crédit]],O209-TableauCB[[#This Row],[Débit]])</f>
        <v>#VALUE!</v>
      </c>
      <c r="P210" s="27">
        <f>IF(AND(ISBLANK(TableauCB[[#This Row],[Débit]]),ISBLANK(TableauCB[[#This Row],[Crédit]])),"",P209+TableauCB[[#This Row],[Crédit]]-TableauCB[[#This Row],[Débit]])</f>
        <v>2737.5699999999979</v>
      </c>
      <c r="Q210" s="26"/>
    </row>
    <row r="211" spans="2:19" ht="30" hidden="1" customHeight="1">
      <c r="B211" s="71"/>
      <c r="C211" s="10" t="s">
        <v>33</v>
      </c>
      <c r="D211" s="11" t="s">
        <v>45</v>
      </c>
      <c r="E211" s="11"/>
      <c r="F211" s="34">
        <v>41850</v>
      </c>
      <c r="G211"/>
      <c r="H211"/>
      <c r="I211" s="60"/>
      <c r="J211"/>
      <c r="K211" s="31"/>
      <c r="L211" s="30"/>
      <c r="M211" s="29">
        <v>1008</v>
      </c>
      <c r="N211" s="27">
        <f>IF(OR(TableauCB[[#This Row],[Etat]]="",TableauCB[[#This Row],[Etat]]="c"),IF(TableauCB[[#This Row],[Solde]]="","",N210),N210-TableauCB[[#This Row],[Débit]]+TableauCB[[#This Row],[Crédit]])</f>
        <v>3745.5699999999979</v>
      </c>
      <c r="O211" s="27" t="e">
        <f>IF(TableauCB[[#This Row],[Etat]]="xc",O210-TableauCB[[#This Row],[Débit]]+TableauCB[[#This Row],[Crédit]],O210-TableauCB[[#This Row],[Débit]])</f>
        <v>#VALUE!</v>
      </c>
      <c r="P211" s="80">
        <f>IF(AND(ISBLANK(TableauCB[[#This Row],[Débit]]),ISBLANK(TableauCB[[#This Row],[Crédit]])),"",P210+TableauCB[[#This Row],[Crédit]]-TableauCB[[#This Row],[Débit]])</f>
        <v>3745.5699999999979</v>
      </c>
      <c r="Q211" s="26"/>
    </row>
    <row r="212" spans="2:19" ht="30" hidden="1" customHeight="1">
      <c r="B212" s="71"/>
      <c r="C212" s="10" t="s">
        <v>33</v>
      </c>
      <c r="D212" s="11" t="s">
        <v>11</v>
      </c>
      <c r="E212" s="11"/>
      <c r="F212" s="34">
        <v>41850</v>
      </c>
      <c r="G212"/>
      <c r="H212"/>
      <c r="I212" s="60"/>
      <c r="J212"/>
      <c r="K212" s="31"/>
      <c r="L212" s="30"/>
      <c r="M212" s="29">
        <v>522</v>
      </c>
      <c r="N212" s="27">
        <f>IF(OR(TableauCB[[#This Row],[Etat]]="",TableauCB[[#This Row],[Etat]]="c"),IF(TableauCB[[#This Row],[Solde]]="","",N211),N211-TableauCB[[#This Row],[Débit]]+TableauCB[[#This Row],[Crédit]])</f>
        <v>4267.5699999999979</v>
      </c>
      <c r="O212" s="27" t="e">
        <f>IF(TableauCB[[#This Row],[Etat]]="xc",O211-TableauCB[[#This Row],[Débit]]+TableauCB[[#This Row],[Crédit]],O211-TableauCB[[#This Row],[Débit]])</f>
        <v>#VALUE!</v>
      </c>
      <c r="P212" s="80">
        <f>IF(AND(ISBLANK(TableauCB[[#This Row],[Débit]]),ISBLANK(TableauCB[[#This Row],[Crédit]])),"",P211+TableauCB[[#This Row],[Crédit]]-TableauCB[[#This Row],[Débit]])</f>
        <v>4267.5699999999979</v>
      </c>
      <c r="Q212" s="26"/>
      <c r="R212" s="76"/>
      <c r="S212" s="76"/>
    </row>
    <row r="213" spans="2:19" ht="30" hidden="1" customHeight="1">
      <c r="B213" s="71"/>
      <c r="C213" s="10" t="s">
        <v>33</v>
      </c>
      <c r="D213" s="11" t="s">
        <v>11</v>
      </c>
      <c r="E213" s="11"/>
      <c r="F213" s="34">
        <v>41850</v>
      </c>
      <c r="G213"/>
      <c r="H213"/>
      <c r="I213" s="60"/>
      <c r="J213"/>
      <c r="K213" s="31"/>
      <c r="L213" s="30"/>
      <c r="M213" s="29">
        <v>151.80000000000001</v>
      </c>
      <c r="N213" s="27">
        <f>IF(OR(TableauCB[[#This Row],[Etat]]="",TableauCB[[#This Row],[Etat]]="c"),IF(TableauCB[[#This Row],[Solde]]="","",N212),N212-TableauCB[[#This Row],[Débit]]+TableauCB[[#This Row],[Crédit]])</f>
        <v>4419.3699999999981</v>
      </c>
      <c r="O213" s="27" t="e">
        <f>IF(TableauCB[[#This Row],[Etat]]="xc",O212-TableauCB[[#This Row],[Débit]]+TableauCB[[#This Row],[Crédit]],O212-TableauCB[[#This Row],[Débit]])</f>
        <v>#VALUE!</v>
      </c>
      <c r="P213" s="80">
        <f>IF(AND(ISBLANK(TableauCB[[#This Row],[Débit]]),ISBLANK(TableauCB[[#This Row],[Crédit]])),"",P212+TableauCB[[#This Row],[Crédit]]-TableauCB[[#This Row],[Débit]])</f>
        <v>4419.3699999999981</v>
      </c>
      <c r="Q213" s="26"/>
      <c r="R213" s="76"/>
      <c r="S213" s="76"/>
    </row>
    <row r="214" spans="2:19" ht="30" hidden="1" customHeight="1">
      <c r="B214" s="71"/>
      <c r="C214" s="10" t="s">
        <v>33</v>
      </c>
      <c r="D214" s="11" t="s">
        <v>11</v>
      </c>
      <c r="E214" s="11"/>
      <c r="F214" s="34">
        <v>41850</v>
      </c>
      <c r="G214"/>
      <c r="H214"/>
      <c r="I214" s="60"/>
      <c r="J214"/>
      <c r="K214" s="31"/>
      <c r="L214" s="30"/>
      <c r="M214" s="29">
        <v>25.2</v>
      </c>
      <c r="N214" s="27">
        <f>IF(OR(TableauCB[[#This Row],[Etat]]="",TableauCB[[#This Row],[Etat]]="c"),IF(TableauCB[[#This Row],[Solde]]="","",N213),N213-TableauCB[[#This Row],[Débit]]+TableauCB[[#This Row],[Crédit]])</f>
        <v>4444.5699999999979</v>
      </c>
      <c r="O214" s="27" t="e">
        <f>IF(TableauCB[[#This Row],[Etat]]="xc",O213-TableauCB[[#This Row],[Débit]]+TableauCB[[#This Row],[Crédit]],O213-TableauCB[[#This Row],[Débit]])</f>
        <v>#VALUE!</v>
      </c>
      <c r="P214" s="80">
        <f>IF(AND(ISBLANK(TableauCB[[#This Row],[Débit]]),ISBLANK(TableauCB[[#This Row],[Crédit]])),"",P213+TableauCB[[#This Row],[Crédit]]-TableauCB[[#This Row],[Débit]])</f>
        <v>4444.5699999999979</v>
      </c>
      <c r="Q214" s="26"/>
      <c r="R214" s="76"/>
      <c r="S214" s="76"/>
    </row>
    <row r="215" spans="2:19" ht="30" hidden="1" customHeight="1">
      <c r="B215" s="71"/>
      <c r="C215" s="10" t="s">
        <v>33</v>
      </c>
      <c r="D215" s="11" t="s">
        <v>11</v>
      </c>
      <c r="E215" s="11"/>
      <c r="F215" s="34">
        <v>41850</v>
      </c>
      <c r="G215"/>
      <c r="H215"/>
      <c r="I215" s="60"/>
      <c r="J215"/>
      <c r="K215" s="31"/>
      <c r="L215" s="30"/>
      <c r="M215" s="29">
        <v>192</v>
      </c>
      <c r="N215" s="27">
        <f>IF(OR(TableauCB[[#This Row],[Etat]]="",TableauCB[[#This Row],[Etat]]="c"),IF(TableauCB[[#This Row],[Solde]]="","",N214),N214-TableauCB[[#This Row],[Débit]]+TableauCB[[#This Row],[Crédit]])</f>
        <v>4636.5699999999979</v>
      </c>
      <c r="O215" s="27" t="e">
        <f>IF(TableauCB[[#This Row],[Etat]]="xc",O214-TableauCB[[#This Row],[Débit]]+TableauCB[[#This Row],[Crédit]],O214-TableauCB[[#This Row],[Débit]])</f>
        <v>#VALUE!</v>
      </c>
      <c r="P215" s="80">
        <f>IF(AND(ISBLANK(TableauCB[[#This Row],[Débit]]),ISBLANK(TableauCB[[#This Row],[Crédit]])),"",P214+TableauCB[[#This Row],[Crédit]]-TableauCB[[#This Row],[Débit]])</f>
        <v>4636.5699999999979</v>
      </c>
      <c r="Q215" s="26"/>
      <c r="R215" s="76"/>
      <c r="S215" s="81"/>
    </row>
    <row r="216" spans="2:19" ht="30" hidden="1" customHeight="1">
      <c r="B216" s="71"/>
      <c r="C216" s="10" t="s">
        <v>33</v>
      </c>
      <c r="D216" s="11" t="s">
        <v>11</v>
      </c>
      <c r="E216" s="11"/>
      <c r="F216" s="34">
        <v>41850</v>
      </c>
      <c r="G216"/>
      <c r="H216"/>
      <c r="I216" s="60"/>
      <c r="J216"/>
      <c r="K216" s="31"/>
      <c r="L216" s="30"/>
      <c r="M216" s="29">
        <v>504</v>
      </c>
      <c r="N216" s="27">
        <f>IF(OR(TableauCB[[#This Row],[Etat]]="",TableauCB[[#This Row],[Etat]]="c"),IF(TableauCB[[#This Row],[Solde]]="","",N215),N215-TableauCB[[#This Row],[Débit]]+TableauCB[[#This Row],[Crédit]])</f>
        <v>5140.5699999999979</v>
      </c>
      <c r="O216" s="27" t="e">
        <f>IF(TableauCB[[#This Row],[Etat]]="xc",O215-TableauCB[[#This Row],[Débit]]+TableauCB[[#This Row],[Crédit]],O215-TableauCB[[#This Row],[Débit]])</f>
        <v>#VALUE!</v>
      </c>
      <c r="P216" s="80">
        <f>IF(AND(ISBLANK(TableauCB[[#This Row],[Débit]]),ISBLANK(TableauCB[[#This Row],[Crédit]])),"",P215+TableauCB[[#This Row],[Crédit]]-TableauCB[[#This Row],[Débit]])</f>
        <v>5140.5699999999979</v>
      </c>
      <c r="Q216" s="26"/>
      <c r="R216" s="76"/>
      <c r="S216" s="76"/>
    </row>
    <row r="217" spans="2:19" ht="30" hidden="1" customHeight="1">
      <c r="B217" s="71"/>
      <c r="C217" s="10" t="s">
        <v>33</v>
      </c>
      <c r="D217" s="11" t="s">
        <v>11</v>
      </c>
      <c r="E217" s="11"/>
      <c r="F217" s="34">
        <v>41850</v>
      </c>
      <c r="G217"/>
      <c r="H217"/>
      <c r="I217" s="60"/>
      <c r="J217"/>
      <c r="K217" s="31"/>
      <c r="L217" s="30"/>
      <c r="M217" s="29">
        <v>115.2</v>
      </c>
      <c r="N217" s="27">
        <f>IF(OR(TableauCB[[#This Row],[Etat]]="",TableauCB[[#This Row],[Etat]]="c"),IF(TableauCB[[#This Row],[Solde]]="","",N216),N216-TableauCB[[#This Row],[Débit]]+TableauCB[[#This Row],[Crédit]])</f>
        <v>5255.7699999999977</v>
      </c>
      <c r="O217" s="27" t="e">
        <f>IF(TableauCB[[#This Row],[Etat]]="xc",O216-TableauCB[[#This Row],[Débit]]+TableauCB[[#This Row],[Crédit]],O216-TableauCB[[#This Row],[Débit]])</f>
        <v>#VALUE!</v>
      </c>
      <c r="P217" s="80">
        <f>IF(AND(ISBLANK(TableauCB[[#This Row],[Débit]]),ISBLANK(TableauCB[[#This Row],[Crédit]])),"",P216+TableauCB[[#This Row],[Crédit]]-TableauCB[[#This Row],[Débit]])</f>
        <v>5255.7699999999977</v>
      </c>
      <c r="Q217" s="26"/>
      <c r="R217" s="76"/>
      <c r="S217" s="76"/>
    </row>
    <row r="218" spans="2:19" ht="30" hidden="1" customHeight="1">
      <c r="B218" s="71"/>
      <c r="C218" s="10" t="s">
        <v>33</v>
      </c>
      <c r="D218" s="11" t="s">
        <v>11</v>
      </c>
      <c r="E218" s="11"/>
      <c r="F218" s="34">
        <v>41850</v>
      </c>
      <c r="G218"/>
      <c r="H218"/>
      <c r="I218" s="60"/>
      <c r="J218"/>
      <c r="K218" s="31"/>
      <c r="L218" s="30"/>
      <c r="M218" s="29">
        <v>54</v>
      </c>
      <c r="N218" s="27">
        <f>IF(OR(TableauCB[[#This Row],[Etat]]="",TableauCB[[#This Row],[Etat]]="c"),IF(TableauCB[[#This Row],[Solde]]="","",N217),N217-TableauCB[[#This Row],[Débit]]+TableauCB[[#This Row],[Crédit]])</f>
        <v>5309.7699999999977</v>
      </c>
      <c r="O218" s="27" t="e">
        <f>IF(TableauCB[[#This Row],[Etat]]="xc",O217-TableauCB[[#This Row],[Débit]]+TableauCB[[#This Row],[Crédit]],O217-TableauCB[[#This Row],[Débit]])</f>
        <v>#VALUE!</v>
      </c>
      <c r="P218" s="80">
        <f>IF(AND(ISBLANK(TableauCB[[#This Row],[Débit]]),ISBLANK(TableauCB[[#This Row],[Crédit]])),"",P217+TableauCB[[#This Row],[Crédit]]-TableauCB[[#This Row],[Débit]])</f>
        <v>5309.7699999999977</v>
      </c>
      <c r="Q218" s="26"/>
      <c r="R218" s="76"/>
      <c r="S218" s="76"/>
    </row>
    <row r="219" spans="2:19" ht="30" hidden="1" customHeight="1">
      <c r="B219" s="71"/>
      <c r="C219" s="11" t="s">
        <v>33</v>
      </c>
      <c r="D219" s="11" t="s">
        <v>17</v>
      </c>
      <c r="E219" s="11"/>
      <c r="F219" s="34">
        <v>41851</v>
      </c>
      <c r="G219"/>
      <c r="H219"/>
      <c r="I219" s="32"/>
      <c r="J219"/>
      <c r="K219" s="31"/>
      <c r="L219" s="30">
        <v>7.98</v>
      </c>
      <c r="M219" s="29"/>
      <c r="N219" s="27">
        <f>IF(OR(TableauCB[[#This Row],[Etat]]="",TableauCB[[#This Row],[Etat]]="c"),IF(TableauCB[[#This Row],[Solde]]="","",N218),N218-TableauCB[[#This Row],[Débit]]+TableauCB[[#This Row],[Crédit]])</f>
        <v>5301.7899999999981</v>
      </c>
      <c r="O219" s="27" t="e">
        <f>IF(TableauCB[[#This Row],[Etat]]="xc",O218-TableauCB[[#This Row],[Débit]]+TableauCB[[#This Row],[Crédit]],O218-TableauCB[[#This Row],[Débit]])</f>
        <v>#VALUE!</v>
      </c>
      <c r="P219" s="27">
        <f>IF(AND(ISBLANK(TableauCB[[#This Row],[Débit]]),ISBLANK(TableauCB[[#This Row],[Crédit]])),"",P218+TableauCB[[#This Row],[Crédit]]-TableauCB[[#This Row],[Débit]])</f>
        <v>5301.7899999999981</v>
      </c>
      <c r="Q219" s="26"/>
      <c r="R219" s="76"/>
      <c r="S219" s="76"/>
    </row>
    <row r="220" spans="2:19" ht="30" hidden="1" customHeight="1">
      <c r="B220" s="71"/>
      <c r="C220" s="11" t="s">
        <v>33</v>
      </c>
      <c r="D220" s="11" t="s">
        <v>41</v>
      </c>
      <c r="E220" s="11"/>
      <c r="F220" s="34">
        <v>41851</v>
      </c>
      <c r="G220"/>
      <c r="H220"/>
      <c r="I220" s="32"/>
      <c r="J220"/>
      <c r="K220" s="31"/>
      <c r="L220" s="30">
        <v>13.12</v>
      </c>
      <c r="M220" s="29"/>
      <c r="N220" s="27">
        <f>IF(OR(TableauCB[[#This Row],[Etat]]="",TableauCB[[#This Row],[Etat]]="c"),IF(TableauCB[[#This Row],[Solde]]="","",N219),N219-TableauCB[[#This Row],[Débit]]+TableauCB[[#This Row],[Crédit]])</f>
        <v>5288.6699999999983</v>
      </c>
      <c r="O220" s="27" t="e">
        <f>IF(TableauCB[[#This Row],[Etat]]="xc",O219-TableauCB[[#This Row],[Débit]]+TableauCB[[#This Row],[Crédit]],O219-TableauCB[[#This Row],[Débit]])</f>
        <v>#VALUE!</v>
      </c>
      <c r="P220" s="27">
        <f>IF(AND(ISBLANK(TableauCB[[#This Row],[Débit]]),ISBLANK(TableauCB[[#This Row],[Crédit]])),"",P219+TableauCB[[#This Row],[Crédit]]-TableauCB[[#This Row],[Débit]])</f>
        <v>5288.6699999999983</v>
      </c>
      <c r="Q220" s="26"/>
      <c r="R220" s="76"/>
      <c r="S220" s="76"/>
    </row>
    <row r="221" spans="2:19" ht="30" hidden="1" customHeight="1" thickBot="1">
      <c r="B221" s="71"/>
      <c r="C221" s="11" t="s">
        <v>33</v>
      </c>
      <c r="D221" s="11" t="s">
        <v>9</v>
      </c>
      <c r="E221" s="11"/>
      <c r="F221" s="34">
        <v>41851</v>
      </c>
      <c r="G221"/>
      <c r="H221"/>
      <c r="I221" s="60"/>
      <c r="J221"/>
      <c r="K221" s="31"/>
      <c r="L221" s="30">
        <v>240</v>
      </c>
      <c r="M221" s="29"/>
      <c r="N221" s="27">
        <f>IF(OR(TableauCB[[#This Row],[Etat]]="",TableauCB[[#This Row],[Etat]]="c"),IF(TableauCB[[#This Row],[Solde]]="","",N220),N220-TableauCB[[#This Row],[Débit]]+TableauCB[[#This Row],[Crédit]])</f>
        <v>5048.6699999999983</v>
      </c>
      <c r="O221" s="27" t="e">
        <f>IF(TableauCB[[#This Row],[Etat]]="xc",O220-TableauCB[[#This Row],[Débit]]+TableauCB[[#This Row],[Crédit]],O220-TableauCB[[#This Row],[Débit]])</f>
        <v>#VALUE!</v>
      </c>
      <c r="P221" s="80">
        <f>IF(AND(ISBLANK(TableauCB[[#This Row],[Débit]]),ISBLANK(TableauCB[[#This Row],[Crédit]])),"",P220+TableauCB[[#This Row],[Crédit]]-TableauCB[[#This Row],[Débit]])</f>
        <v>5048.6699999999983</v>
      </c>
      <c r="Q221" s="26"/>
      <c r="R221" s="47" t="s">
        <v>54</v>
      </c>
      <c r="S221" s="47" t="s">
        <v>53</v>
      </c>
    </row>
    <row r="222" spans="2:19" ht="30" hidden="1" customHeight="1" thickBot="1">
      <c r="B222" s="70"/>
      <c r="C222" s="11" t="s">
        <v>33</v>
      </c>
      <c r="D222" s="11" t="s">
        <v>5</v>
      </c>
      <c r="E222" s="11"/>
      <c r="F222" s="34">
        <v>41851</v>
      </c>
      <c r="G222"/>
      <c r="H222"/>
      <c r="I222" s="32"/>
      <c r="J222"/>
      <c r="K222" s="31"/>
      <c r="L222" s="30">
        <v>537.79999999999995</v>
      </c>
      <c r="M222" s="29"/>
      <c r="N222" s="27">
        <f>IF(OR(TableauCB[[#This Row],[Etat]]="",TableauCB[[#This Row],[Etat]]="c"),IF(TableauCB[[#This Row],[Solde]]="","",N221),N221-TableauCB[[#This Row],[Débit]]+TableauCB[[#This Row],[Crédit]])</f>
        <v>4510.8699999999981</v>
      </c>
      <c r="O222" s="27" t="e">
        <f>IF(TableauCB[[#This Row],[Etat]]="xc",O221-TableauCB[[#This Row],[Débit]]+TableauCB[[#This Row],[Crédit]],O221-TableauCB[[#This Row],[Débit]])</f>
        <v>#VALUE!</v>
      </c>
      <c r="P222" s="27">
        <f>IF(AND(ISBLANK(TableauCB[[#This Row],[Débit]]),ISBLANK(TableauCB[[#This Row],[Crédit]])),"",P221+TableauCB[[#This Row],[Crédit]]-TableauCB[[#This Row],[Débit]])</f>
        <v>4510.8699999999981</v>
      </c>
      <c r="Q222" s="26"/>
      <c r="R222" s="25">
        <f>SUM(M189:M222)-SUM(L189:L222)</f>
        <v>-1619.1399999999994</v>
      </c>
      <c r="S222" s="25">
        <f>R222/1.2</f>
        <v>-1349.2833333333328</v>
      </c>
    </row>
    <row r="223" spans="2:19" ht="30" hidden="1" customHeight="1">
      <c r="B223" s="86" t="s">
        <v>87</v>
      </c>
      <c r="C223" s="68" t="s">
        <v>33</v>
      </c>
      <c r="D223" s="68" t="s">
        <v>21</v>
      </c>
      <c r="E223" s="68"/>
      <c r="F223" s="67">
        <v>41856</v>
      </c>
      <c r="G223"/>
      <c r="H223"/>
      <c r="I223" s="66"/>
      <c r="J223"/>
      <c r="K223" s="65"/>
      <c r="L223" s="64">
        <v>21.5</v>
      </c>
      <c r="M223" s="63"/>
      <c r="N223" s="61">
        <f>IF(OR(TableauCB[[#This Row],[Etat]]="",TableauCB[[#This Row],[Etat]]="c"),IF(TableauCB[[#This Row],[Solde]]="","",N222),N222-TableauCB[[#This Row],[Débit]]+TableauCB[[#This Row],[Crédit]])</f>
        <v>4489.3699999999981</v>
      </c>
      <c r="O223" s="61" t="e">
        <f>IF(TableauCB[[#This Row],[Etat]]="xc",O222-TableauCB[[#This Row],[Débit]]+TableauCB[[#This Row],[Crédit]],O222-TableauCB[[#This Row],[Débit]])</f>
        <v>#VALUE!</v>
      </c>
      <c r="P223" s="61">
        <f>IF(AND(ISBLANK(TableauCB[[#This Row],[Débit]]),ISBLANK(TableauCB[[#This Row],[Crédit]])),"",P222+TableauCB[[#This Row],[Crédit]]-TableauCB[[#This Row],[Débit]])</f>
        <v>4489.3699999999981</v>
      </c>
      <c r="Q223" s="26"/>
    </row>
    <row r="224" spans="2:19" ht="30" hidden="1" customHeight="1">
      <c r="B224" s="79"/>
      <c r="C224" s="11" t="s">
        <v>33</v>
      </c>
      <c r="D224" s="11" t="s">
        <v>17</v>
      </c>
      <c r="E224" s="11"/>
      <c r="F224" s="34">
        <v>41857</v>
      </c>
      <c r="G224"/>
      <c r="H224"/>
      <c r="I224" s="32"/>
      <c r="J224"/>
      <c r="K224" s="31"/>
      <c r="L224" s="30">
        <v>10.96</v>
      </c>
      <c r="M224" s="29"/>
      <c r="N224" s="27">
        <f>IF(OR(TableauCB[[#This Row],[Etat]]="",TableauCB[[#This Row],[Etat]]="c"),IF(TableauCB[[#This Row],[Solde]]="","",N223),N223-TableauCB[[#This Row],[Débit]]+TableauCB[[#This Row],[Crédit]])</f>
        <v>4478.409999999998</v>
      </c>
      <c r="O224" s="27" t="e">
        <f>IF(TableauCB[[#This Row],[Etat]]="xc",O223-TableauCB[[#This Row],[Débit]]+TableauCB[[#This Row],[Crédit]],O223-TableauCB[[#This Row],[Débit]])</f>
        <v>#VALUE!</v>
      </c>
      <c r="P224" s="27">
        <f>IF(AND(ISBLANK(TableauCB[[#This Row],[Débit]]),ISBLANK(TableauCB[[#This Row],[Crédit]])),"",P223+TableauCB[[#This Row],[Crédit]]-TableauCB[[#This Row],[Débit]])</f>
        <v>4478.409999999998</v>
      </c>
      <c r="Q224" s="26"/>
      <c r="R224" s="76"/>
      <c r="S224" s="76"/>
    </row>
    <row r="225" spans="2:32" ht="30" hidden="1" customHeight="1">
      <c r="B225" s="79"/>
      <c r="C225" s="11" t="s">
        <v>33</v>
      </c>
      <c r="D225" s="11" t="s">
        <v>58</v>
      </c>
      <c r="E225" s="11"/>
      <c r="F225" s="34">
        <v>41863</v>
      </c>
      <c r="G225"/>
      <c r="H225"/>
      <c r="I225" s="32"/>
      <c r="J225"/>
      <c r="K225" s="31"/>
      <c r="L225" s="30">
        <v>50.01</v>
      </c>
      <c r="M225" s="29"/>
      <c r="N225" s="27">
        <f>IF(OR(TableauCB[[#This Row],[Etat]]="",TableauCB[[#This Row],[Etat]]="c"),IF(TableauCB[[#This Row],[Solde]]="","",N224),N224-TableauCB[[#This Row],[Débit]]+TableauCB[[#This Row],[Crédit]])</f>
        <v>4428.3999999999978</v>
      </c>
      <c r="O225" s="27" t="e">
        <f>IF(TableauCB[[#This Row],[Etat]]="xc",O224-TableauCB[[#This Row],[Débit]]+TableauCB[[#This Row],[Crédit]],O224-TableauCB[[#This Row],[Débit]])</f>
        <v>#VALUE!</v>
      </c>
      <c r="P225" s="27">
        <f>IF(AND(ISBLANK(TableauCB[[#This Row],[Débit]]),ISBLANK(TableauCB[[#This Row],[Crédit]])),"",P224+TableauCB[[#This Row],[Crédit]]-TableauCB[[#This Row],[Débit]])</f>
        <v>4428.3999999999978</v>
      </c>
      <c r="Q225" s="26"/>
      <c r="R225" s="76"/>
      <c r="S225" s="76"/>
    </row>
    <row r="226" spans="2:32" ht="30" hidden="1" customHeight="1">
      <c r="B226" s="79"/>
      <c r="C226" s="11" t="s">
        <v>33</v>
      </c>
      <c r="D226" s="11" t="s">
        <v>17</v>
      </c>
      <c r="E226" s="11"/>
      <c r="F226" s="34">
        <v>41871</v>
      </c>
      <c r="G226"/>
      <c r="H226"/>
      <c r="I226" s="32"/>
      <c r="J226"/>
      <c r="K226" s="31"/>
      <c r="L226" s="30">
        <v>50.04</v>
      </c>
      <c r="M226" s="29"/>
      <c r="N226" s="27">
        <f>IF(OR(TableauCB[[#This Row],[Etat]]="",TableauCB[[#This Row],[Etat]]="c"),IF(TableauCB[[#This Row],[Solde]]="","",N225),N225-TableauCB[[#This Row],[Débit]]+TableauCB[[#This Row],[Crédit]])</f>
        <v>4378.3599999999979</v>
      </c>
      <c r="O226" s="27" t="e">
        <f>IF(TableauCB[[#This Row],[Etat]]="xc",O225-TableauCB[[#This Row],[Débit]]+TableauCB[[#This Row],[Crédit]],O225-TableauCB[[#This Row],[Débit]])</f>
        <v>#VALUE!</v>
      </c>
      <c r="P226" s="27">
        <f>IF(AND(ISBLANK(TableauCB[[#This Row],[Débit]]),ISBLANK(TableauCB[[#This Row],[Crédit]])),"",P225+TableauCB[[#This Row],[Crédit]]-TableauCB[[#This Row],[Débit]])</f>
        <v>4378.3599999999979</v>
      </c>
      <c r="Q226" s="26"/>
      <c r="X226" s="1"/>
      <c r="Z226" s="1"/>
      <c r="AB226" s="1"/>
    </row>
    <row r="227" spans="2:32" ht="30" hidden="1" customHeight="1">
      <c r="B227" s="79"/>
      <c r="C227" s="11" t="s">
        <v>33</v>
      </c>
      <c r="D227" s="11" t="s">
        <v>9</v>
      </c>
      <c r="E227" s="11"/>
      <c r="F227" s="34">
        <v>41876</v>
      </c>
      <c r="G227"/>
      <c r="H227"/>
      <c r="I227" s="32"/>
      <c r="J227"/>
      <c r="K227" s="31"/>
      <c r="L227" s="30">
        <v>248.04</v>
      </c>
      <c r="M227" s="29"/>
      <c r="N227" s="28">
        <f>IF(OR(TableauCB[[#This Row],[Etat]]="",TableauCB[[#This Row],[Etat]]="c"),IF(TableauCB[[#This Row],[Solde]]="","",N226),N226-TableauCB[[#This Row],[Débit]]+TableauCB[[#This Row],[Crédit]])</f>
        <v>4130.3199999999979</v>
      </c>
      <c r="O227" s="27" t="e">
        <f>IF(TableauCB[[#This Row],[Etat]]="xc",O226-TableauCB[[#This Row],[Débit]]+TableauCB[[#This Row],[Crédit]],O226-TableauCB[[#This Row],[Débit]])</f>
        <v>#VALUE!</v>
      </c>
      <c r="P227" s="27">
        <f>IF(AND(ISBLANK(TableauCB[[#This Row],[Débit]]),ISBLANK(TableauCB[[#This Row],[Crédit]])),"",P226+TableauCB[[#This Row],[Crédit]]-TableauCB[[#This Row],[Débit]])</f>
        <v>4130.3199999999979</v>
      </c>
      <c r="Q227" s="26"/>
    </row>
    <row r="228" spans="2:32" s="76" customFormat="1" ht="30" hidden="1" customHeight="1">
      <c r="B228" s="79"/>
      <c r="C228" s="11" t="s">
        <v>33</v>
      </c>
      <c r="D228" s="11" t="s">
        <v>11</v>
      </c>
      <c r="E228" s="11"/>
      <c r="F228" s="34">
        <v>41881</v>
      </c>
      <c r="G228"/>
      <c r="H228"/>
      <c r="I228" s="32"/>
      <c r="J228"/>
      <c r="K228" s="31"/>
      <c r="L228" s="30"/>
      <c r="M228" s="29">
        <v>108</v>
      </c>
      <c r="N228" s="27">
        <f>IF(OR(TableauCB[[#This Row],[Etat]]="",TableauCB[[#This Row],[Etat]]="c"),IF(TableauCB[[#This Row],[Solde]]="","",N227),N227-TableauCB[[#This Row],[Débit]]+TableauCB[[#This Row],[Crédit]])</f>
        <v>4238.3199999999979</v>
      </c>
      <c r="O228" s="27" t="e">
        <f>IF(TableauCB[[#This Row],[Etat]]="xc",O227-TableauCB[[#This Row],[Débit]]+TableauCB[[#This Row],[Crédit]],O227-TableauCB[[#This Row],[Débit]])</f>
        <v>#VALUE!</v>
      </c>
      <c r="P228" s="27">
        <f>IF(AND(ISBLANK(TableauCB[[#This Row],[Débit]]),ISBLANK(TableauCB[[#This Row],[Crédit]])),"",P227+TableauCB[[#This Row],[Crédit]]-TableauCB[[#This Row],[Débit]])</f>
        <v>4238.3199999999979</v>
      </c>
      <c r="Q228" s="85"/>
      <c r="S228" s="81"/>
      <c r="X228" s="83"/>
      <c r="Z228" s="84"/>
      <c r="AB228" s="83"/>
      <c r="AD228" s="82"/>
    </row>
    <row r="229" spans="2:32" ht="30" hidden="1" customHeight="1">
      <c r="B229" s="79"/>
      <c r="C229" s="11" t="s">
        <v>33</v>
      </c>
      <c r="D229" s="11" t="s">
        <v>11</v>
      </c>
      <c r="E229" s="11"/>
      <c r="F229" s="34">
        <v>41881</v>
      </c>
      <c r="G229"/>
      <c r="H229"/>
      <c r="I229" s="32"/>
      <c r="J229"/>
      <c r="K229" s="31"/>
      <c r="L229" s="30"/>
      <c r="M229" s="29">
        <v>522</v>
      </c>
      <c r="N229" s="27">
        <f>IF(OR(TableauCB[[#This Row],[Etat]]="",TableauCB[[#This Row],[Etat]]="c"),IF(TableauCB[[#This Row],[Solde]]="","",N228),N228-TableauCB[[#This Row],[Débit]]+TableauCB[[#This Row],[Crédit]])</f>
        <v>4760.3199999999979</v>
      </c>
      <c r="O229" s="27" t="e">
        <f>IF(TableauCB[[#This Row],[Etat]]="xc",O228-TableauCB[[#This Row],[Débit]]+TableauCB[[#This Row],[Crédit]],O228-TableauCB[[#This Row],[Débit]])</f>
        <v>#VALUE!</v>
      </c>
      <c r="P229" s="27">
        <f>IF(AND(ISBLANK(TableauCB[[#This Row],[Débit]]),ISBLANK(TableauCB[[#This Row],[Crédit]])),"",P228+TableauCB[[#This Row],[Crédit]]-TableauCB[[#This Row],[Débit]])</f>
        <v>4760.3199999999979</v>
      </c>
      <c r="Q229" s="26"/>
      <c r="R229" s="81"/>
      <c r="S229" s="81"/>
    </row>
    <row r="230" spans="2:32" ht="30" hidden="1" customHeight="1">
      <c r="B230" s="79"/>
      <c r="C230" s="11" t="s">
        <v>33</v>
      </c>
      <c r="D230" s="11" t="s">
        <v>11</v>
      </c>
      <c r="E230" s="11"/>
      <c r="F230" s="34">
        <v>41881</v>
      </c>
      <c r="G230"/>
      <c r="H230"/>
      <c r="I230" s="32"/>
      <c r="J230"/>
      <c r="K230" s="31"/>
      <c r="L230" s="30"/>
      <c r="M230" s="29">
        <v>151.80000000000001</v>
      </c>
      <c r="N230" s="27">
        <f>IF(OR(TableauCB[[#This Row],[Etat]]="",TableauCB[[#This Row],[Etat]]="c"),IF(TableauCB[[#This Row],[Solde]]="","",N229),N229-TableauCB[[#This Row],[Débit]]+TableauCB[[#This Row],[Crédit]])</f>
        <v>4912.1199999999981</v>
      </c>
      <c r="O230" s="27" t="e">
        <f>IF(TableauCB[[#This Row],[Etat]]="xc",O229-TableauCB[[#This Row],[Débit]]+TableauCB[[#This Row],[Crédit]],O229-TableauCB[[#This Row],[Débit]])</f>
        <v>#VALUE!</v>
      </c>
      <c r="P230" s="27">
        <f>IF(AND(ISBLANK(TableauCB[[#This Row],[Débit]]),ISBLANK(TableauCB[[#This Row],[Crédit]])),"",P229+TableauCB[[#This Row],[Crédit]]-TableauCB[[#This Row],[Débit]])</f>
        <v>4912.1199999999981</v>
      </c>
      <c r="Q230" s="26"/>
      <c r="R230" s="76"/>
      <c r="S230" s="76"/>
    </row>
    <row r="231" spans="2:32" ht="30" hidden="1" customHeight="1">
      <c r="B231" s="79"/>
      <c r="C231" s="11" t="s">
        <v>33</v>
      </c>
      <c r="D231" s="11" t="s">
        <v>11</v>
      </c>
      <c r="E231" s="11"/>
      <c r="F231" s="34">
        <v>41881</v>
      </c>
      <c r="G231"/>
      <c r="H231"/>
      <c r="I231" s="60"/>
      <c r="J231"/>
      <c r="K231" s="31"/>
      <c r="L231" s="30"/>
      <c r="M231" s="29">
        <v>192</v>
      </c>
      <c r="N231" s="27">
        <f>IF(OR(TableauCB[[#This Row],[Etat]]="",TableauCB[[#This Row],[Etat]]="c"),IF(TableauCB[[#This Row],[Solde]]="","",N230),N230-TableauCB[[#This Row],[Débit]]+TableauCB[[#This Row],[Crédit]])</f>
        <v>5104.1199999999981</v>
      </c>
      <c r="O231" s="27" t="e">
        <f>IF(TableauCB[[#This Row],[Etat]]="xc",O230-TableauCB[[#This Row],[Débit]]+TableauCB[[#This Row],[Crédit]],O230-TableauCB[[#This Row],[Débit]])</f>
        <v>#VALUE!</v>
      </c>
      <c r="P231" s="80">
        <f>IF(AND(ISBLANK(TableauCB[[#This Row],[Débit]]),ISBLANK(TableauCB[[#This Row],[Crédit]])),"",P230+TableauCB[[#This Row],[Crédit]]-TableauCB[[#This Row],[Débit]])</f>
        <v>5104.1199999999981</v>
      </c>
      <c r="Q231" s="26"/>
      <c r="R231" s="76"/>
      <c r="S231" s="76"/>
    </row>
    <row r="232" spans="2:32" ht="30" hidden="1" customHeight="1">
      <c r="B232" s="79"/>
      <c r="C232" s="11" t="s">
        <v>33</v>
      </c>
      <c r="D232" s="11" t="s">
        <v>11</v>
      </c>
      <c r="E232" s="11"/>
      <c r="F232" s="34">
        <v>41881</v>
      </c>
      <c r="G232"/>
      <c r="H232"/>
      <c r="I232" s="60"/>
      <c r="J232"/>
      <c r="K232" s="31"/>
      <c r="L232" s="30"/>
      <c r="M232" s="29">
        <v>504</v>
      </c>
      <c r="N232" s="27">
        <f>IF(OR(TableauCB[[#This Row],[Etat]]="",TableauCB[[#This Row],[Etat]]="c"),IF(TableauCB[[#This Row],[Solde]]="","",N231),N231-TableauCB[[#This Row],[Débit]]+TableauCB[[#This Row],[Crédit]])</f>
        <v>5608.1199999999981</v>
      </c>
      <c r="O232" s="27" t="e">
        <f>IF(TableauCB[[#This Row],[Etat]]="xc",O231-TableauCB[[#This Row],[Débit]]+TableauCB[[#This Row],[Crédit]],O231-TableauCB[[#This Row],[Débit]])</f>
        <v>#VALUE!</v>
      </c>
      <c r="P232" s="80">
        <f>IF(AND(ISBLANK(TableauCB[[#This Row],[Débit]]),ISBLANK(TableauCB[[#This Row],[Crédit]])),"",P231+TableauCB[[#This Row],[Crédit]]-TableauCB[[#This Row],[Débit]])</f>
        <v>5608.1199999999981</v>
      </c>
      <c r="Q232" s="26"/>
      <c r="R232" s="76"/>
      <c r="S232" s="76"/>
    </row>
    <row r="233" spans="2:32" ht="30" hidden="1" customHeight="1">
      <c r="B233" s="79"/>
      <c r="C233" s="11" t="s">
        <v>33</v>
      </c>
      <c r="D233" s="11" t="s">
        <v>11</v>
      </c>
      <c r="E233" s="11"/>
      <c r="F233" s="34">
        <v>41881</v>
      </c>
      <c r="G233"/>
      <c r="H233"/>
      <c r="I233" s="32"/>
      <c r="J233"/>
      <c r="K233" s="31"/>
      <c r="L233" s="30"/>
      <c r="M233" s="29">
        <v>115.2</v>
      </c>
      <c r="N233" s="27">
        <f>IF(OR(TableauCB[[#This Row],[Etat]]="",TableauCB[[#This Row],[Etat]]="c"),IF(TableauCB[[#This Row],[Solde]]="","",N232),N232-TableauCB[[#This Row],[Débit]]+TableauCB[[#This Row],[Crédit]])</f>
        <v>5723.3199999999979</v>
      </c>
      <c r="O233" s="27" t="e">
        <f>IF(TableauCB[[#This Row],[Etat]]="xc",O232-TableauCB[[#This Row],[Débit]]+TableauCB[[#This Row],[Crédit]],O232-TableauCB[[#This Row],[Débit]])</f>
        <v>#VALUE!</v>
      </c>
      <c r="P233" s="27">
        <f>IF(AND(ISBLANK(TableauCB[[#This Row],[Débit]]),ISBLANK(TableauCB[[#This Row],[Crédit]])),"",P232+TableauCB[[#This Row],[Crédit]]-TableauCB[[#This Row],[Débit]])</f>
        <v>5723.3199999999979</v>
      </c>
      <c r="Q233" s="26"/>
      <c r="R233" s="76"/>
      <c r="S233" s="76"/>
    </row>
    <row r="234" spans="2:32" ht="30" hidden="1" customHeight="1" thickBot="1">
      <c r="B234" s="79"/>
      <c r="C234" s="11" t="s">
        <v>33</v>
      </c>
      <c r="D234" s="11" t="s">
        <v>9</v>
      </c>
      <c r="E234" s="11"/>
      <c r="F234" s="34">
        <v>41881</v>
      </c>
      <c r="G234"/>
      <c r="H234"/>
      <c r="I234" s="32"/>
      <c r="J234"/>
      <c r="K234" s="31"/>
      <c r="L234" s="30">
        <v>240</v>
      </c>
      <c r="M234" s="29"/>
      <c r="N234" s="27">
        <f>IF(OR(TableauCB[[#This Row],[Etat]]="",TableauCB[[#This Row],[Etat]]="c"),IF(TableauCB[[#This Row],[Solde]]="","",N233),N233-TableauCB[[#This Row],[Débit]]+TableauCB[[#This Row],[Crédit]])</f>
        <v>5483.3199999999979</v>
      </c>
      <c r="O234" s="27" t="e">
        <f>IF(TableauCB[[#This Row],[Etat]]="xc",O233-TableauCB[[#This Row],[Débit]]+TableauCB[[#This Row],[Crédit]],O233-TableauCB[[#This Row],[Débit]])</f>
        <v>#VALUE!</v>
      </c>
      <c r="P234" s="27">
        <f>IF(AND(ISBLANK(TableauCB[[#This Row],[Débit]]),ISBLANK(TableauCB[[#This Row],[Crédit]])),"",P233+TableauCB[[#This Row],[Crédit]]-TableauCB[[#This Row],[Débit]])</f>
        <v>5483.3199999999979</v>
      </c>
      <c r="Q234" s="26"/>
      <c r="R234" s="47" t="s">
        <v>54</v>
      </c>
      <c r="S234" s="47" t="s">
        <v>53</v>
      </c>
    </row>
    <row r="235" spans="2:32" ht="30" hidden="1" customHeight="1" thickBot="1">
      <c r="B235" s="78"/>
      <c r="C235" s="11" t="s">
        <v>33</v>
      </c>
      <c r="D235" s="11" t="s">
        <v>5</v>
      </c>
      <c r="E235" s="11"/>
      <c r="F235" s="34">
        <v>41881</v>
      </c>
      <c r="G235"/>
      <c r="H235"/>
      <c r="I235" s="32"/>
      <c r="J235"/>
      <c r="K235" s="31"/>
      <c r="L235" s="30">
        <v>177.7</v>
      </c>
      <c r="M235" s="29"/>
      <c r="N235" s="27">
        <f>IF(OR(TableauCB[[#This Row],[Etat]]="",TableauCB[[#This Row],[Etat]]="c"),IF(TableauCB[[#This Row],[Solde]]="","",N234),N234-TableauCB[[#This Row],[Débit]]+TableauCB[[#This Row],[Crédit]])</f>
        <v>5305.6199999999981</v>
      </c>
      <c r="O235" s="27" t="e">
        <f>IF(TableauCB[[#This Row],[Etat]]="xc",O234-TableauCB[[#This Row],[Débit]]+TableauCB[[#This Row],[Crédit]],O234-TableauCB[[#This Row],[Débit]])</f>
        <v>#VALUE!</v>
      </c>
      <c r="P235" s="27">
        <f>IF(AND(ISBLANK(TableauCB[[#This Row],[Débit]]),ISBLANK(TableauCB[[#This Row],[Crédit]])),"",P234+TableauCB[[#This Row],[Crédit]]-TableauCB[[#This Row],[Débit]])</f>
        <v>5305.6199999999981</v>
      </c>
      <c r="Q235" s="26"/>
      <c r="R235" s="25">
        <f>SUM(M223:M235)-SUM(L223:L235)</f>
        <v>794.75</v>
      </c>
      <c r="S235" s="25">
        <f>R235/1.2</f>
        <v>662.29166666666674</v>
      </c>
    </row>
    <row r="236" spans="2:32" ht="30" hidden="1" customHeight="1">
      <c r="B236" s="73" t="s">
        <v>85</v>
      </c>
      <c r="C236" s="68" t="s">
        <v>33</v>
      </c>
      <c r="D236" s="68" t="s">
        <v>17</v>
      </c>
      <c r="E236" s="68"/>
      <c r="F236" s="67">
        <v>41884</v>
      </c>
      <c r="G236"/>
      <c r="H236"/>
      <c r="I236" s="66"/>
      <c r="J236"/>
      <c r="K236" s="65"/>
      <c r="L236" s="64">
        <v>35.4</v>
      </c>
      <c r="M236" s="63"/>
      <c r="N236" s="61">
        <f>IF(OR(TableauCB[[#This Row],[Etat]]="",TableauCB[[#This Row],[Etat]]="c"),IF(TableauCB[[#This Row],[Solde]]="","",N235),N235-TableauCB[[#This Row],[Débit]]+TableauCB[[#This Row],[Crédit]])</f>
        <v>5270.2199999999984</v>
      </c>
      <c r="O236" s="61" t="e">
        <f>IF(TableauCB[[#This Row],[Etat]]="xc",O235-TableauCB[[#This Row],[Débit]]+TableauCB[[#This Row],[Crédit]],O235-TableauCB[[#This Row],[Débit]])</f>
        <v>#VALUE!</v>
      </c>
      <c r="P236" s="61">
        <f>IF(AND(ISBLANK(TableauCB[[#This Row],[Débit]]),ISBLANK(TableauCB[[#This Row],[Crédit]])),"",P235+TableauCB[[#This Row],[Crédit]]-TableauCB[[#This Row],[Débit]])</f>
        <v>5270.2199999999984</v>
      </c>
      <c r="Q236" s="26"/>
    </row>
    <row r="237" spans="2:32" ht="30" hidden="1" customHeight="1">
      <c r="B237" s="71"/>
      <c r="C237" s="11" t="s">
        <v>33</v>
      </c>
      <c r="D237" s="11" t="s">
        <v>5</v>
      </c>
      <c r="E237" s="11"/>
      <c r="F237" s="34">
        <v>41884</v>
      </c>
      <c r="G237"/>
      <c r="H237"/>
      <c r="I237" s="32"/>
      <c r="J237"/>
      <c r="K237" s="31"/>
      <c r="L237" s="30">
        <v>923.67</v>
      </c>
      <c r="M237" s="29"/>
      <c r="N237" s="27">
        <f>IF(OR(TableauCB[[#This Row],[Etat]]="",TableauCB[[#This Row],[Etat]]="c"),IF(TableauCB[[#This Row],[Solde]]="","",N236),N236-TableauCB[[#This Row],[Débit]]+TableauCB[[#This Row],[Crédit]])</f>
        <v>4346.5499999999984</v>
      </c>
      <c r="O237" s="27" t="e">
        <f>IF(TableauCB[[#This Row],[Etat]]="xc",O236-TableauCB[[#This Row],[Débit]]+TableauCB[[#This Row],[Crédit]],O236-TableauCB[[#This Row],[Débit]])</f>
        <v>#VALUE!</v>
      </c>
      <c r="P237" s="27">
        <f>IF(AND(ISBLANK(TableauCB[[#This Row],[Débit]]),ISBLANK(TableauCB[[#This Row],[Crédit]])),"",P236+TableauCB[[#This Row],[Crédit]]-TableauCB[[#This Row],[Débit]])</f>
        <v>4346.5499999999984</v>
      </c>
      <c r="Q237" s="26"/>
      <c r="R237" s="76"/>
      <c r="S237" s="76"/>
    </row>
    <row r="238" spans="2:32" ht="30" hidden="1" customHeight="1">
      <c r="B238" s="71"/>
      <c r="C238" s="11" t="s">
        <v>33</v>
      </c>
      <c r="D238" s="11" t="s">
        <v>21</v>
      </c>
      <c r="E238" s="11"/>
      <c r="F238" s="34">
        <v>41887</v>
      </c>
      <c r="G238"/>
      <c r="H238"/>
      <c r="I238" s="32"/>
      <c r="J238"/>
      <c r="K238" s="31"/>
      <c r="L238" s="30">
        <v>21.5</v>
      </c>
      <c r="M238" s="29"/>
      <c r="N238" s="27">
        <f>IF(OR(TableauCB[[#This Row],[Etat]]="",TableauCB[[#This Row],[Etat]]="c"),IF(TableauCB[[#This Row],[Solde]]="","",N237),N237-TableauCB[[#This Row],[Débit]]+TableauCB[[#This Row],[Crédit]])</f>
        <v>4325.0499999999984</v>
      </c>
      <c r="O238" s="27" t="e">
        <f>IF(TableauCB[[#This Row],[Etat]]="xc",O237-TableauCB[[#This Row],[Débit]]+TableauCB[[#This Row],[Crédit]],O237-TableauCB[[#This Row],[Débit]])</f>
        <v>#VALUE!</v>
      </c>
      <c r="P238" s="27">
        <f>IF(AND(ISBLANK(TableauCB[[#This Row],[Débit]]),ISBLANK(TableauCB[[#This Row],[Crédit]])),"",P237+TableauCB[[#This Row],[Crédit]]-TableauCB[[#This Row],[Débit]])</f>
        <v>4325.0499999999984</v>
      </c>
      <c r="Q238" s="26"/>
      <c r="R238" s="76"/>
      <c r="S238" s="76"/>
    </row>
    <row r="239" spans="2:32" ht="30" hidden="1" customHeight="1">
      <c r="B239" s="71"/>
      <c r="C239" s="11" t="s">
        <v>33</v>
      </c>
      <c r="D239" s="11" t="s">
        <v>17</v>
      </c>
      <c r="E239" s="11"/>
      <c r="F239" s="34">
        <v>41893</v>
      </c>
      <c r="G239"/>
      <c r="H239"/>
      <c r="I239" s="32"/>
      <c r="J239"/>
      <c r="K239" s="31"/>
      <c r="L239" s="30">
        <v>20.79</v>
      </c>
      <c r="M239" s="29"/>
      <c r="N239" s="27">
        <f>IF(OR(TableauCB[[#This Row],[Etat]]="",TableauCB[[#This Row],[Etat]]="c"),IF(TableauCB[[#This Row],[Solde]]="","",N238),N238-TableauCB[[#This Row],[Débit]]+TableauCB[[#This Row],[Crédit]])</f>
        <v>4304.2599999999984</v>
      </c>
      <c r="O239" s="27" t="e">
        <f>IF(TableauCB[[#This Row],[Etat]]="xc",O238-TableauCB[[#This Row],[Débit]]+TableauCB[[#This Row],[Crédit]],O238-TableauCB[[#This Row],[Débit]])</f>
        <v>#VALUE!</v>
      </c>
      <c r="P239" s="27">
        <f>IF(AND(ISBLANK(TableauCB[[#This Row],[Débit]]),ISBLANK(TableauCB[[#This Row],[Crédit]])),"",P238+TableauCB[[#This Row],[Crédit]]-TableauCB[[#This Row],[Débit]])</f>
        <v>4304.2599999999984</v>
      </c>
      <c r="Q239" s="26"/>
    </row>
    <row r="240" spans="2:32" ht="30" hidden="1" customHeight="1">
      <c r="B240" s="71"/>
      <c r="C240" s="11" t="s">
        <v>33</v>
      </c>
      <c r="D240" s="11" t="s">
        <v>41</v>
      </c>
      <c r="E240" s="11"/>
      <c r="F240" s="34">
        <v>41901</v>
      </c>
      <c r="G240"/>
      <c r="H240"/>
      <c r="I240" s="32"/>
      <c r="J240"/>
      <c r="K240" s="31"/>
      <c r="L240" s="30">
        <v>124.36</v>
      </c>
      <c r="M240" s="29"/>
      <c r="N240" s="27">
        <f>IF(OR(TableauCB[[#This Row],[Etat]]="",TableauCB[[#This Row],[Etat]]="c"),IF(TableauCB[[#This Row],[Solde]]="","",N239),N239-TableauCB[[#This Row],[Débit]]+TableauCB[[#This Row],[Crédit]])</f>
        <v>4179.8999999999987</v>
      </c>
      <c r="O240" s="27" t="e">
        <f>IF(TableauCB[[#This Row],[Etat]]="xc",O239-TableauCB[[#This Row],[Débit]]+TableauCB[[#This Row],[Crédit]],O239-TableauCB[[#This Row],[Débit]])</f>
        <v>#VALUE!</v>
      </c>
      <c r="P240" s="27">
        <f>IF(AND(ISBLANK(TableauCB[[#This Row],[Débit]]),ISBLANK(TableauCB[[#This Row],[Crédit]])),"",P239+TableauCB[[#This Row],[Crédit]]-TableauCB[[#This Row],[Débit]])</f>
        <v>4179.8999999999987</v>
      </c>
      <c r="Q240" s="26"/>
      <c r="T240" s="10"/>
      <c r="U240" s="10"/>
      <c r="V240" s="9"/>
      <c r="W240" s="2"/>
      <c r="X240" s="9"/>
      <c r="Y240" s="8"/>
      <c r="Z240" s="7"/>
      <c r="AA240" s="55"/>
      <c r="AB240" s="54"/>
      <c r="AE240" s="76"/>
      <c r="AF240" s="76"/>
    </row>
    <row r="241" spans="2:32" ht="30" hidden="1" customHeight="1">
      <c r="B241" s="71"/>
      <c r="C241" s="11" t="s">
        <v>33</v>
      </c>
      <c r="D241" s="11" t="s">
        <v>11</v>
      </c>
      <c r="E241" s="11"/>
      <c r="F241" s="34">
        <v>41912</v>
      </c>
      <c r="G241"/>
      <c r="H241"/>
      <c r="I241" s="32"/>
      <c r="J241"/>
      <c r="K241" s="31"/>
      <c r="L241" s="30"/>
      <c r="M241" s="29">
        <v>108</v>
      </c>
      <c r="N241" s="27">
        <f>IF(OR(TableauCB[[#This Row],[Etat]]="",TableauCB[[#This Row],[Etat]]="c"),IF(TableauCB[[#This Row],[Solde]]="","",N240),N240-TableauCB[[#This Row],[Débit]]+TableauCB[[#This Row],[Crédit]])</f>
        <v>4287.8999999999987</v>
      </c>
      <c r="O241" s="27" t="e">
        <f>IF(TableauCB[[#This Row],[Etat]]="xc",O240-TableauCB[[#This Row],[Débit]]+TableauCB[[#This Row],[Crédit]],O240-TableauCB[[#This Row],[Débit]])</f>
        <v>#VALUE!</v>
      </c>
      <c r="P241" s="27">
        <f>IF(AND(ISBLANK(TableauCB[[#This Row],[Débit]]),ISBLANK(TableauCB[[#This Row],[Crédit]])),"",P240+TableauCB[[#This Row],[Crédit]]-TableauCB[[#This Row],[Débit]])</f>
        <v>4287.8999999999987</v>
      </c>
      <c r="Q241" s="26"/>
      <c r="T241" s="10"/>
      <c r="U241" s="10"/>
      <c r="V241" s="9"/>
      <c r="Y241" s="8"/>
      <c r="Z241" s="7"/>
      <c r="AA241" s="55"/>
      <c r="AB241" s="54"/>
      <c r="AE241" s="76"/>
      <c r="AF241" s="76"/>
    </row>
    <row r="242" spans="2:32" ht="30" hidden="1" customHeight="1">
      <c r="B242" s="71"/>
      <c r="C242" s="11" t="s">
        <v>33</v>
      </c>
      <c r="D242" s="11" t="s">
        <v>11</v>
      </c>
      <c r="E242" s="11"/>
      <c r="F242" s="34">
        <v>41912</v>
      </c>
      <c r="G242"/>
      <c r="H242"/>
      <c r="I242" s="32"/>
      <c r="J242"/>
      <c r="K242" s="31"/>
      <c r="L242" s="30"/>
      <c r="M242" s="29">
        <v>198</v>
      </c>
      <c r="N242" s="28">
        <f>IF(OR(TableauCB[[#This Row],[Etat]]="",TableauCB[[#This Row],[Etat]]="c"),IF(TableauCB[[#This Row],[Solde]]="","",N241),N241-TableauCB[[#This Row],[Débit]]+TableauCB[[#This Row],[Crédit]])</f>
        <v>4485.8999999999987</v>
      </c>
      <c r="O242" s="27" t="e">
        <f>IF(TableauCB[[#This Row],[Etat]]="xc",O241-TableauCB[[#This Row],[Débit]]+TableauCB[[#This Row],[Crédit]],O241-TableauCB[[#This Row],[Débit]])</f>
        <v>#VALUE!</v>
      </c>
      <c r="P242" s="27">
        <f>IF(AND(ISBLANK(TableauCB[[#This Row],[Débit]]),ISBLANK(TableauCB[[#This Row],[Crédit]])),"",P241+TableauCB[[#This Row],[Crédit]]-TableauCB[[#This Row],[Débit]])</f>
        <v>4485.8999999999987</v>
      </c>
      <c r="Q242" s="26"/>
      <c r="T242" s="10"/>
      <c r="U242" s="10"/>
      <c r="V242" s="9"/>
      <c r="Y242" s="8"/>
      <c r="Z242" s="7"/>
      <c r="AA242" s="55"/>
      <c r="AB242" s="54"/>
      <c r="AE242" s="76"/>
      <c r="AF242" s="76"/>
    </row>
    <row r="243" spans="2:32" ht="30" hidden="1" customHeight="1">
      <c r="B243" s="71"/>
      <c r="C243" s="11" t="s">
        <v>33</v>
      </c>
      <c r="D243" s="11" t="s">
        <v>11</v>
      </c>
      <c r="E243" s="11"/>
      <c r="F243" s="34">
        <v>41912</v>
      </c>
      <c r="G243"/>
      <c r="H243"/>
      <c r="I243" s="32"/>
      <c r="J243"/>
      <c r="K243" s="31"/>
      <c r="L243" s="30"/>
      <c r="M243" s="29">
        <v>151.80000000000001</v>
      </c>
      <c r="N243" s="28">
        <f>IF(OR(TableauCB[[#This Row],[Etat]]="",TableauCB[[#This Row],[Etat]]="c"),IF(TableauCB[[#This Row],[Solde]]="","",N242),N242-TableauCB[[#This Row],[Débit]]+TableauCB[[#This Row],[Crédit]])</f>
        <v>4637.6999999999989</v>
      </c>
      <c r="O243" s="27" t="e">
        <f>IF(TableauCB[[#This Row],[Etat]]="xc",O242-TableauCB[[#This Row],[Débit]]+TableauCB[[#This Row],[Crédit]],O242-TableauCB[[#This Row],[Débit]])</f>
        <v>#VALUE!</v>
      </c>
      <c r="P243" s="27">
        <f>IF(AND(ISBLANK(TableauCB[[#This Row],[Débit]]),ISBLANK(TableauCB[[#This Row],[Crédit]])),"",P242+TableauCB[[#This Row],[Crédit]]-TableauCB[[#This Row],[Débit]])</f>
        <v>4637.6999999999989</v>
      </c>
      <c r="Q243" s="26"/>
      <c r="T243" s="10"/>
      <c r="U243" s="10"/>
      <c r="V243" s="9"/>
      <c r="Y243" s="8"/>
      <c r="Z243" s="7"/>
      <c r="AA243" s="55"/>
      <c r="AB243" s="54"/>
      <c r="AE243" s="76"/>
      <c r="AF243" s="76"/>
    </row>
    <row r="244" spans="2:32" ht="30" hidden="1" customHeight="1">
      <c r="B244" s="71"/>
      <c r="C244" s="11" t="s">
        <v>33</v>
      </c>
      <c r="D244" s="11" t="s">
        <v>11</v>
      </c>
      <c r="E244" s="11"/>
      <c r="F244" s="34">
        <v>41912</v>
      </c>
      <c r="G244"/>
      <c r="H244"/>
      <c r="I244" s="60"/>
      <c r="J244"/>
      <c r="K244" s="31"/>
      <c r="L244" s="30"/>
      <c r="M244" s="29">
        <v>522</v>
      </c>
      <c r="N244" s="28">
        <f>IF(OR(TableauCB[[#This Row],[Etat]]="",TableauCB[[#This Row],[Etat]]="c"),IF(TableauCB[[#This Row],[Solde]]="","",N243),N243-TableauCB[[#This Row],[Débit]]+TableauCB[[#This Row],[Crédit]])</f>
        <v>5159.6999999999989</v>
      </c>
      <c r="O244" s="27" t="e">
        <f>IF(TableauCB[[#This Row],[Etat]]="xc",O243-TableauCB[[#This Row],[Débit]]+TableauCB[[#This Row],[Crédit]],O243-TableauCB[[#This Row],[Débit]])</f>
        <v>#VALUE!</v>
      </c>
      <c r="P244" s="27">
        <f>IF(AND(ISBLANK(TableauCB[[#This Row],[Débit]]),ISBLANK(TableauCB[[#This Row],[Crédit]])),"",P243+TableauCB[[#This Row],[Crédit]]-TableauCB[[#This Row],[Débit]])</f>
        <v>5159.6999999999989</v>
      </c>
      <c r="Q244" s="26"/>
      <c r="S244" s="41"/>
      <c r="T244" s="10"/>
      <c r="U244" s="10"/>
      <c r="V244" s="9"/>
      <c r="Y244" s="8"/>
      <c r="Z244" s="7"/>
      <c r="AA244" s="55"/>
      <c r="AB244" s="54"/>
      <c r="AE244" s="76"/>
      <c r="AF244" s="76"/>
    </row>
    <row r="245" spans="2:32" ht="30" hidden="1" customHeight="1">
      <c r="B245" s="71"/>
      <c r="C245" s="11" t="s">
        <v>33</v>
      </c>
      <c r="D245" s="11" t="s">
        <v>11</v>
      </c>
      <c r="E245" s="11"/>
      <c r="F245" s="34">
        <v>41912</v>
      </c>
      <c r="G245"/>
      <c r="H245"/>
      <c r="I245" s="60"/>
      <c r="J245"/>
      <c r="K245" s="31"/>
      <c r="L245" s="30"/>
      <c r="M245" s="29">
        <v>50.4</v>
      </c>
      <c r="N245" s="28">
        <f>IF(OR(TableauCB[[#This Row],[Etat]]="",TableauCB[[#This Row],[Etat]]="c"),IF(TableauCB[[#This Row],[Solde]]="","",N244),N244-TableauCB[[#This Row],[Débit]]+TableauCB[[#This Row],[Crédit]])</f>
        <v>5210.0999999999985</v>
      </c>
      <c r="O245" s="27" t="e">
        <f>IF(TableauCB[[#This Row],[Etat]]="xc",O244-TableauCB[[#This Row],[Débit]]+TableauCB[[#This Row],[Crédit]],O244-TableauCB[[#This Row],[Débit]])</f>
        <v>#VALUE!</v>
      </c>
      <c r="P245" s="27">
        <f>IF(AND(ISBLANK(TableauCB[[#This Row],[Débit]]),ISBLANK(TableauCB[[#This Row],[Crédit]])),"",P244+TableauCB[[#This Row],[Crédit]]-TableauCB[[#This Row],[Débit]])</f>
        <v>5210.0999999999985</v>
      </c>
      <c r="Q245" s="26"/>
      <c r="T245" s="10"/>
      <c r="U245" s="10"/>
      <c r="V245" s="9"/>
      <c r="Y245" s="8"/>
      <c r="Z245" s="7"/>
      <c r="AA245" s="55"/>
      <c r="AB245" s="54"/>
      <c r="AE245" s="76"/>
      <c r="AF245" s="76"/>
    </row>
    <row r="246" spans="2:32" ht="30" hidden="1" customHeight="1">
      <c r="B246" s="71"/>
      <c r="C246" s="11" t="s">
        <v>33</v>
      </c>
      <c r="D246" s="11" t="s">
        <v>11</v>
      </c>
      <c r="E246" s="11"/>
      <c r="F246" s="34">
        <v>41912</v>
      </c>
      <c r="G246"/>
      <c r="H246"/>
      <c r="I246" s="60"/>
      <c r="J246"/>
      <c r="K246" s="31"/>
      <c r="L246" s="30"/>
      <c r="M246" s="29">
        <v>288</v>
      </c>
      <c r="N246" s="28">
        <f>IF(OR(TableauCB[[#This Row],[Etat]]="",TableauCB[[#This Row],[Etat]]="c"),IF(TableauCB[[#This Row],[Solde]]="","",N245),N245-TableauCB[[#This Row],[Débit]]+TableauCB[[#This Row],[Crédit]])</f>
        <v>5498.0999999999985</v>
      </c>
      <c r="O246" s="27" t="e">
        <f>IF(TableauCB[[#This Row],[Etat]]="xc",O245-TableauCB[[#This Row],[Débit]]+TableauCB[[#This Row],[Crédit]],O245-TableauCB[[#This Row],[Débit]])</f>
        <v>#VALUE!</v>
      </c>
      <c r="P246" s="27">
        <f>IF(AND(ISBLANK(TableauCB[[#This Row],[Débit]]),ISBLANK(TableauCB[[#This Row],[Crédit]])),"",P245+TableauCB[[#This Row],[Crédit]]-TableauCB[[#This Row],[Débit]])</f>
        <v>5498.0999999999985</v>
      </c>
      <c r="Q246" s="26"/>
      <c r="T246" s="10"/>
      <c r="U246" s="10"/>
      <c r="V246" s="9"/>
      <c r="Y246" s="8"/>
      <c r="Z246" s="7"/>
      <c r="AA246" s="55"/>
      <c r="AB246" s="54"/>
      <c r="AE246" s="76"/>
      <c r="AF246" s="76"/>
    </row>
    <row r="247" spans="2:32" ht="30" hidden="1" customHeight="1">
      <c r="B247" s="71"/>
      <c r="C247" s="11" t="s">
        <v>33</v>
      </c>
      <c r="D247" s="11" t="s">
        <v>11</v>
      </c>
      <c r="E247" s="11"/>
      <c r="F247" s="34">
        <v>41912</v>
      </c>
      <c r="G247"/>
      <c r="H247"/>
      <c r="I247" s="60"/>
      <c r="J247"/>
      <c r="K247" s="31"/>
      <c r="L247" s="30"/>
      <c r="M247" s="29">
        <v>504</v>
      </c>
      <c r="N247" s="28">
        <f>IF(OR(TableauCB[[#This Row],[Etat]]="",TableauCB[[#This Row],[Etat]]="c"),IF(TableauCB[[#This Row],[Solde]]="","",N246),N246-TableauCB[[#This Row],[Débit]]+TableauCB[[#This Row],[Crédit]])</f>
        <v>6002.0999999999985</v>
      </c>
      <c r="O247" s="27" t="e">
        <f>IF(TableauCB[[#This Row],[Etat]]="xc",O246-TableauCB[[#This Row],[Débit]]+TableauCB[[#This Row],[Crédit]],O246-TableauCB[[#This Row],[Débit]])</f>
        <v>#VALUE!</v>
      </c>
      <c r="P247" s="27">
        <f>IF(AND(ISBLANK(TableauCB[[#This Row],[Débit]]),ISBLANK(TableauCB[[#This Row],[Crédit]])),"",P246+TableauCB[[#This Row],[Crédit]]-TableauCB[[#This Row],[Débit]])</f>
        <v>6002.0999999999985</v>
      </c>
      <c r="Q247" s="26"/>
      <c r="T247" s="10"/>
      <c r="U247" s="10"/>
      <c r="V247" s="9"/>
      <c r="Y247" s="8"/>
      <c r="Z247" s="7"/>
      <c r="AA247" s="55"/>
      <c r="AB247" s="54"/>
      <c r="AE247" s="76"/>
      <c r="AF247" s="76"/>
    </row>
    <row r="248" spans="2:32" ht="30" hidden="1" customHeight="1">
      <c r="B248" s="71"/>
      <c r="C248" s="11" t="s">
        <v>33</v>
      </c>
      <c r="D248" s="11" t="s">
        <v>5</v>
      </c>
      <c r="E248" s="11"/>
      <c r="F248" s="34">
        <v>41912</v>
      </c>
      <c r="G248"/>
      <c r="H248"/>
      <c r="I248" s="60"/>
      <c r="J248"/>
      <c r="K248" s="31"/>
      <c r="L248" s="30">
        <v>915.95</v>
      </c>
      <c r="M248" s="29"/>
      <c r="N248" s="28">
        <f>IF(OR(TableauCB[[#This Row],[Etat]]="",TableauCB[[#This Row],[Etat]]="c"),IF(TableauCB[[#This Row],[Solde]]="","",N247),N247-TableauCB[[#This Row],[Débit]]+TableauCB[[#This Row],[Crédit]])</f>
        <v>5086.1499999999987</v>
      </c>
      <c r="O248" s="27" t="e">
        <f>IF(TableauCB[[#This Row],[Etat]]="xc",O247-TableauCB[[#This Row],[Débit]]+TableauCB[[#This Row],[Crédit]],O247-TableauCB[[#This Row],[Débit]])</f>
        <v>#VALUE!</v>
      </c>
      <c r="P248" s="27">
        <f>IF(AND(ISBLANK(TableauCB[[#This Row],[Débit]]),ISBLANK(TableauCB[[#This Row],[Crédit]])),"",P247+TableauCB[[#This Row],[Crédit]]-TableauCB[[#This Row],[Débit]])</f>
        <v>5086.1499999999987</v>
      </c>
      <c r="Q248" s="26"/>
      <c r="T248" s="10"/>
      <c r="U248" s="10"/>
      <c r="V248" s="9"/>
      <c r="Y248" s="8"/>
      <c r="Z248" s="7"/>
      <c r="AA248" s="55"/>
      <c r="AB248" s="54"/>
      <c r="AE248" s="76"/>
      <c r="AF248" s="76"/>
    </row>
    <row r="249" spans="2:32" ht="30" hidden="1" customHeight="1">
      <c r="B249" s="71"/>
      <c r="C249" s="11" t="s">
        <v>33</v>
      </c>
      <c r="D249" s="11" t="s">
        <v>11</v>
      </c>
      <c r="E249" s="11"/>
      <c r="F249" s="34">
        <v>41912</v>
      </c>
      <c r="G249"/>
      <c r="H249"/>
      <c r="I249" s="60"/>
      <c r="J249"/>
      <c r="K249" s="31"/>
      <c r="L249" s="30"/>
      <c r="M249" s="29">
        <v>115.2</v>
      </c>
      <c r="N249" s="28">
        <f>IF(OR(TableauCB[[#This Row],[Etat]]="",TableauCB[[#This Row],[Etat]]="c"),IF(TableauCB[[#This Row],[Solde]]="","",N248),N248-TableauCB[[#This Row],[Débit]]+TableauCB[[#This Row],[Crédit]])</f>
        <v>5201.3499999999985</v>
      </c>
      <c r="O249" s="27" t="e">
        <f>IF(TableauCB[[#This Row],[Etat]]="xc",O248-TableauCB[[#This Row],[Débit]]+TableauCB[[#This Row],[Crédit]],O248-TableauCB[[#This Row],[Débit]])</f>
        <v>#VALUE!</v>
      </c>
      <c r="P249" s="27">
        <f>IF(AND(ISBLANK(TableauCB[[#This Row],[Débit]]),ISBLANK(TableauCB[[#This Row],[Crédit]])),"",P248+TableauCB[[#This Row],[Crédit]]-TableauCB[[#This Row],[Débit]])</f>
        <v>5201.3499999999985</v>
      </c>
      <c r="Q249" s="26"/>
      <c r="T249" s="10"/>
      <c r="U249" s="10"/>
      <c r="V249" s="9"/>
      <c r="Y249" s="8"/>
      <c r="Z249" s="7"/>
      <c r="AA249" s="55"/>
      <c r="AB249" s="54"/>
      <c r="AE249" s="76"/>
      <c r="AF249" s="76"/>
    </row>
    <row r="250" spans="2:32" ht="30" hidden="1" customHeight="1">
      <c r="B250" s="71"/>
      <c r="C250" s="11" t="s">
        <v>33</v>
      </c>
      <c r="D250" s="11" t="s">
        <v>5</v>
      </c>
      <c r="E250" s="11"/>
      <c r="F250" s="34">
        <v>41912</v>
      </c>
      <c r="G250"/>
      <c r="H250"/>
      <c r="I250" s="32"/>
      <c r="J250"/>
      <c r="K250" s="31"/>
      <c r="L250" s="30">
        <v>141.72999999999999</v>
      </c>
      <c r="M250" s="29"/>
      <c r="N250" s="28">
        <f>IF(OR(TableauCB[[#This Row],[Etat]]="",TableauCB[[#This Row],[Etat]]="c"),IF(TableauCB[[#This Row],[Solde]]="","",N249),N249-TableauCB[[#This Row],[Débit]]+TableauCB[[#This Row],[Crédit]])</f>
        <v>5059.619999999999</v>
      </c>
      <c r="O250" s="27" t="e">
        <f>IF(TableauCB[[#This Row],[Etat]]="xc",O249-TableauCB[[#This Row],[Débit]]+TableauCB[[#This Row],[Crédit]],O249-TableauCB[[#This Row],[Débit]])</f>
        <v>#VALUE!</v>
      </c>
      <c r="P250" s="27">
        <f>IF(AND(ISBLANK(TableauCB[[#This Row],[Débit]]),ISBLANK(TableauCB[[#This Row],[Crédit]])),"",P249+TableauCB[[#This Row],[Crédit]]-TableauCB[[#This Row],[Débit]])</f>
        <v>5059.619999999999</v>
      </c>
      <c r="Q250" s="26"/>
      <c r="T250" s="10"/>
      <c r="U250" s="10"/>
      <c r="V250" s="9"/>
      <c r="Y250" s="8"/>
      <c r="Z250" s="7"/>
      <c r="AA250" s="55"/>
      <c r="AB250" s="54"/>
      <c r="AE250" s="76"/>
      <c r="AF250" s="76"/>
    </row>
    <row r="251" spans="2:32" ht="30" hidden="1" customHeight="1" thickBot="1">
      <c r="B251" s="71"/>
      <c r="C251" s="11" t="s">
        <v>33</v>
      </c>
      <c r="D251" s="11" t="s">
        <v>5</v>
      </c>
      <c r="E251" s="11"/>
      <c r="F251" s="34">
        <v>41912</v>
      </c>
      <c r="G251"/>
      <c r="H251"/>
      <c r="I251" s="60"/>
      <c r="J251"/>
      <c r="K251" s="31"/>
      <c r="L251" s="30">
        <v>160.63</v>
      </c>
      <c r="M251" s="29"/>
      <c r="N251" s="28">
        <f>IF(OR(TableauCB[[#This Row],[Etat]]="",TableauCB[[#This Row],[Etat]]="c"),IF(TableauCB[[#This Row],[Solde]]="","",N250),N250-TableauCB[[#This Row],[Débit]]+TableauCB[[#This Row],[Crédit]])</f>
        <v>4898.9899999999989</v>
      </c>
      <c r="O251" s="27" t="e">
        <f>IF(TableauCB[[#This Row],[Etat]]="xc",O250-TableauCB[[#This Row],[Débit]]+TableauCB[[#This Row],[Crédit]],O250-TableauCB[[#This Row],[Débit]])</f>
        <v>#VALUE!</v>
      </c>
      <c r="P251" s="27">
        <f>IF(AND(ISBLANK(TableauCB[[#This Row],[Débit]]),ISBLANK(TableauCB[[#This Row],[Crédit]])),"",P250+TableauCB[[#This Row],[Crédit]]-TableauCB[[#This Row],[Débit]])</f>
        <v>4898.9899999999989</v>
      </c>
      <c r="Q251" s="26"/>
      <c r="R251" s="47" t="s">
        <v>54</v>
      </c>
      <c r="S251" s="47" t="s">
        <v>53</v>
      </c>
      <c r="T251" s="10"/>
      <c r="U251" s="8"/>
      <c r="V251" s="9"/>
      <c r="Y251" s="8"/>
      <c r="Z251" s="7"/>
      <c r="AA251" s="55"/>
      <c r="AB251" s="54"/>
      <c r="AE251" s="76"/>
      <c r="AF251" s="76"/>
    </row>
    <row r="252" spans="2:32" ht="30" hidden="1" customHeight="1" thickBot="1">
      <c r="B252" s="70"/>
      <c r="C252" s="11" t="s">
        <v>33</v>
      </c>
      <c r="D252" s="11" t="s">
        <v>9</v>
      </c>
      <c r="E252" s="11"/>
      <c r="F252" s="34">
        <v>41912</v>
      </c>
      <c r="G252"/>
      <c r="H252"/>
      <c r="I252" s="32"/>
      <c r="J252"/>
      <c r="K252" s="31"/>
      <c r="L252" s="30">
        <v>240</v>
      </c>
      <c r="M252" s="29"/>
      <c r="N252" s="28">
        <f>IF(OR(TableauCB[[#This Row],[Etat]]="",TableauCB[[#This Row],[Etat]]="c"),IF(TableauCB[[#This Row],[Solde]]="","",N251),N251-TableauCB[[#This Row],[Débit]]+TableauCB[[#This Row],[Crédit]])</f>
        <v>4658.9899999999989</v>
      </c>
      <c r="O252" s="27" t="e">
        <f>IF(TableauCB[[#This Row],[Etat]]="xc",O251-TableauCB[[#This Row],[Débit]]+TableauCB[[#This Row],[Crédit]],O251-TableauCB[[#This Row],[Débit]])</f>
        <v>#VALUE!</v>
      </c>
      <c r="P252" s="27">
        <f>IF(AND(ISBLANK(TableauCB[[#This Row],[Débit]]),ISBLANK(TableauCB[[#This Row],[Crédit]])),"",P251+TableauCB[[#This Row],[Crédit]]-TableauCB[[#This Row],[Débit]])</f>
        <v>4658.9899999999989</v>
      </c>
      <c r="Q252" s="26"/>
      <c r="R252" s="25">
        <f>SUM(M236:M252)-SUM(L236:L252)</f>
        <v>-646.62999999999965</v>
      </c>
      <c r="S252" s="25">
        <f>R252/1.2</f>
        <v>-538.85833333333312</v>
      </c>
      <c r="T252" s="10"/>
      <c r="U252" s="10"/>
      <c r="V252" s="9"/>
      <c r="Y252" s="8"/>
      <c r="Z252" s="7"/>
      <c r="AA252" s="55"/>
      <c r="AB252" s="54"/>
      <c r="AE252" s="76"/>
      <c r="AF252" s="76"/>
    </row>
    <row r="253" spans="2:32" ht="30" hidden="1" customHeight="1">
      <c r="B253" s="77" t="s">
        <v>83</v>
      </c>
      <c r="C253" s="68" t="s">
        <v>33</v>
      </c>
      <c r="D253" s="68" t="s">
        <v>58</v>
      </c>
      <c r="E253" s="68"/>
      <c r="F253" s="67">
        <v>41913</v>
      </c>
      <c r="G253"/>
      <c r="H253"/>
      <c r="I253" s="66"/>
      <c r="J253"/>
      <c r="K253" s="65"/>
      <c r="L253" s="64">
        <v>60</v>
      </c>
      <c r="M253" s="63"/>
      <c r="N253" s="62">
        <f>IF(OR(TableauCB[[#This Row],[Etat]]="",TableauCB[[#This Row],[Etat]]="c"),IF(TableauCB[[#This Row],[Solde]]="","",N252),N252-TableauCB[[#This Row],[Débit]]+TableauCB[[#This Row],[Crédit]])</f>
        <v>4598.9899999999989</v>
      </c>
      <c r="O253" s="61" t="e">
        <f>IF(TableauCB[[#This Row],[Etat]]="xc",O252-TableauCB[[#This Row],[Débit]]+TableauCB[[#This Row],[Crédit]],O252-TableauCB[[#This Row],[Débit]])</f>
        <v>#VALUE!</v>
      </c>
      <c r="P253" s="61">
        <f>IF(AND(ISBLANK(TableauCB[[#This Row],[Débit]]),ISBLANK(TableauCB[[#This Row],[Crédit]])),"",P252+TableauCB[[#This Row],[Crédit]]-TableauCB[[#This Row],[Débit]])</f>
        <v>4598.9899999999989</v>
      </c>
      <c r="Q253" s="26"/>
      <c r="T253" s="10"/>
      <c r="U253" s="10"/>
      <c r="V253" s="9"/>
      <c r="Y253" s="8"/>
      <c r="Z253" s="7"/>
      <c r="AA253" s="55"/>
      <c r="AB253" s="54"/>
      <c r="AE253" s="76"/>
      <c r="AF253" s="76"/>
    </row>
    <row r="254" spans="2:32" ht="30" hidden="1" customHeight="1">
      <c r="B254" s="75"/>
      <c r="C254" s="11" t="s">
        <v>33</v>
      </c>
      <c r="D254" s="11" t="s">
        <v>21</v>
      </c>
      <c r="E254" s="11"/>
      <c r="F254" s="34">
        <v>41913</v>
      </c>
      <c r="G254"/>
      <c r="H254"/>
      <c r="I254" s="32"/>
      <c r="J254"/>
      <c r="K254" s="31"/>
      <c r="L254" s="30">
        <v>4.92</v>
      </c>
      <c r="M254" s="29"/>
      <c r="N254" s="28">
        <f>IF(OR(TableauCB[[#This Row],[Etat]]="",TableauCB[[#This Row],[Etat]]="c"),IF(TableauCB[[#This Row],[Solde]]="","",N253),N253-TableauCB[[#This Row],[Débit]]+TableauCB[[#This Row],[Crédit]])</f>
        <v>4594.0699999999988</v>
      </c>
      <c r="O254" s="27" t="e">
        <f>IF(TableauCB[[#This Row],[Etat]]="xc",O253-TableauCB[[#This Row],[Débit]]+TableauCB[[#This Row],[Crédit]],O253-TableauCB[[#This Row],[Débit]])</f>
        <v>#VALUE!</v>
      </c>
      <c r="P254" s="27">
        <f>IF(AND(ISBLANK(TableauCB[[#This Row],[Débit]]),ISBLANK(TableauCB[[#This Row],[Crédit]])),"",P253+TableauCB[[#This Row],[Crédit]]-TableauCB[[#This Row],[Débit]])</f>
        <v>4594.0699999999988</v>
      </c>
      <c r="Q254" s="26"/>
      <c r="T254" s="10"/>
      <c r="U254" s="10"/>
      <c r="V254" s="9"/>
      <c r="Y254" s="8"/>
      <c r="Z254" s="7"/>
      <c r="AA254" s="55"/>
      <c r="AB254" s="54"/>
      <c r="AE254" s="76"/>
      <c r="AF254" s="76"/>
    </row>
    <row r="255" spans="2:32" ht="30" hidden="1" customHeight="1">
      <c r="B255" s="75"/>
      <c r="C255" s="11" t="s">
        <v>33</v>
      </c>
      <c r="D255" s="11" t="s">
        <v>9</v>
      </c>
      <c r="E255" s="11"/>
      <c r="F255" s="34">
        <v>41913</v>
      </c>
      <c r="G255"/>
      <c r="H255"/>
      <c r="I255" s="32"/>
      <c r="J255"/>
      <c r="K255" s="31"/>
      <c r="L255" s="30">
        <v>7.08</v>
      </c>
      <c r="M255" s="29"/>
      <c r="N255" s="28">
        <f>IF(OR(TableauCB[[#This Row],[Etat]]="",TableauCB[[#This Row],[Etat]]="c"),IF(TableauCB[[#This Row],[Solde]]="","",N254),N254-TableauCB[[#This Row],[Débit]]+TableauCB[[#This Row],[Crédit]])</f>
        <v>4586.9899999999989</v>
      </c>
      <c r="O255" s="27" t="e">
        <f>IF(TableauCB[[#This Row],[Etat]]="xc",O254-TableauCB[[#This Row],[Débit]]+TableauCB[[#This Row],[Crédit]],O254-TableauCB[[#This Row],[Débit]])</f>
        <v>#VALUE!</v>
      </c>
      <c r="P255" s="27">
        <f>IF(AND(ISBLANK(TableauCB[[#This Row],[Débit]]),ISBLANK(TableauCB[[#This Row],[Crédit]])),"",P254+TableauCB[[#This Row],[Crédit]]-TableauCB[[#This Row],[Débit]])</f>
        <v>4586.9899999999989</v>
      </c>
      <c r="Q255" s="26"/>
      <c r="T255" s="10"/>
      <c r="U255" s="10"/>
      <c r="V255" s="9"/>
      <c r="Y255" s="8"/>
      <c r="Z255" s="7"/>
      <c r="AA255" s="55"/>
      <c r="AB255" s="54"/>
      <c r="AE255" s="76"/>
      <c r="AF255" s="76"/>
    </row>
    <row r="256" spans="2:32" ht="30" hidden="1" customHeight="1">
      <c r="B256" s="75"/>
      <c r="C256" s="11" t="s">
        <v>33</v>
      </c>
      <c r="D256" s="11" t="s">
        <v>17</v>
      </c>
      <c r="E256" s="11"/>
      <c r="F256" s="34">
        <v>41914</v>
      </c>
      <c r="G256"/>
      <c r="H256"/>
      <c r="I256" s="32"/>
      <c r="J256"/>
      <c r="K256" s="31"/>
      <c r="L256" s="30">
        <v>10.11</v>
      </c>
      <c r="M256" s="29"/>
      <c r="N256" s="28">
        <f>IF(OR(TableauCB[[#This Row],[Etat]]="",TableauCB[[#This Row],[Etat]]="c"),IF(TableauCB[[#This Row],[Solde]]="","",N255),N255-TableauCB[[#This Row],[Débit]]+TableauCB[[#This Row],[Crédit]])</f>
        <v>4576.8799999999992</v>
      </c>
      <c r="O256" s="27" t="e">
        <f>IF(TableauCB[[#This Row],[Etat]]="xc",O255-TableauCB[[#This Row],[Débit]]+TableauCB[[#This Row],[Crédit]],O255-TableauCB[[#This Row],[Débit]])</f>
        <v>#VALUE!</v>
      </c>
      <c r="P256" s="27">
        <f>IF(AND(ISBLANK(TableauCB[[#This Row],[Débit]]),ISBLANK(TableauCB[[#This Row],[Crédit]])),"",P255+TableauCB[[#This Row],[Crédit]]-TableauCB[[#This Row],[Débit]])</f>
        <v>4576.8799999999992</v>
      </c>
      <c r="Q256" s="26"/>
      <c r="T256" s="10"/>
      <c r="U256" s="10"/>
      <c r="V256" s="9"/>
      <c r="Y256" s="8"/>
      <c r="Z256" s="7"/>
      <c r="AA256" s="55"/>
      <c r="AB256" s="54"/>
      <c r="AE256" s="76"/>
      <c r="AF256" s="76"/>
    </row>
    <row r="257" spans="2:32" ht="30" hidden="1" customHeight="1">
      <c r="B257" s="75"/>
      <c r="C257" s="11" t="s">
        <v>33</v>
      </c>
      <c r="D257" s="11" t="s">
        <v>37</v>
      </c>
      <c r="E257" s="11"/>
      <c r="F257" s="34">
        <v>41916</v>
      </c>
      <c r="G257"/>
      <c r="H257"/>
      <c r="I257" s="32"/>
      <c r="J257"/>
      <c r="K257" s="31"/>
      <c r="L257" s="30">
        <v>49.85</v>
      </c>
      <c r="M257" s="29"/>
      <c r="N257" s="28">
        <f>IF(OR(TableauCB[[#This Row],[Etat]]="",TableauCB[[#This Row],[Etat]]="c"),IF(TableauCB[[#This Row],[Solde]]="","",N256),N256-TableauCB[[#This Row],[Débit]]+TableauCB[[#This Row],[Crédit]])</f>
        <v>4527.0299999999988</v>
      </c>
      <c r="O257" s="27" t="e">
        <f>IF(TableauCB[[#This Row],[Etat]]="xc",O256-TableauCB[[#This Row],[Débit]]+TableauCB[[#This Row],[Crédit]],O256-TableauCB[[#This Row],[Débit]])</f>
        <v>#VALUE!</v>
      </c>
      <c r="P257" s="27">
        <f>IF(AND(ISBLANK(TableauCB[[#This Row],[Débit]]),ISBLANK(TableauCB[[#This Row],[Crédit]])),"",P256+TableauCB[[#This Row],[Crédit]]-TableauCB[[#This Row],[Débit]])</f>
        <v>4527.0299999999988</v>
      </c>
      <c r="Q257" s="26"/>
      <c r="T257" s="10"/>
      <c r="U257" s="10"/>
      <c r="V257" s="9"/>
      <c r="Y257" s="8"/>
      <c r="Z257" s="7"/>
      <c r="AA257" s="55"/>
      <c r="AB257" s="54"/>
      <c r="AE257" s="76"/>
      <c r="AF257" s="76"/>
    </row>
    <row r="258" spans="2:32" ht="30" hidden="1" customHeight="1">
      <c r="B258" s="75"/>
      <c r="C258" s="11" t="s">
        <v>33</v>
      </c>
      <c r="D258" s="11" t="s">
        <v>45</v>
      </c>
      <c r="E258" s="11"/>
      <c r="F258" s="34">
        <v>41918</v>
      </c>
      <c r="G258"/>
      <c r="H258"/>
      <c r="I258" s="32"/>
      <c r="J258"/>
      <c r="K258" s="31"/>
      <c r="L258" s="30"/>
      <c r="M258" s="29">
        <v>315</v>
      </c>
      <c r="N258" s="28">
        <f>IF(OR(TableauCB[[#This Row],[Etat]]="",TableauCB[[#This Row],[Etat]]="c"),IF(TableauCB[[#This Row],[Solde]]="","",N257),N257-TableauCB[[#This Row],[Débit]]+TableauCB[[#This Row],[Crédit]])</f>
        <v>4842.0299999999988</v>
      </c>
      <c r="O258" s="27" t="e">
        <f>IF(TableauCB[[#This Row],[Etat]]="xc",O257-TableauCB[[#This Row],[Débit]]+TableauCB[[#This Row],[Crédit]],O257-TableauCB[[#This Row],[Débit]])</f>
        <v>#VALUE!</v>
      </c>
      <c r="P258" s="27">
        <f>IF(AND(ISBLANK(TableauCB[[#This Row],[Débit]]),ISBLANK(TableauCB[[#This Row],[Crédit]])),"",P257+TableauCB[[#This Row],[Crédit]]-TableauCB[[#This Row],[Débit]])</f>
        <v>4842.0299999999988</v>
      </c>
      <c r="Q258" s="26"/>
      <c r="T258" s="10"/>
      <c r="U258" s="10"/>
      <c r="V258" s="9"/>
      <c r="W258" s="2"/>
      <c r="X258" s="9"/>
      <c r="Y258" s="8"/>
      <c r="Z258" s="7"/>
      <c r="AA258" s="55"/>
      <c r="AB258" s="54"/>
    </row>
    <row r="259" spans="2:32" ht="30" hidden="1" customHeight="1">
      <c r="B259" s="75"/>
      <c r="C259" s="11" t="s">
        <v>33</v>
      </c>
      <c r="D259" s="11" t="s">
        <v>17</v>
      </c>
      <c r="E259" s="11"/>
      <c r="F259" s="34">
        <v>41919</v>
      </c>
      <c r="G259"/>
      <c r="H259"/>
      <c r="I259" s="32"/>
      <c r="J259"/>
      <c r="K259" s="31"/>
      <c r="L259" s="30">
        <v>16.07</v>
      </c>
      <c r="M259" s="29"/>
      <c r="N259" s="28">
        <f>IF(OR(TableauCB[[#This Row],[Etat]]="",TableauCB[[#This Row],[Etat]]="c"),IF(TableauCB[[#This Row],[Solde]]="","",N258),N258-TableauCB[[#This Row],[Débit]]+TableauCB[[#This Row],[Crédit]])</f>
        <v>4825.9599999999991</v>
      </c>
      <c r="O259" s="27" t="e">
        <f>IF(TableauCB[[#This Row],[Etat]]="xc",O258-TableauCB[[#This Row],[Débit]]+TableauCB[[#This Row],[Crédit]],O258-TableauCB[[#This Row],[Débit]])</f>
        <v>#VALUE!</v>
      </c>
      <c r="P259" s="27">
        <f>IF(AND(ISBLANK(TableauCB[[#This Row],[Débit]]),ISBLANK(TableauCB[[#This Row],[Crédit]])),"",P258+TableauCB[[#This Row],[Crédit]]-TableauCB[[#This Row],[Débit]])</f>
        <v>4825.9599999999991</v>
      </c>
      <c r="Q259" s="26"/>
      <c r="T259" s="10"/>
      <c r="U259" s="10"/>
      <c r="V259" s="9"/>
      <c r="Y259" s="8"/>
      <c r="Z259" s="7"/>
      <c r="AA259" s="55"/>
      <c r="AB259" s="54"/>
      <c r="AE259" s="76"/>
      <c r="AF259" s="76"/>
    </row>
    <row r="260" spans="2:32" ht="30" hidden="1" customHeight="1">
      <c r="B260" s="75"/>
      <c r="C260" s="11" t="s">
        <v>33</v>
      </c>
      <c r="D260" s="11" t="s">
        <v>21</v>
      </c>
      <c r="E260" s="11"/>
      <c r="F260" s="34">
        <v>41920</v>
      </c>
      <c r="G260"/>
      <c r="H260"/>
      <c r="I260" s="32"/>
      <c r="J260"/>
      <c r="K260" s="31"/>
      <c r="L260" s="30">
        <v>21.9</v>
      </c>
      <c r="M260" s="29"/>
      <c r="N260" s="28">
        <f>IF(OR(TableauCB[[#This Row],[Etat]]="",TableauCB[[#This Row],[Etat]]="c"),IF(TableauCB[[#This Row],[Solde]]="","",N259),N259-TableauCB[[#This Row],[Débit]]+TableauCB[[#This Row],[Crédit]])</f>
        <v>4804.0599999999995</v>
      </c>
      <c r="O260" s="27" t="e">
        <f>IF(TableauCB[[#This Row],[Etat]]="xc",O259-TableauCB[[#This Row],[Débit]]+TableauCB[[#This Row],[Crédit]],O259-TableauCB[[#This Row],[Débit]])</f>
        <v>#VALUE!</v>
      </c>
      <c r="P260" s="27">
        <f>IF(AND(ISBLANK(TableauCB[[#This Row],[Débit]]),ISBLANK(TableauCB[[#This Row],[Crédit]])),"",P259+TableauCB[[#This Row],[Crédit]]-TableauCB[[#This Row],[Débit]])</f>
        <v>4804.0599999999995</v>
      </c>
      <c r="Q260" s="26"/>
      <c r="T260" s="10"/>
      <c r="U260" s="10"/>
      <c r="V260" s="9"/>
      <c r="Y260" s="8"/>
      <c r="Z260" s="7"/>
      <c r="AA260" s="55"/>
      <c r="AB260" s="54"/>
      <c r="AE260" s="76"/>
      <c r="AF260" s="76"/>
    </row>
    <row r="261" spans="2:32" ht="30" hidden="1" customHeight="1">
      <c r="B261" s="75"/>
      <c r="C261" s="11" t="s">
        <v>33</v>
      </c>
      <c r="D261" s="11" t="s">
        <v>15</v>
      </c>
      <c r="E261" s="11"/>
      <c r="F261" s="34">
        <v>41926</v>
      </c>
      <c r="G261"/>
      <c r="H261"/>
      <c r="I261" s="60"/>
      <c r="J261"/>
      <c r="K261" s="31"/>
      <c r="L261" s="30">
        <v>37</v>
      </c>
      <c r="M261" s="29"/>
      <c r="N261" s="28">
        <f>IF(OR(TableauCB[[#This Row],[Etat]]="",TableauCB[[#This Row],[Etat]]="c"),IF(TableauCB[[#This Row],[Solde]]="","",N260),N260-TableauCB[[#This Row],[Débit]]+TableauCB[[#This Row],[Crédit]])</f>
        <v>4767.0599999999995</v>
      </c>
      <c r="O261" s="27" t="e">
        <f>IF(TableauCB[[#This Row],[Etat]]="xc",O260-TableauCB[[#This Row],[Débit]]+TableauCB[[#This Row],[Crédit]],O260-TableauCB[[#This Row],[Débit]])</f>
        <v>#VALUE!</v>
      </c>
      <c r="P261" s="27">
        <f>IF(AND(ISBLANK(TableauCB[[#This Row],[Débit]]),ISBLANK(TableauCB[[#This Row],[Crédit]])),"",P260+TableauCB[[#This Row],[Crédit]]-TableauCB[[#This Row],[Débit]])</f>
        <v>4767.0599999999995</v>
      </c>
      <c r="Q261" s="26"/>
      <c r="T261" s="10"/>
      <c r="U261" s="10"/>
      <c r="V261" s="9"/>
      <c r="Y261" s="8"/>
      <c r="Z261" s="7"/>
      <c r="AA261" s="55"/>
      <c r="AB261" s="54"/>
      <c r="AE261" s="76"/>
      <c r="AF261" s="76"/>
    </row>
    <row r="262" spans="2:32" ht="30" hidden="1" customHeight="1">
      <c r="B262" s="75"/>
      <c r="C262" s="11" t="s">
        <v>33</v>
      </c>
      <c r="D262" s="11" t="s">
        <v>15</v>
      </c>
      <c r="E262" s="11"/>
      <c r="F262" s="34">
        <v>41926</v>
      </c>
      <c r="G262"/>
      <c r="H262"/>
      <c r="I262" s="60"/>
      <c r="J262"/>
      <c r="K262" s="31"/>
      <c r="L262" s="30">
        <v>613</v>
      </c>
      <c r="M262" s="29"/>
      <c r="N262" s="28">
        <f>IF(OR(TableauCB[[#This Row],[Etat]]="",TableauCB[[#This Row],[Etat]]="c"),IF(TableauCB[[#This Row],[Solde]]="","",N261),N261-TableauCB[[#This Row],[Débit]]+TableauCB[[#This Row],[Crédit]])</f>
        <v>4154.0599999999995</v>
      </c>
      <c r="O262" s="27" t="e">
        <f>IF(TableauCB[[#This Row],[Etat]]="xc",O261-TableauCB[[#This Row],[Débit]]+TableauCB[[#This Row],[Crédit]],O261-TableauCB[[#This Row],[Débit]])</f>
        <v>#VALUE!</v>
      </c>
      <c r="P262" s="27">
        <f>IF(AND(ISBLANK(TableauCB[[#This Row],[Débit]]),ISBLANK(TableauCB[[#This Row],[Crédit]])),"",P261+TableauCB[[#This Row],[Crédit]]-TableauCB[[#This Row],[Débit]])</f>
        <v>4154.0599999999995</v>
      </c>
      <c r="Q262" s="26"/>
      <c r="T262" s="10"/>
      <c r="U262" s="10"/>
      <c r="V262" s="9"/>
      <c r="Y262" s="8"/>
      <c r="Z262" s="7"/>
      <c r="AA262" s="55"/>
      <c r="AB262" s="54"/>
      <c r="AE262" s="76"/>
      <c r="AF262" s="76"/>
    </row>
    <row r="263" spans="2:32" ht="30" hidden="1" customHeight="1">
      <c r="B263" s="75"/>
      <c r="C263" s="11" t="s">
        <v>33</v>
      </c>
      <c r="D263" s="11" t="s">
        <v>15</v>
      </c>
      <c r="E263" s="11"/>
      <c r="F263" s="34">
        <v>41926</v>
      </c>
      <c r="G263"/>
      <c r="H263"/>
      <c r="I263" s="60"/>
      <c r="J263"/>
      <c r="K263" s="31"/>
      <c r="L263" s="30">
        <v>180</v>
      </c>
      <c r="M263" s="29"/>
      <c r="N263" s="28">
        <f>IF(OR(TableauCB[[#This Row],[Etat]]="",TableauCB[[#This Row],[Etat]]="c"),IF(TableauCB[[#This Row],[Solde]]="","",N262),N262-TableauCB[[#This Row],[Débit]]+TableauCB[[#This Row],[Crédit]])</f>
        <v>3974.0599999999995</v>
      </c>
      <c r="O263" s="27" t="e">
        <f>IF(TableauCB[[#This Row],[Etat]]="xc",O262-TableauCB[[#This Row],[Débit]]+TableauCB[[#This Row],[Crédit]],O262-TableauCB[[#This Row],[Débit]])</f>
        <v>#VALUE!</v>
      </c>
      <c r="P263" s="27">
        <f>IF(AND(ISBLANK(TableauCB[[#This Row],[Débit]]),ISBLANK(TableauCB[[#This Row],[Crédit]])),"",P262+TableauCB[[#This Row],[Crédit]]-TableauCB[[#This Row],[Débit]])</f>
        <v>3974.0599999999995</v>
      </c>
      <c r="Q263" s="26"/>
      <c r="T263" s="10"/>
      <c r="U263" s="10"/>
      <c r="V263" s="9"/>
      <c r="Y263" s="8"/>
      <c r="Z263" s="7"/>
      <c r="AA263" s="55"/>
      <c r="AB263" s="54"/>
      <c r="AE263" s="76"/>
      <c r="AF263" s="76"/>
    </row>
    <row r="264" spans="2:32" ht="30" hidden="1" customHeight="1">
      <c r="B264" s="75"/>
      <c r="C264" s="11" t="s">
        <v>33</v>
      </c>
      <c r="D264" s="11" t="s">
        <v>15</v>
      </c>
      <c r="E264" s="11"/>
      <c r="F264" s="34">
        <v>41926</v>
      </c>
      <c r="G264"/>
      <c r="H264"/>
      <c r="I264" s="60"/>
      <c r="J264"/>
      <c r="K264" s="31"/>
      <c r="L264" s="30">
        <v>458.52</v>
      </c>
      <c r="M264" s="29"/>
      <c r="N264" s="28">
        <f>IF(OR(TableauCB[[#This Row],[Etat]]="",TableauCB[[#This Row],[Etat]]="c"),IF(TableauCB[[#This Row],[Solde]]="","",N263),N263-TableauCB[[#This Row],[Débit]]+TableauCB[[#This Row],[Crédit]])</f>
        <v>3515.5399999999995</v>
      </c>
      <c r="O264" s="27" t="e">
        <f>IF(TableauCB[[#This Row],[Etat]]="xc",O263-TableauCB[[#This Row],[Débit]]+TableauCB[[#This Row],[Crédit]],O263-TableauCB[[#This Row],[Débit]])</f>
        <v>#VALUE!</v>
      </c>
      <c r="P264" s="27">
        <f>IF(AND(ISBLANK(TableauCB[[#This Row],[Débit]]),ISBLANK(TableauCB[[#This Row],[Crédit]])),"",P263+TableauCB[[#This Row],[Crédit]]-TableauCB[[#This Row],[Débit]])</f>
        <v>3515.5399999999995</v>
      </c>
      <c r="Q264" s="26"/>
      <c r="T264" s="10"/>
      <c r="U264" s="10"/>
      <c r="V264" s="9"/>
      <c r="Y264" s="8"/>
      <c r="Z264" s="7"/>
      <c r="AA264" s="55"/>
      <c r="AB264" s="54"/>
      <c r="AE264" s="76"/>
      <c r="AF264" s="76"/>
    </row>
    <row r="265" spans="2:32" ht="30" hidden="1" customHeight="1">
      <c r="B265" s="75"/>
      <c r="C265" s="11" t="s">
        <v>33</v>
      </c>
      <c r="D265" s="11" t="s">
        <v>9</v>
      </c>
      <c r="E265" s="11"/>
      <c r="F265" s="34">
        <v>41927</v>
      </c>
      <c r="G265"/>
      <c r="H265"/>
      <c r="I265" s="60"/>
      <c r="J265"/>
      <c r="K265" s="31"/>
      <c r="L265" s="30">
        <v>3.06</v>
      </c>
      <c r="M265" s="29"/>
      <c r="N265" s="28">
        <f>IF(OR(TableauCB[[#This Row],[Etat]]="",TableauCB[[#This Row],[Etat]]="c"),IF(TableauCB[[#This Row],[Solde]]="","",N264),N264-TableauCB[[#This Row],[Débit]]+TableauCB[[#This Row],[Crédit]])</f>
        <v>3512.4799999999996</v>
      </c>
      <c r="O265" s="27" t="e">
        <f>IF(TableauCB[[#This Row],[Etat]]="xc",O264-TableauCB[[#This Row],[Débit]]+TableauCB[[#This Row],[Crédit]],O264-TableauCB[[#This Row],[Débit]])</f>
        <v>#VALUE!</v>
      </c>
      <c r="P265" s="27">
        <f>IF(AND(ISBLANK(TableauCB[[#This Row],[Débit]]),ISBLANK(TableauCB[[#This Row],[Crédit]])),"",P264+TableauCB[[#This Row],[Crédit]]-TableauCB[[#This Row],[Débit]])</f>
        <v>3512.4799999999996</v>
      </c>
      <c r="Q265" s="26"/>
      <c r="T265" s="10"/>
      <c r="U265" s="10"/>
      <c r="V265" s="9"/>
      <c r="Y265" s="8"/>
      <c r="Z265" s="7"/>
      <c r="AA265" s="55"/>
      <c r="AB265" s="54"/>
      <c r="AE265" s="76"/>
      <c r="AF265" s="76"/>
    </row>
    <row r="266" spans="2:32" ht="30" hidden="1" customHeight="1">
      <c r="B266" s="75"/>
      <c r="C266" s="11" t="s">
        <v>33</v>
      </c>
      <c r="D266" s="11" t="s">
        <v>21</v>
      </c>
      <c r="E266" s="11"/>
      <c r="F266" s="34">
        <v>41931</v>
      </c>
      <c r="G266"/>
      <c r="H266"/>
      <c r="I266" s="60"/>
      <c r="J266"/>
      <c r="K266" s="31"/>
      <c r="L266" s="30"/>
      <c r="M266" s="29">
        <v>80</v>
      </c>
      <c r="N266" s="28">
        <f>IF(OR(TableauCB[[#This Row],[Etat]]="",TableauCB[[#This Row],[Etat]]="c"),IF(TableauCB[[#This Row],[Solde]]="","",N265),N265-TableauCB[[#This Row],[Débit]]+TableauCB[[#This Row],[Crédit]])</f>
        <v>3592.4799999999996</v>
      </c>
      <c r="O266" s="27" t="e">
        <f>IF(TableauCB[[#This Row],[Etat]]="xc",O265-TableauCB[[#This Row],[Débit]]+TableauCB[[#This Row],[Crédit]],O265-TableauCB[[#This Row],[Débit]])</f>
        <v>#VALUE!</v>
      </c>
      <c r="P266" s="27">
        <f>IF(AND(ISBLANK(TableauCB[[#This Row],[Débit]]),ISBLANK(TableauCB[[#This Row],[Crédit]])),"",P265+TableauCB[[#This Row],[Crédit]]-TableauCB[[#This Row],[Débit]])</f>
        <v>3592.4799999999996</v>
      </c>
      <c r="Q266" s="26"/>
      <c r="T266" s="10"/>
      <c r="U266" s="10"/>
      <c r="V266" s="9"/>
      <c r="Y266" s="8"/>
      <c r="Z266" s="7"/>
      <c r="AA266" s="55"/>
      <c r="AB266" s="54"/>
      <c r="AE266" s="76"/>
      <c r="AF266" s="76"/>
    </row>
    <row r="267" spans="2:32" ht="30" hidden="1" customHeight="1">
      <c r="B267" s="75"/>
      <c r="C267" s="11" t="s">
        <v>33</v>
      </c>
      <c r="D267" s="11" t="s">
        <v>30</v>
      </c>
      <c r="E267" s="11"/>
      <c r="F267" s="34">
        <v>41932</v>
      </c>
      <c r="G267"/>
      <c r="H267"/>
      <c r="I267" s="32"/>
      <c r="J267"/>
      <c r="K267" s="31"/>
      <c r="L267" s="30">
        <v>1599.01</v>
      </c>
      <c r="M267" s="29"/>
      <c r="N267" s="28">
        <f>IF(OR(TableauCB[[#This Row],[Etat]]="",TableauCB[[#This Row],[Etat]]="c"),IF(TableauCB[[#This Row],[Solde]]="","",N266),N266-TableauCB[[#This Row],[Débit]]+TableauCB[[#This Row],[Crédit]])</f>
        <v>1993.4699999999996</v>
      </c>
      <c r="O267" s="27" t="e">
        <f>IF(TableauCB[[#This Row],[Etat]]="xc",O266-TableauCB[[#This Row],[Débit]]+TableauCB[[#This Row],[Crédit]],O266-TableauCB[[#This Row],[Débit]])</f>
        <v>#VALUE!</v>
      </c>
      <c r="P267" s="27">
        <f>IF(AND(ISBLANK(TableauCB[[#This Row],[Débit]]),ISBLANK(TableauCB[[#This Row],[Crédit]])),"",P266+TableauCB[[#This Row],[Crédit]]-TableauCB[[#This Row],[Débit]])</f>
        <v>1993.4699999999996</v>
      </c>
      <c r="Q267" s="26"/>
      <c r="T267" s="10"/>
      <c r="U267" s="10"/>
      <c r="V267" s="9"/>
      <c r="Y267" s="8"/>
      <c r="Z267" s="7"/>
      <c r="AA267" s="55"/>
      <c r="AB267" s="54"/>
      <c r="AE267" s="76"/>
      <c r="AF267" s="76"/>
    </row>
    <row r="268" spans="2:32" ht="30" hidden="1" customHeight="1">
      <c r="B268" s="75"/>
      <c r="C268" s="11" t="s">
        <v>33</v>
      </c>
      <c r="D268" s="11" t="s">
        <v>41</v>
      </c>
      <c r="E268" s="11"/>
      <c r="F268" s="34">
        <v>41934</v>
      </c>
      <c r="G268"/>
      <c r="H268"/>
      <c r="I268" s="32"/>
      <c r="J268"/>
      <c r="K268" s="31"/>
      <c r="L268" s="30">
        <v>266.76</v>
      </c>
      <c r="M268" s="29"/>
      <c r="N268" s="28">
        <f>IF(OR(TableauCB[[#This Row],[Etat]]="",TableauCB[[#This Row],[Etat]]="c"),IF(TableauCB[[#This Row],[Solde]]="","",N267),N267-TableauCB[[#This Row],[Débit]]+TableauCB[[#This Row],[Crédit]])</f>
        <v>1726.7099999999996</v>
      </c>
      <c r="O268" s="27" t="e">
        <f>IF(TableauCB[[#This Row],[Etat]]="xc",O267-TableauCB[[#This Row],[Débit]]+TableauCB[[#This Row],[Crédit]],O267-TableauCB[[#This Row],[Débit]])</f>
        <v>#VALUE!</v>
      </c>
      <c r="P268" s="27">
        <f>IF(AND(ISBLANK(TableauCB[[#This Row],[Débit]]),ISBLANK(TableauCB[[#This Row],[Crédit]])),"",P267+TableauCB[[#This Row],[Crédit]]-TableauCB[[#This Row],[Débit]])</f>
        <v>1726.7099999999996</v>
      </c>
      <c r="Q268" s="26"/>
      <c r="S268" s="41"/>
      <c r="T268" s="10"/>
      <c r="U268" s="10"/>
      <c r="V268" s="9"/>
      <c r="Y268" s="8"/>
      <c r="Z268" s="7"/>
      <c r="AA268" s="55"/>
      <c r="AB268" s="54"/>
      <c r="AE268" s="76"/>
      <c r="AF268" s="76"/>
    </row>
    <row r="269" spans="2:32" ht="30" hidden="1" customHeight="1">
      <c r="B269" s="75"/>
      <c r="C269" s="11" t="s">
        <v>33</v>
      </c>
      <c r="D269" s="11" t="s">
        <v>21</v>
      </c>
      <c r="E269" s="11"/>
      <c r="F269" s="34">
        <v>41941</v>
      </c>
      <c r="G269"/>
      <c r="H269"/>
      <c r="I269" s="32"/>
      <c r="J269"/>
      <c r="K269" s="31"/>
      <c r="L269" s="30">
        <v>8.65</v>
      </c>
      <c r="M269" s="29"/>
      <c r="N269" s="28">
        <f>IF(OR(TableauCB[[#This Row],[Etat]]="",TableauCB[[#This Row],[Etat]]="c"),IF(TableauCB[[#This Row],[Solde]]="","",N268),N268-TableauCB[[#This Row],[Débit]]+TableauCB[[#This Row],[Crédit]])</f>
        <v>1718.0599999999995</v>
      </c>
      <c r="O269" s="27" t="e">
        <f>IF(TableauCB[[#This Row],[Etat]]="xc",O268-TableauCB[[#This Row],[Débit]]+TableauCB[[#This Row],[Crédit]],O268-TableauCB[[#This Row],[Débit]])</f>
        <v>#VALUE!</v>
      </c>
      <c r="P269" s="27">
        <f>IF(AND(ISBLANK(TableauCB[[#This Row],[Débit]]),ISBLANK(TableauCB[[#This Row],[Crédit]])),"",P268+TableauCB[[#This Row],[Crédit]]-TableauCB[[#This Row],[Débit]])</f>
        <v>1718.0599999999995</v>
      </c>
      <c r="Q269" s="26"/>
      <c r="T269" s="10"/>
      <c r="U269" s="10"/>
      <c r="V269" s="9"/>
      <c r="W269" s="2"/>
      <c r="X269" s="9"/>
      <c r="Y269" s="8"/>
      <c r="Z269" s="7"/>
      <c r="AA269" s="55"/>
      <c r="AB269" s="54"/>
      <c r="AE269" s="76"/>
      <c r="AF269" s="76"/>
    </row>
    <row r="270" spans="2:32" ht="30" hidden="1" customHeight="1">
      <c r="B270" s="75"/>
      <c r="C270" s="11" t="s">
        <v>33</v>
      </c>
      <c r="D270" s="11" t="s">
        <v>11</v>
      </c>
      <c r="E270" s="11"/>
      <c r="F270" s="34">
        <v>41942</v>
      </c>
      <c r="G270"/>
      <c r="H270"/>
      <c r="I270" s="32"/>
      <c r="J270"/>
      <c r="K270" s="31"/>
      <c r="L270" s="30"/>
      <c r="M270" s="29">
        <v>108</v>
      </c>
      <c r="N270" s="28">
        <f>IF(OR(TableauCB[[#This Row],[Etat]]="",TableauCB[[#This Row],[Etat]]="c"),IF(TableauCB[[#This Row],[Solde]]="","",N269),N269-TableauCB[[#This Row],[Débit]]+TableauCB[[#This Row],[Crédit]])</f>
        <v>1826.0599999999995</v>
      </c>
      <c r="O270" s="27" t="e">
        <f>IF(TableauCB[[#This Row],[Etat]]="xc",O269-TableauCB[[#This Row],[Débit]]+TableauCB[[#This Row],[Crédit]],O269-TableauCB[[#This Row],[Débit]])</f>
        <v>#VALUE!</v>
      </c>
      <c r="P270" s="27">
        <f>IF(AND(ISBLANK(TableauCB[[#This Row],[Débit]]),ISBLANK(TableauCB[[#This Row],[Crédit]])),"",P269+TableauCB[[#This Row],[Crédit]]-TableauCB[[#This Row],[Débit]])</f>
        <v>1826.0599999999995</v>
      </c>
      <c r="Q270" s="26"/>
      <c r="T270" s="10"/>
      <c r="U270" s="10"/>
      <c r="V270" s="9"/>
      <c r="W270" s="2"/>
      <c r="X270" s="9"/>
      <c r="Y270" s="8"/>
      <c r="Z270" s="7"/>
      <c r="AA270" s="55"/>
      <c r="AB270" s="54"/>
    </row>
    <row r="271" spans="2:32" ht="30" hidden="1" customHeight="1">
      <c r="B271" s="75"/>
      <c r="C271" s="11" t="s">
        <v>33</v>
      </c>
      <c r="D271" s="11" t="s">
        <v>11</v>
      </c>
      <c r="E271" s="11"/>
      <c r="F271" s="34">
        <v>41942</v>
      </c>
      <c r="G271"/>
      <c r="H271"/>
      <c r="I271" s="60"/>
      <c r="J271"/>
      <c r="K271" s="31"/>
      <c r="L271" s="30"/>
      <c r="M271" s="29">
        <v>198</v>
      </c>
      <c r="N271" s="28">
        <f>IF(OR(TableauCB[[#This Row],[Etat]]="",TableauCB[[#This Row],[Etat]]="c"),IF(TableauCB[[#This Row],[Solde]]="","",N270),N270-TableauCB[[#This Row],[Débit]]+TableauCB[[#This Row],[Crédit]])</f>
        <v>2024.0599999999995</v>
      </c>
      <c r="O271" s="27" t="e">
        <f>IF(TableauCB[[#This Row],[Etat]]="xc",O270-TableauCB[[#This Row],[Débit]]+TableauCB[[#This Row],[Crédit]],O270-TableauCB[[#This Row],[Débit]])</f>
        <v>#VALUE!</v>
      </c>
      <c r="P271" s="27">
        <f>IF(AND(ISBLANK(TableauCB[[#This Row],[Débit]]),ISBLANK(TableauCB[[#This Row],[Crédit]])),"",P270+TableauCB[[#This Row],[Crédit]]-TableauCB[[#This Row],[Débit]])</f>
        <v>2024.0599999999995</v>
      </c>
      <c r="Q271" s="26"/>
      <c r="T271" s="10"/>
      <c r="U271" s="10"/>
      <c r="V271" s="6"/>
      <c r="W271" s="2"/>
      <c r="X271" s="9"/>
      <c r="Y271" s="8"/>
      <c r="Z271" s="7"/>
      <c r="AA271" s="55"/>
      <c r="AB271" s="54"/>
    </row>
    <row r="272" spans="2:32" ht="30" hidden="1" customHeight="1">
      <c r="B272" s="75"/>
      <c r="C272" s="11" t="s">
        <v>33</v>
      </c>
      <c r="D272" s="11" t="s">
        <v>11</v>
      </c>
      <c r="E272" s="11"/>
      <c r="F272" s="34">
        <v>41942</v>
      </c>
      <c r="G272"/>
      <c r="H272"/>
      <c r="I272" s="60"/>
      <c r="J272"/>
      <c r="K272" s="31"/>
      <c r="L272" s="30"/>
      <c r="M272" s="29">
        <v>151.80000000000001</v>
      </c>
      <c r="N272" s="28">
        <f>IF(OR(TableauCB[[#This Row],[Etat]]="",TableauCB[[#This Row],[Etat]]="c"),IF(TableauCB[[#This Row],[Solde]]="","",N271),N271-TableauCB[[#This Row],[Débit]]+TableauCB[[#This Row],[Crédit]])</f>
        <v>2175.8599999999997</v>
      </c>
      <c r="O272" s="27" t="e">
        <f>IF(TableauCB[[#This Row],[Etat]]="xc",O271-TableauCB[[#This Row],[Débit]]+TableauCB[[#This Row],[Crédit]],O271-TableauCB[[#This Row],[Débit]])</f>
        <v>#VALUE!</v>
      </c>
      <c r="P272" s="27">
        <f>IF(AND(ISBLANK(TableauCB[[#This Row],[Débit]]),ISBLANK(TableauCB[[#This Row],[Crédit]])),"",P271+TableauCB[[#This Row],[Crédit]]-TableauCB[[#This Row],[Débit]])</f>
        <v>2175.8599999999997</v>
      </c>
      <c r="Q272" s="26"/>
      <c r="T272" s="10"/>
      <c r="U272" s="10"/>
      <c r="V272" s="9"/>
      <c r="W272" s="2"/>
      <c r="X272" s="9"/>
      <c r="Y272" s="8"/>
      <c r="Z272" s="7"/>
      <c r="AA272" s="55"/>
      <c r="AB272" s="54"/>
    </row>
    <row r="273" spans="2:28" ht="30" hidden="1" customHeight="1">
      <c r="B273" s="75"/>
      <c r="C273" s="11" t="s">
        <v>33</v>
      </c>
      <c r="D273" s="11" t="s">
        <v>11</v>
      </c>
      <c r="E273" s="11"/>
      <c r="F273" s="34">
        <v>41942</v>
      </c>
      <c r="G273"/>
      <c r="H273"/>
      <c r="I273" s="60"/>
      <c r="J273"/>
      <c r="K273" s="31"/>
      <c r="L273" s="30"/>
      <c r="M273" s="29">
        <v>522</v>
      </c>
      <c r="N273" s="28">
        <f>IF(OR(TableauCB[[#This Row],[Etat]]="",TableauCB[[#This Row],[Etat]]="c"),IF(TableauCB[[#This Row],[Solde]]="","",N272),N272-TableauCB[[#This Row],[Débit]]+TableauCB[[#This Row],[Crédit]])</f>
        <v>2697.8599999999997</v>
      </c>
      <c r="O273" s="27" t="e">
        <f>IF(TableauCB[[#This Row],[Etat]]="xc",O272-TableauCB[[#This Row],[Débit]]+TableauCB[[#This Row],[Crédit]],O272-TableauCB[[#This Row],[Débit]])</f>
        <v>#VALUE!</v>
      </c>
      <c r="P273" s="27">
        <f>IF(AND(ISBLANK(TableauCB[[#This Row],[Débit]]),ISBLANK(TableauCB[[#This Row],[Crédit]])),"",P272+TableauCB[[#This Row],[Crédit]]-TableauCB[[#This Row],[Débit]])</f>
        <v>2697.8599999999997</v>
      </c>
      <c r="Q273" s="26"/>
      <c r="T273" s="10"/>
      <c r="U273" s="10"/>
      <c r="V273" s="9"/>
      <c r="W273" s="2"/>
      <c r="X273" s="9"/>
      <c r="Y273" s="8"/>
      <c r="Z273" s="7"/>
      <c r="AA273" s="55"/>
      <c r="AB273" s="54"/>
    </row>
    <row r="274" spans="2:28" ht="30" hidden="1" customHeight="1">
      <c r="B274" s="75"/>
      <c r="C274" s="11" t="s">
        <v>33</v>
      </c>
      <c r="D274" s="11" t="s">
        <v>11</v>
      </c>
      <c r="E274" s="11"/>
      <c r="F274" s="34">
        <v>41942</v>
      </c>
      <c r="G274"/>
      <c r="H274"/>
      <c r="I274" s="60"/>
      <c r="J274"/>
      <c r="K274" s="31"/>
      <c r="L274" s="30"/>
      <c r="M274" s="29">
        <v>50.4</v>
      </c>
      <c r="N274" s="28">
        <f>IF(OR(TableauCB[[#This Row],[Etat]]="",TableauCB[[#This Row],[Etat]]="c"),IF(TableauCB[[#This Row],[Solde]]="","",N273),N273-TableauCB[[#This Row],[Débit]]+TableauCB[[#This Row],[Crédit]])</f>
        <v>2748.2599999999998</v>
      </c>
      <c r="O274" s="27" t="e">
        <f>IF(TableauCB[[#This Row],[Etat]]="xc",O273-TableauCB[[#This Row],[Débit]]+TableauCB[[#This Row],[Crédit]],O273-TableauCB[[#This Row],[Débit]])</f>
        <v>#VALUE!</v>
      </c>
      <c r="P274" s="27">
        <f>IF(AND(ISBLANK(TableauCB[[#This Row],[Débit]]),ISBLANK(TableauCB[[#This Row],[Crédit]])),"",P273+TableauCB[[#This Row],[Crédit]]-TableauCB[[#This Row],[Débit]])</f>
        <v>2748.2599999999998</v>
      </c>
      <c r="Q274" s="26"/>
      <c r="T274" s="10"/>
      <c r="U274" s="10"/>
      <c r="V274" s="9"/>
      <c r="W274" s="2"/>
      <c r="X274" s="9"/>
      <c r="Y274" s="8"/>
      <c r="Z274" s="7"/>
      <c r="AA274" s="55"/>
      <c r="AB274" s="54"/>
    </row>
    <row r="275" spans="2:28" ht="30" hidden="1" customHeight="1">
      <c r="B275" s="75"/>
      <c r="C275" s="11" t="s">
        <v>33</v>
      </c>
      <c r="D275" s="11" t="s">
        <v>11</v>
      </c>
      <c r="E275" s="11"/>
      <c r="F275" s="34">
        <v>41942</v>
      </c>
      <c r="G275"/>
      <c r="H275"/>
      <c r="I275" s="60"/>
      <c r="J275"/>
      <c r="K275" s="31"/>
      <c r="L275" s="30"/>
      <c r="M275" s="29">
        <v>288</v>
      </c>
      <c r="N275" s="28">
        <f>IF(OR(TableauCB[[#This Row],[Etat]]="",TableauCB[[#This Row],[Etat]]="c"),IF(TableauCB[[#This Row],[Solde]]="","",N274),N274-TableauCB[[#This Row],[Débit]]+TableauCB[[#This Row],[Crédit]])</f>
        <v>3036.2599999999998</v>
      </c>
      <c r="O275" s="27" t="e">
        <f>IF(TableauCB[[#This Row],[Etat]]="xc",O274-TableauCB[[#This Row],[Débit]]+TableauCB[[#This Row],[Crédit]],O274-TableauCB[[#This Row],[Débit]])</f>
        <v>#VALUE!</v>
      </c>
      <c r="P275" s="27">
        <f>IF(AND(ISBLANK(TableauCB[[#This Row],[Débit]]),ISBLANK(TableauCB[[#This Row],[Crédit]])),"",P274+TableauCB[[#This Row],[Crédit]]-TableauCB[[#This Row],[Débit]])</f>
        <v>3036.2599999999998</v>
      </c>
      <c r="Q275" s="26"/>
      <c r="T275" s="10"/>
      <c r="U275" s="10"/>
      <c r="V275" s="9"/>
      <c r="W275" s="2"/>
      <c r="X275" s="9"/>
      <c r="Y275" s="8"/>
      <c r="Z275" s="7"/>
      <c r="AA275" s="55"/>
      <c r="AB275" s="54"/>
    </row>
    <row r="276" spans="2:28" ht="30" hidden="1" customHeight="1">
      <c r="B276" s="75"/>
      <c r="C276" s="11" t="s">
        <v>33</v>
      </c>
      <c r="D276" s="11" t="s">
        <v>11</v>
      </c>
      <c r="E276" s="11"/>
      <c r="F276" s="34">
        <v>41942</v>
      </c>
      <c r="G276"/>
      <c r="H276"/>
      <c r="I276" s="60"/>
      <c r="J276"/>
      <c r="K276" s="31"/>
      <c r="L276" s="30"/>
      <c r="M276" s="29">
        <v>504</v>
      </c>
      <c r="N276" s="28">
        <f>IF(OR(TableauCB[[#This Row],[Etat]]="",TableauCB[[#This Row],[Etat]]="c"),IF(TableauCB[[#This Row],[Solde]]="","",N275),N275-TableauCB[[#This Row],[Débit]]+TableauCB[[#This Row],[Crédit]])</f>
        <v>3540.2599999999998</v>
      </c>
      <c r="O276" s="27" t="e">
        <f>IF(TableauCB[[#This Row],[Etat]]="xc",O275-TableauCB[[#This Row],[Débit]]+TableauCB[[#This Row],[Crédit]],O275-TableauCB[[#This Row],[Débit]])</f>
        <v>#VALUE!</v>
      </c>
      <c r="P276" s="27">
        <f>IF(AND(ISBLANK(TableauCB[[#This Row],[Débit]]),ISBLANK(TableauCB[[#This Row],[Crédit]])),"",P275+TableauCB[[#This Row],[Crédit]]-TableauCB[[#This Row],[Débit]])</f>
        <v>3540.2599999999998</v>
      </c>
      <c r="Q276" s="26"/>
      <c r="T276" s="10"/>
      <c r="U276" s="10"/>
      <c r="V276" s="9"/>
      <c r="W276" s="2"/>
      <c r="X276" s="9"/>
      <c r="Y276" s="8"/>
      <c r="Z276" s="7"/>
      <c r="AA276" s="55"/>
      <c r="AB276" s="54"/>
    </row>
    <row r="277" spans="2:28" ht="30" hidden="1" customHeight="1">
      <c r="B277" s="75"/>
      <c r="C277" s="11" t="s">
        <v>33</v>
      </c>
      <c r="D277" s="11" t="s">
        <v>11</v>
      </c>
      <c r="E277" s="11"/>
      <c r="F277" s="34">
        <v>41942</v>
      </c>
      <c r="G277"/>
      <c r="H277"/>
      <c r="I277" s="60"/>
      <c r="J277"/>
      <c r="K277" s="31"/>
      <c r="L277" s="30"/>
      <c r="M277" s="29">
        <v>115.2</v>
      </c>
      <c r="N277" s="28">
        <f>IF(OR(TableauCB[[#This Row],[Etat]]="",TableauCB[[#This Row],[Etat]]="c"),IF(TableauCB[[#This Row],[Solde]]="","",N276),N276-TableauCB[[#This Row],[Débit]]+TableauCB[[#This Row],[Crédit]])</f>
        <v>3655.4599999999996</v>
      </c>
      <c r="O277" s="27" t="e">
        <f>IF(TableauCB[[#This Row],[Etat]]="xc",O276-TableauCB[[#This Row],[Débit]]+TableauCB[[#This Row],[Crédit]],O276-TableauCB[[#This Row],[Débit]])</f>
        <v>#VALUE!</v>
      </c>
      <c r="P277" s="27">
        <f>IF(AND(ISBLANK(TableauCB[[#This Row],[Débit]]),ISBLANK(TableauCB[[#This Row],[Crédit]])),"",P276+TableauCB[[#This Row],[Crédit]]-TableauCB[[#This Row],[Débit]])</f>
        <v>3655.4599999999996</v>
      </c>
      <c r="Q277" s="26"/>
      <c r="T277" s="10"/>
      <c r="U277" s="10"/>
      <c r="V277" s="9"/>
      <c r="W277" s="2"/>
      <c r="X277" s="9"/>
      <c r="Y277" s="8"/>
      <c r="Z277" s="7"/>
      <c r="AA277" s="55"/>
      <c r="AB277" s="54"/>
    </row>
    <row r="278" spans="2:28" ht="30" hidden="1" customHeight="1">
      <c r="B278" s="75"/>
      <c r="C278" s="11" t="s">
        <v>33</v>
      </c>
      <c r="D278" s="11" t="s">
        <v>11</v>
      </c>
      <c r="E278" s="11"/>
      <c r="F278" s="34">
        <v>41942</v>
      </c>
      <c r="G278"/>
      <c r="H278"/>
      <c r="I278" s="32"/>
      <c r="J278"/>
      <c r="K278" s="31"/>
      <c r="L278" s="30"/>
      <c r="M278" s="29">
        <v>192</v>
      </c>
      <c r="N278" s="28">
        <f>IF(OR(TableauCB[[#This Row],[Etat]]="",TableauCB[[#This Row],[Etat]]="c"),IF(TableauCB[[#This Row],[Solde]]="","",N277),N277-TableauCB[[#This Row],[Débit]]+TableauCB[[#This Row],[Crédit]])</f>
        <v>3847.4599999999996</v>
      </c>
      <c r="O278" s="27" t="e">
        <f>IF(TableauCB[[#This Row],[Etat]]="xc",O277-TableauCB[[#This Row],[Débit]]+TableauCB[[#This Row],[Crédit]],O277-TableauCB[[#This Row],[Débit]])</f>
        <v>#VALUE!</v>
      </c>
      <c r="P278" s="27">
        <f>IF(AND(ISBLANK(TableauCB[[#This Row],[Débit]]),ISBLANK(TableauCB[[#This Row],[Crédit]])),"",P277+TableauCB[[#This Row],[Crédit]]-TableauCB[[#This Row],[Débit]])</f>
        <v>3847.4599999999996</v>
      </c>
      <c r="Q278" s="26"/>
      <c r="T278" s="10"/>
      <c r="U278" s="8"/>
      <c r="V278" s="9"/>
      <c r="W278" s="2"/>
      <c r="X278" s="9"/>
      <c r="Y278" s="8"/>
      <c r="Z278" s="7"/>
      <c r="AA278" s="55"/>
      <c r="AB278" s="54"/>
    </row>
    <row r="279" spans="2:28" ht="30" hidden="1" customHeight="1">
      <c r="B279" s="75"/>
      <c r="C279" s="11" t="s">
        <v>33</v>
      </c>
      <c r="D279" s="11" t="s">
        <v>5</v>
      </c>
      <c r="E279" s="11"/>
      <c r="F279" s="34">
        <v>41942</v>
      </c>
      <c r="G279"/>
      <c r="H279"/>
      <c r="I279" s="60"/>
      <c r="J279"/>
      <c r="K279" s="31"/>
      <c r="L279" s="30">
        <v>343.5</v>
      </c>
      <c r="M279" s="29"/>
      <c r="N279" s="28">
        <f>IF(OR(TableauCB[[#This Row],[Etat]]="",TableauCB[[#This Row],[Etat]]="c"),IF(TableauCB[[#This Row],[Solde]]="","",N278),N278-TableauCB[[#This Row],[Débit]]+TableauCB[[#This Row],[Crédit]])</f>
        <v>3503.9599999999996</v>
      </c>
      <c r="O279" s="27" t="e">
        <f>IF(TableauCB[[#This Row],[Etat]]="xc",O278-TableauCB[[#This Row],[Débit]]+TableauCB[[#This Row],[Crédit]],O278-TableauCB[[#This Row],[Débit]])</f>
        <v>#VALUE!</v>
      </c>
      <c r="P279" s="27">
        <f>IF(AND(ISBLANK(TableauCB[[#This Row],[Débit]]),ISBLANK(TableauCB[[#This Row],[Crédit]])),"",P278+TableauCB[[#This Row],[Crédit]]-TableauCB[[#This Row],[Débit]])</f>
        <v>3503.9599999999996</v>
      </c>
      <c r="Q279" s="26"/>
      <c r="T279" s="10"/>
      <c r="U279" s="10"/>
      <c r="V279" s="9"/>
      <c r="W279" s="2"/>
      <c r="X279" s="9"/>
      <c r="Y279" s="8"/>
      <c r="Z279" s="7"/>
      <c r="AA279" s="55"/>
      <c r="AB279" s="54"/>
    </row>
    <row r="280" spans="2:28" ht="30" hidden="1" customHeight="1" thickBot="1">
      <c r="B280" s="75"/>
      <c r="C280" s="11" t="s">
        <v>33</v>
      </c>
      <c r="D280" s="11" t="s">
        <v>5</v>
      </c>
      <c r="E280" s="11"/>
      <c r="F280" s="34">
        <v>41942</v>
      </c>
      <c r="G280"/>
      <c r="H280"/>
      <c r="I280" s="32"/>
      <c r="J280"/>
      <c r="K280" s="31"/>
      <c r="L280" s="30">
        <v>343.87</v>
      </c>
      <c r="M280" s="29"/>
      <c r="N280" s="28">
        <f>IF(OR(TableauCB[[#This Row],[Etat]]="",TableauCB[[#This Row],[Etat]]="c"),IF(TableauCB[[#This Row],[Solde]]="","",N279),N279-TableauCB[[#This Row],[Débit]]+TableauCB[[#This Row],[Crédit]])</f>
        <v>3160.0899999999997</v>
      </c>
      <c r="O280" s="27" t="e">
        <f>IF(TableauCB[[#This Row],[Etat]]="xc",O279-TableauCB[[#This Row],[Débit]]+TableauCB[[#This Row],[Crédit]],O279-TableauCB[[#This Row],[Débit]])</f>
        <v>#VALUE!</v>
      </c>
      <c r="P280" s="27">
        <f>IF(AND(ISBLANK(TableauCB[[#This Row],[Débit]]),ISBLANK(TableauCB[[#This Row],[Crédit]])),"",P279+TableauCB[[#This Row],[Crédit]]-TableauCB[[#This Row],[Débit]])</f>
        <v>3160.0899999999997</v>
      </c>
      <c r="Q280" s="26"/>
      <c r="R280" s="47" t="s">
        <v>54</v>
      </c>
      <c r="S280" s="47" t="s">
        <v>53</v>
      </c>
      <c r="T280" s="10"/>
      <c r="U280" s="10"/>
      <c r="V280" s="9"/>
      <c r="W280" s="2"/>
      <c r="X280" s="9"/>
      <c r="Y280" s="8"/>
      <c r="Z280" s="7"/>
      <c r="AA280" s="55"/>
      <c r="AB280" s="54"/>
    </row>
    <row r="281" spans="2:28" ht="30" hidden="1" customHeight="1" thickBot="1">
      <c r="B281" s="74"/>
      <c r="C281" s="11" t="s">
        <v>33</v>
      </c>
      <c r="D281" s="11" t="s">
        <v>9</v>
      </c>
      <c r="E281" s="11"/>
      <c r="F281" s="34">
        <v>41942</v>
      </c>
      <c r="G281"/>
      <c r="H281"/>
      <c r="I281" s="32"/>
      <c r="J281"/>
      <c r="K281" s="31"/>
      <c r="L281" s="30">
        <v>240</v>
      </c>
      <c r="M281" s="29"/>
      <c r="N281" s="28">
        <f>IF(OR(TableauCB[[#This Row],[Etat]]="",TableauCB[[#This Row],[Etat]]="c"),IF(TableauCB[[#This Row],[Solde]]="","",N280),N280-TableauCB[[#This Row],[Débit]]+TableauCB[[#This Row],[Crédit]])</f>
        <v>2920.0899999999997</v>
      </c>
      <c r="O281" s="27" t="e">
        <f>IF(TableauCB[[#This Row],[Etat]]="xc",O280-TableauCB[[#This Row],[Débit]]+TableauCB[[#This Row],[Crédit]],O280-TableauCB[[#This Row],[Débit]])</f>
        <v>#VALUE!</v>
      </c>
      <c r="P281" s="27">
        <f>IF(AND(ISBLANK(TableauCB[[#This Row],[Débit]]),ISBLANK(TableauCB[[#This Row],[Crédit]])),"",P280+TableauCB[[#This Row],[Crédit]]-TableauCB[[#This Row],[Débit]])</f>
        <v>2920.0899999999997</v>
      </c>
      <c r="Q281" s="26"/>
      <c r="R281" s="25">
        <f>SUM(M253:M281)-SUM(L253:L281)</f>
        <v>-1738.8999999999996</v>
      </c>
      <c r="S281" s="25">
        <f>R281/1.2</f>
        <v>-1449.083333333333</v>
      </c>
      <c r="T281" s="10"/>
      <c r="U281" s="10"/>
      <c r="V281" s="9"/>
      <c r="W281" s="2"/>
      <c r="X281" s="9"/>
      <c r="Y281" s="8"/>
      <c r="Z281" s="7"/>
      <c r="AA281" s="55"/>
      <c r="AB281" s="54"/>
    </row>
    <row r="282" spans="2:28" ht="30" hidden="1" customHeight="1">
      <c r="B282" s="73" t="s">
        <v>81</v>
      </c>
      <c r="C282" s="68" t="s">
        <v>33</v>
      </c>
      <c r="D282" s="68" t="s">
        <v>21</v>
      </c>
      <c r="E282" s="68"/>
      <c r="F282" s="67">
        <v>41948</v>
      </c>
      <c r="G282"/>
      <c r="H282"/>
      <c r="I282" s="66"/>
      <c r="J282"/>
      <c r="K282" s="65"/>
      <c r="L282" s="64">
        <v>21.9</v>
      </c>
      <c r="M282" s="63"/>
      <c r="N282" s="62">
        <f>IF(OR(TableauCB[[#This Row],[Etat]]="",TableauCB[[#This Row],[Etat]]="c"),IF(TableauCB[[#This Row],[Solde]]="","",N281),N281-TableauCB[[#This Row],[Débit]]+TableauCB[[#This Row],[Crédit]])</f>
        <v>2898.1899999999996</v>
      </c>
      <c r="O282" s="61" t="e">
        <f>IF(TableauCB[[#This Row],[Etat]]="xc",O281-TableauCB[[#This Row],[Débit]]+TableauCB[[#This Row],[Crédit]],O281-TableauCB[[#This Row],[Débit]])</f>
        <v>#VALUE!</v>
      </c>
      <c r="P282" s="61">
        <f>IF(AND(ISBLANK(TableauCB[[#This Row],[Débit]]),ISBLANK(TableauCB[[#This Row],[Crédit]])),"",P281+TableauCB[[#This Row],[Crédit]]-TableauCB[[#This Row],[Débit]])</f>
        <v>2898.1899999999996</v>
      </c>
      <c r="Q282" s="26"/>
      <c r="T282" s="10"/>
      <c r="U282" s="10"/>
      <c r="V282" s="9"/>
      <c r="W282" s="2"/>
      <c r="X282" s="9"/>
      <c r="Y282" s="8"/>
      <c r="Z282" s="7"/>
      <c r="AA282" s="55"/>
      <c r="AB282" s="54"/>
    </row>
    <row r="283" spans="2:28" ht="30" hidden="1" customHeight="1">
      <c r="B283" s="71"/>
      <c r="C283" s="11" t="s">
        <v>33</v>
      </c>
      <c r="D283" s="11" t="s">
        <v>17</v>
      </c>
      <c r="E283" s="11"/>
      <c r="F283" s="34">
        <v>41951</v>
      </c>
      <c r="G283"/>
      <c r="H283"/>
      <c r="I283" s="32"/>
      <c r="J283"/>
      <c r="K283" s="31"/>
      <c r="L283" s="30">
        <v>36.76</v>
      </c>
      <c r="M283" s="29"/>
      <c r="N283" s="28">
        <f>IF(OR(TableauCB[[#This Row],[Etat]]="",TableauCB[[#This Row],[Etat]]="c"),IF(TableauCB[[#This Row],[Solde]]="","",N282),N282-TableauCB[[#This Row],[Débit]]+TableauCB[[#This Row],[Crédit]])</f>
        <v>2861.4299999999994</v>
      </c>
      <c r="O283" s="27" t="e">
        <f>IF(TableauCB[[#This Row],[Etat]]="xc",O282-TableauCB[[#This Row],[Débit]]+TableauCB[[#This Row],[Crédit]],O282-TableauCB[[#This Row],[Débit]])</f>
        <v>#VALUE!</v>
      </c>
      <c r="P283" s="27">
        <f>IF(AND(ISBLANK(TableauCB[[#This Row],[Débit]]),ISBLANK(TableauCB[[#This Row],[Crédit]])),"",P282+TableauCB[[#This Row],[Crédit]]-TableauCB[[#This Row],[Débit]])</f>
        <v>2861.4299999999994</v>
      </c>
      <c r="Q283" s="26"/>
      <c r="T283" s="10"/>
      <c r="U283" s="10"/>
      <c r="V283" s="9"/>
      <c r="W283" s="2"/>
      <c r="X283" s="9"/>
      <c r="Y283" s="8"/>
      <c r="Z283" s="7"/>
      <c r="AA283" s="55"/>
      <c r="AB283" s="54"/>
    </row>
    <row r="284" spans="2:28" ht="30" hidden="1" customHeight="1">
      <c r="B284" s="71"/>
      <c r="C284" s="11" t="s">
        <v>33</v>
      </c>
      <c r="D284" s="11" t="s">
        <v>58</v>
      </c>
      <c r="E284" s="11"/>
      <c r="F284" s="34">
        <v>41966</v>
      </c>
      <c r="G284"/>
      <c r="H284"/>
      <c r="I284" s="32"/>
      <c r="J284"/>
      <c r="K284" s="31"/>
      <c r="L284" s="30">
        <v>64.5</v>
      </c>
      <c r="M284" s="29"/>
      <c r="N284" s="28">
        <f>IF(OR(TableauCB[[#This Row],[Etat]]="",TableauCB[[#This Row],[Etat]]="c"),IF(TableauCB[[#This Row],[Solde]]="","",N283),N283-TableauCB[[#This Row],[Débit]]+TableauCB[[#This Row],[Crédit]])</f>
        <v>2796.9299999999994</v>
      </c>
      <c r="O284" s="27" t="e">
        <f>IF(TableauCB[[#This Row],[Etat]]="xc",O283-TableauCB[[#This Row],[Débit]]+TableauCB[[#This Row],[Crédit]],O283-TableauCB[[#This Row],[Débit]])</f>
        <v>#VALUE!</v>
      </c>
      <c r="P284" s="27">
        <f>IF(AND(ISBLANK(TableauCB[[#This Row],[Débit]]),ISBLANK(TableauCB[[#This Row],[Crédit]])),"",P283+TableauCB[[#This Row],[Crédit]]-TableauCB[[#This Row],[Débit]])</f>
        <v>2796.9299999999994</v>
      </c>
      <c r="Q284" s="26"/>
      <c r="T284" s="10"/>
      <c r="U284" s="10"/>
      <c r="V284" s="9"/>
      <c r="W284" s="2"/>
      <c r="X284" s="9"/>
      <c r="Y284" s="8"/>
      <c r="Z284" s="7"/>
      <c r="AA284" s="55"/>
      <c r="AB284" s="54"/>
    </row>
    <row r="285" spans="2:28" ht="30" hidden="1" customHeight="1">
      <c r="B285" s="71"/>
      <c r="C285" s="11" t="s">
        <v>33</v>
      </c>
      <c r="D285" s="11" t="s">
        <v>9</v>
      </c>
      <c r="E285" s="11"/>
      <c r="F285" s="34">
        <v>41968</v>
      </c>
      <c r="G285"/>
      <c r="H285"/>
      <c r="I285" s="32"/>
      <c r="J285"/>
      <c r="K285" s="31"/>
      <c r="L285" s="30">
        <v>386</v>
      </c>
      <c r="M285" s="29"/>
      <c r="N285" s="28">
        <f>IF(OR(TableauCB[[#This Row],[Etat]]="",TableauCB[[#This Row],[Etat]]="c"),IF(TableauCB[[#This Row],[Solde]]="","",N284),N284-TableauCB[[#This Row],[Débit]]+TableauCB[[#This Row],[Crédit]])</f>
        <v>2410.9299999999994</v>
      </c>
      <c r="O285" s="27" t="e">
        <f>IF(TableauCB[[#This Row],[Etat]]="xc",O284-TableauCB[[#This Row],[Débit]]+TableauCB[[#This Row],[Crédit]],O284-TableauCB[[#This Row],[Débit]])</f>
        <v>#VALUE!</v>
      </c>
      <c r="P285" s="27">
        <f>IF(AND(ISBLANK(TableauCB[[#This Row],[Débit]]),ISBLANK(TableauCB[[#This Row],[Crédit]])),"",P284+TableauCB[[#This Row],[Crédit]]-TableauCB[[#This Row],[Débit]])</f>
        <v>2410.9299999999994</v>
      </c>
      <c r="Q285" s="26"/>
      <c r="T285" s="10"/>
      <c r="U285" s="10"/>
      <c r="V285" s="9"/>
      <c r="W285" s="2"/>
      <c r="X285" s="9"/>
      <c r="Y285" s="8"/>
      <c r="Z285" s="7"/>
      <c r="AA285" s="55"/>
      <c r="AB285" s="54"/>
    </row>
    <row r="286" spans="2:28" ht="30" hidden="1" customHeight="1">
      <c r="B286" s="71"/>
      <c r="C286" s="11" t="s">
        <v>33</v>
      </c>
      <c r="D286" s="11" t="s">
        <v>11</v>
      </c>
      <c r="E286" s="11"/>
      <c r="F286" s="34">
        <v>41973</v>
      </c>
      <c r="G286"/>
      <c r="H286"/>
      <c r="I286" s="32"/>
      <c r="J286"/>
      <c r="K286" s="72"/>
      <c r="L286" s="30"/>
      <c r="M286" s="29">
        <v>108</v>
      </c>
      <c r="N286" s="28">
        <f>IF(OR(TableauCB[[#This Row],[Etat]]="",TableauCB[[#This Row],[Etat]]="c"),IF(TableauCB[[#This Row],[Solde]]="","",N285),N285-TableauCB[[#This Row],[Débit]]+TableauCB[[#This Row],[Crédit]])</f>
        <v>2518.9299999999994</v>
      </c>
      <c r="O286" s="27" t="e">
        <f>IF(TableauCB[[#This Row],[Etat]]="xc",O285-TableauCB[[#This Row],[Débit]]+TableauCB[[#This Row],[Crédit]],O285-TableauCB[[#This Row],[Débit]])</f>
        <v>#VALUE!</v>
      </c>
      <c r="P286" s="27">
        <f>IF(AND(ISBLANK(TableauCB[[#This Row],[Débit]]),ISBLANK(TableauCB[[#This Row],[Crédit]])),"",P285+TableauCB[[#This Row],[Crédit]]-TableauCB[[#This Row],[Débit]])</f>
        <v>2518.9299999999994</v>
      </c>
      <c r="Q286" s="26"/>
      <c r="T286" s="10"/>
      <c r="U286" s="10"/>
      <c r="V286" s="9"/>
      <c r="W286" s="2"/>
      <c r="X286" s="9"/>
      <c r="Y286" s="8"/>
      <c r="Z286" s="7"/>
      <c r="AA286" s="55"/>
      <c r="AB286" s="54"/>
    </row>
    <row r="287" spans="2:28" ht="30" hidden="1" customHeight="1">
      <c r="B287" s="71"/>
      <c r="C287" s="11" t="s">
        <v>33</v>
      </c>
      <c r="D287" s="11" t="s">
        <v>11</v>
      </c>
      <c r="E287" s="11"/>
      <c r="F287" s="34">
        <v>41973</v>
      </c>
      <c r="G287"/>
      <c r="H287"/>
      <c r="I287" s="32"/>
      <c r="J287"/>
      <c r="K287" s="72"/>
      <c r="L287" s="30"/>
      <c r="M287" s="29">
        <v>198</v>
      </c>
      <c r="N287" s="28">
        <f>IF(OR(TableauCB[[#This Row],[Etat]]="",TableauCB[[#This Row],[Etat]]="c"),IF(TableauCB[[#This Row],[Solde]]="","",N286),N286-TableauCB[[#This Row],[Débit]]+TableauCB[[#This Row],[Crédit]])</f>
        <v>2716.9299999999994</v>
      </c>
      <c r="O287" s="27" t="e">
        <f>IF(TableauCB[[#This Row],[Etat]]="xc",O286-TableauCB[[#This Row],[Débit]]+TableauCB[[#This Row],[Crédit]],O286-TableauCB[[#This Row],[Débit]])</f>
        <v>#VALUE!</v>
      </c>
      <c r="P287" s="27">
        <f>IF(AND(ISBLANK(TableauCB[[#This Row],[Débit]]),ISBLANK(TableauCB[[#This Row],[Crédit]])),"",P286+TableauCB[[#This Row],[Crédit]]-TableauCB[[#This Row],[Débit]])</f>
        <v>2716.9299999999994</v>
      </c>
      <c r="Q287" s="26"/>
      <c r="T287" s="10"/>
      <c r="U287" s="10"/>
      <c r="V287" s="9"/>
      <c r="W287" s="2"/>
      <c r="X287" s="9"/>
      <c r="Y287" s="8"/>
      <c r="Z287" s="7"/>
      <c r="AA287" s="55"/>
      <c r="AB287" s="54"/>
    </row>
    <row r="288" spans="2:28" ht="30" hidden="1" customHeight="1">
      <c r="B288" s="71"/>
      <c r="C288" s="11" t="s">
        <v>33</v>
      </c>
      <c r="D288" s="11" t="s">
        <v>11</v>
      </c>
      <c r="E288" s="11"/>
      <c r="F288" s="34">
        <v>41973</v>
      </c>
      <c r="G288"/>
      <c r="H288"/>
      <c r="I288" s="32"/>
      <c r="J288"/>
      <c r="K288" s="31"/>
      <c r="L288" s="30"/>
      <c r="M288" s="29">
        <v>151.80000000000001</v>
      </c>
      <c r="N288" s="28">
        <f>IF(OR(TableauCB[[#This Row],[Etat]]="",TableauCB[[#This Row],[Etat]]="c"),IF(TableauCB[[#This Row],[Solde]]="","",N287),N287-TableauCB[[#This Row],[Débit]]+TableauCB[[#This Row],[Crédit]])</f>
        <v>2868.7299999999996</v>
      </c>
      <c r="O288" s="27" t="e">
        <f>IF(TableauCB[[#This Row],[Etat]]="xc",O287-TableauCB[[#This Row],[Débit]]+TableauCB[[#This Row],[Crédit]],O287-TableauCB[[#This Row],[Débit]])</f>
        <v>#VALUE!</v>
      </c>
      <c r="P288" s="27">
        <f>IF(AND(ISBLANK(TableauCB[[#This Row],[Débit]]),ISBLANK(TableauCB[[#This Row],[Crédit]])),"",P287+TableauCB[[#This Row],[Crédit]]-TableauCB[[#This Row],[Débit]])</f>
        <v>2868.7299999999996</v>
      </c>
      <c r="Q288" s="26"/>
      <c r="T288" s="10"/>
      <c r="U288" s="10"/>
      <c r="V288" s="9"/>
      <c r="W288" s="2"/>
      <c r="X288" s="9"/>
      <c r="Y288" s="8"/>
      <c r="Z288" s="7"/>
      <c r="AA288" s="55"/>
      <c r="AB288" s="54"/>
    </row>
    <row r="289" spans="2:28" ht="30" hidden="1" customHeight="1">
      <c r="B289" s="71"/>
      <c r="C289" s="11" t="s">
        <v>33</v>
      </c>
      <c r="D289" s="11" t="s">
        <v>11</v>
      </c>
      <c r="E289" s="11"/>
      <c r="F289" s="34">
        <v>41973</v>
      </c>
      <c r="G289"/>
      <c r="H289"/>
      <c r="I289" s="32"/>
      <c r="J289"/>
      <c r="K289" s="31"/>
      <c r="L289" s="30"/>
      <c r="M289" s="29">
        <v>522</v>
      </c>
      <c r="N289" s="28">
        <f>IF(OR(TableauCB[[#This Row],[Etat]]="",TableauCB[[#This Row],[Etat]]="c"),IF(TableauCB[[#This Row],[Solde]]="","",N288),N288-TableauCB[[#This Row],[Débit]]+TableauCB[[#This Row],[Crédit]])</f>
        <v>3390.7299999999996</v>
      </c>
      <c r="O289" s="27" t="e">
        <f>IF(TableauCB[[#This Row],[Etat]]="xc",O288-TableauCB[[#This Row],[Débit]]+TableauCB[[#This Row],[Crédit]],O288-TableauCB[[#This Row],[Débit]])</f>
        <v>#VALUE!</v>
      </c>
      <c r="P289" s="27">
        <f>IF(AND(ISBLANK(TableauCB[[#This Row],[Débit]]),ISBLANK(TableauCB[[#This Row],[Crédit]])),"",P288+TableauCB[[#This Row],[Crédit]]-TableauCB[[#This Row],[Débit]])</f>
        <v>3390.7299999999996</v>
      </c>
      <c r="Q289" s="26"/>
      <c r="T289" s="10"/>
      <c r="U289" s="10"/>
      <c r="V289" s="9"/>
      <c r="W289" s="2"/>
      <c r="X289" s="9"/>
      <c r="Y289" s="8"/>
      <c r="Z289" s="7"/>
      <c r="AA289" s="55"/>
      <c r="AB289" s="54"/>
    </row>
    <row r="290" spans="2:28" ht="30" hidden="1" customHeight="1">
      <c r="B290" s="71"/>
      <c r="C290" s="11" t="s">
        <v>33</v>
      </c>
      <c r="D290" s="11" t="s">
        <v>11</v>
      </c>
      <c r="E290" s="11"/>
      <c r="F290" s="34">
        <v>41973</v>
      </c>
      <c r="G290"/>
      <c r="H290"/>
      <c r="I290" s="32"/>
      <c r="J290"/>
      <c r="K290" s="31"/>
      <c r="L290" s="30"/>
      <c r="M290" s="29">
        <v>50.4</v>
      </c>
      <c r="N290" s="28">
        <f>IF(OR(TableauCB[[#This Row],[Etat]]="",TableauCB[[#This Row],[Etat]]="c"),IF(TableauCB[[#This Row],[Solde]]="","",N289),N289-TableauCB[[#This Row],[Débit]]+TableauCB[[#This Row],[Crédit]])</f>
        <v>3441.1299999999997</v>
      </c>
      <c r="O290" s="27" t="e">
        <f>IF(TableauCB[[#This Row],[Etat]]="xc",O289-TableauCB[[#This Row],[Débit]]+TableauCB[[#This Row],[Crédit]],O289-TableauCB[[#This Row],[Débit]])</f>
        <v>#VALUE!</v>
      </c>
      <c r="P290" s="27">
        <f>IF(AND(ISBLANK(TableauCB[[#This Row],[Débit]]),ISBLANK(TableauCB[[#This Row],[Crédit]])),"",P289+TableauCB[[#This Row],[Crédit]]-TableauCB[[#This Row],[Débit]])</f>
        <v>3441.1299999999997</v>
      </c>
      <c r="Q290" s="26"/>
      <c r="S290" s="41"/>
      <c r="T290" s="10"/>
      <c r="U290" s="10"/>
      <c r="V290" s="9"/>
      <c r="W290" s="2"/>
      <c r="X290" s="9"/>
      <c r="Y290" s="8"/>
      <c r="Z290" s="7"/>
      <c r="AA290" s="55"/>
      <c r="AB290" s="54"/>
    </row>
    <row r="291" spans="2:28" ht="30" hidden="1" customHeight="1">
      <c r="B291" s="71"/>
      <c r="C291" s="11" t="s">
        <v>33</v>
      </c>
      <c r="D291" s="11" t="s">
        <v>11</v>
      </c>
      <c r="E291" s="11"/>
      <c r="F291" s="34">
        <v>41973</v>
      </c>
      <c r="G291"/>
      <c r="H291"/>
      <c r="I291" s="32"/>
      <c r="J291"/>
      <c r="K291" s="31"/>
      <c r="L291" s="30"/>
      <c r="M291" s="29">
        <v>230.4</v>
      </c>
      <c r="N291" s="28">
        <f>IF(OR(TableauCB[[#This Row],[Etat]]="",TableauCB[[#This Row],[Etat]]="c"),IF(TableauCB[[#This Row],[Solde]]="","",N290),N290-TableauCB[[#This Row],[Débit]]+TableauCB[[#This Row],[Crédit]])</f>
        <v>3671.5299999999997</v>
      </c>
      <c r="O291" s="27" t="e">
        <f>IF(TableauCB[[#This Row],[Etat]]="xc",O290-TableauCB[[#This Row],[Débit]]+TableauCB[[#This Row],[Crédit]],O290-TableauCB[[#This Row],[Débit]])</f>
        <v>#VALUE!</v>
      </c>
      <c r="P291" s="27">
        <f>IF(AND(ISBLANK(TableauCB[[#This Row],[Débit]]),ISBLANK(TableauCB[[#This Row],[Crédit]])),"",P290+TableauCB[[#This Row],[Crédit]]-TableauCB[[#This Row],[Débit]])</f>
        <v>3671.5299999999997</v>
      </c>
      <c r="Q291" s="26"/>
      <c r="T291" s="10"/>
      <c r="U291" s="10"/>
      <c r="V291" s="9"/>
      <c r="W291" s="2"/>
      <c r="X291" s="9"/>
      <c r="Y291" s="8"/>
      <c r="Z291" s="7"/>
      <c r="AA291" s="55"/>
      <c r="AB291" s="54"/>
    </row>
    <row r="292" spans="2:28" ht="30" hidden="1" customHeight="1">
      <c r="B292" s="71"/>
      <c r="C292" s="11" t="s">
        <v>33</v>
      </c>
      <c r="D292" s="11" t="s">
        <v>11</v>
      </c>
      <c r="E292" s="11"/>
      <c r="F292" s="34">
        <v>41973</v>
      </c>
      <c r="G292"/>
      <c r="H292"/>
      <c r="I292" s="32"/>
      <c r="J292"/>
      <c r="K292" s="31"/>
      <c r="L292" s="30"/>
      <c r="M292" s="29">
        <v>504</v>
      </c>
      <c r="N292" s="28">
        <f>IF(OR(TableauCB[[#This Row],[Etat]]="",TableauCB[[#This Row],[Etat]]="c"),IF(TableauCB[[#This Row],[Solde]]="","",N291),N291-TableauCB[[#This Row],[Débit]]+TableauCB[[#This Row],[Crédit]])</f>
        <v>4175.53</v>
      </c>
      <c r="O292" s="27" t="e">
        <f>IF(TableauCB[[#This Row],[Etat]]="xc",O291-TableauCB[[#This Row],[Débit]]+TableauCB[[#This Row],[Crédit]],O291-TableauCB[[#This Row],[Débit]])</f>
        <v>#VALUE!</v>
      </c>
      <c r="P292" s="27">
        <f>IF(AND(ISBLANK(TableauCB[[#This Row],[Débit]]),ISBLANK(TableauCB[[#This Row],[Crédit]])),"",P291+TableauCB[[#This Row],[Crédit]]-TableauCB[[#This Row],[Débit]])</f>
        <v>4175.53</v>
      </c>
      <c r="Q292" s="26"/>
      <c r="T292" s="10"/>
      <c r="U292" s="10"/>
      <c r="V292" s="9"/>
      <c r="W292" s="2"/>
      <c r="X292" s="9"/>
      <c r="Y292" s="8"/>
      <c r="Z292" s="7"/>
      <c r="AA292" s="55"/>
      <c r="AB292" s="54"/>
    </row>
    <row r="293" spans="2:28" ht="30" hidden="1" customHeight="1">
      <c r="B293" s="71"/>
      <c r="C293" s="11" t="s">
        <v>33</v>
      </c>
      <c r="D293" s="11" t="s">
        <v>11</v>
      </c>
      <c r="E293" s="11"/>
      <c r="F293" s="34">
        <v>41973</v>
      </c>
      <c r="G293"/>
      <c r="H293"/>
      <c r="I293" s="32"/>
      <c r="J293"/>
      <c r="K293" s="72"/>
      <c r="L293" s="30"/>
      <c r="M293" s="29">
        <v>115.2</v>
      </c>
      <c r="N293" s="28">
        <f>IF(OR(TableauCB[[#This Row],[Etat]]="",TableauCB[[#This Row],[Etat]]="c"),IF(TableauCB[[#This Row],[Solde]]="","",N292),N292-TableauCB[[#This Row],[Débit]]+TableauCB[[#This Row],[Crédit]])</f>
        <v>4290.7299999999996</v>
      </c>
      <c r="O293" s="27" t="e">
        <f>IF(TableauCB[[#This Row],[Etat]]="xc",O292-TableauCB[[#This Row],[Débit]]+TableauCB[[#This Row],[Crédit]],O292-TableauCB[[#This Row],[Débit]])</f>
        <v>#VALUE!</v>
      </c>
      <c r="P293" s="27">
        <f>IF(AND(ISBLANK(TableauCB[[#This Row],[Débit]]),ISBLANK(TableauCB[[#This Row],[Crédit]])),"",P292+TableauCB[[#This Row],[Crédit]]-TableauCB[[#This Row],[Débit]])</f>
        <v>4290.7299999999996</v>
      </c>
      <c r="Q293" s="26"/>
      <c r="T293" s="10"/>
      <c r="U293" s="10"/>
      <c r="V293" s="9"/>
      <c r="W293" s="2"/>
      <c r="X293" s="9"/>
      <c r="Y293" s="8"/>
      <c r="Z293" s="7"/>
      <c r="AA293" s="55"/>
      <c r="AB293" s="54"/>
    </row>
    <row r="294" spans="2:28" ht="30" hidden="1" customHeight="1">
      <c r="B294" s="71"/>
      <c r="C294" s="11" t="s">
        <v>33</v>
      </c>
      <c r="D294" s="11" t="s">
        <v>11</v>
      </c>
      <c r="E294" s="11"/>
      <c r="F294" s="34">
        <v>41973</v>
      </c>
      <c r="G294"/>
      <c r="H294"/>
      <c r="I294" s="32"/>
      <c r="J294"/>
      <c r="K294" s="31"/>
      <c r="L294" s="30"/>
      <c r="M294" s="29">
        <v>120</v>
      </c>
      <c r="N294" s="28">
        <f>IF(OR(TableauCB[[#This Row],[Etat]]="",TableauCB[[#This Row],[Etat]]="c"),IF(TableauCB[[#This Row],[Solde]]="","",N293),N293-TableauCB[[#This Row],[Débit]]+TableauCB[[#This Row],[Crédit]])</f>
        <v>4410.7299999999996</v>
      </c>
      <c r="O294" s="27" t="e">
        <f>IF(TableauCB[[#This Row],[Etat]]="xc",O293-TableauCB[[#This Row],[Débit]]+TableauCB[[#This Row],[Crédit]],O293-TableauCB[[#This Row],[Débit]])</f>
        <v>#VALUE!</v>
      </c>
      <c r="P294" s="27">
        <f>IF(AND(ISBLANK(TableauCB[[#This Row],[Débit]]),ISBLANK(TableauCB[[#This Row],[Crédit]])),"",P293+TableauCB[[#This Row],[Crédit]]-TableauCB[[#This Row],[Débit]])</f>
        <v>4410.7299999999996</v>
      </c>
      <c r="Q294" s="26"/>
      <c r="T294" s="10"/>
      <c r="U294" s="10"/>
      <c r="V294" s="9"/>
      <c r="W294" s="2"/>
      <c r="X294" s="9"/>
      <c r="Y294" s="8"/>
      <c r="Z294" s="7"/>
      <c r="AA294" s="55"/>
      <c r="AB294" s="54"/>
    </row>
    <row r="295" spans="2:28" ht="30" hidden="1" customHeight="1">
      <c r="B295" s="71"/>
      <c r="C295" s="11" t="s">
        <v>33</v>
      </c>
      <c r="D295" s="11" t="s">
        <v>5</v>
      </c>
      <c r="E295" s="11"/>
      <c r="F295" s="34">
        <v>41973</v>
      </c>
      <c r="G295"/>
      <c r="H295"/>
      <c r="I295" s="32"/>
      <c r="J295"/>
      <c r="K295" s="31"/>
      <c r="L295" s="30">
        <v>332.02</v>
      </c>
      <c r="M295" s="29"/>
      <c r="N295" s="28">
        <f>IF(OR(TableauCB[[#This Row],[Etat]]="",TableauCB[[#This Row],[Etat]]="c"),IF(TableauCB[[#This Row],[Solde]]="","",N294),N294-TableauCB[[#This Row],[Débit]]+TableauCB[[#This Row],[Crédit]])</f>
        <v>4078.7099999999996</v>
      </c>
      <c r="O295" s="27" t="e">
        <f>IF(TableauCB[[#This Row],[Etat]]="xc",O294-TableauCB[[#This Row],[Débit]]+TableauCB[[#This Row],[Crédit]],O294-TableauCB[[#This Row],[Débit]])</f>
        <v>#VALUE!</v>
      </c>
      <c r="P295" s="27">
        <f>IF(AND(ISBLANK(TableauCB[[#This Row],[Débit]]),ISBLANK(TableauCB[[#This Row],[Crédit]])),"",P294+TableauCB[[#This Row],[Crédit]]-TableauCB[[#This Row],[Débit]])</f>
        <v>4078.7099999999996</v>
      </c>
      <c r="Q295" s="26"/>
      <c r="T295" s="10"/>
      <c r="U295" s="10"/>
      <c r="V295" s="9"/>
      <c r="W295" s="2"/>
      <c r="X295" s="9"/>
      <c r="Y295" s="8"/>
      <c r="Z295" s="7"/>
      <c r="AA295" s="55"/>
      <c r="AB295" s="54"/>
    </row>
    <row r="296" spans="2:28" ht="30" hidden="1" customHeight="1" thickBot="1">
      <c r="B296" s="71"/>
      <c r="C296" s="11" t="s">
        <v>33</v>
      </c>
      <c r="D296" s="11" t="s">
        <v>5</v>
      </c>
      <c r="E296" s="11"/>
      <c r="F296" s="34">
        <v>41973</v>
      </c>
      <c r="G296"/>
      <c r="H296"/>
      <c r="I296" s="32"/>
      <c r="J296"/>
      <c r="K296" s="31"/>
      <c r="L296" s="30">
        <v>604.16999999999996</v>
      </c>
      <c r="M296" s="29"/>
      <c r="N296" s="28">
        <f>IF(OR(TableauCB[[#This Row],[Etat]]="",TableauCB[[#This Row],[Etat]]="c"),IF(TableauCB[[#This Row],[Solde]]="","",N295),N295-TableauCB[[#This Row],[Débit]]+TableauCB[[#This Row],[Crédit]])</f>
        <v>3474.5399999999995</v>
      </c>
      <c r="O296" s="27" t="e">
        <f>IF(TableauCB[[#This Row],[Etat]]="xc",O295-TableauCB[[#This Row],[Débit]]+TableauCB[[#This Row],[Crédit]],O295-TableauCB[[#This Row],[Débit]])</f>
        <v>#VALUE!</v>
      </c>
      <c r="P296" s="27">
        <f>IF(AND(ISBLANK(TableauCB[[#This Row],[Débit]]),ISBLANK(TableauCB[[#This Row],[Crédit]])),"",P295+TableauCB[[#This Row],[Crédit]]-TableauCB[[#This Row],[Débit]])</f>
        <v>3474.5399999999995</v>
      </c>
      <c r="Q296" s="26"/>
      <c r="R296" s="47" t="s">
        <v>54</v>
      </c>
      <c r="S296" s="47" t="s">
        <v>53</v>
      </c>
      <c r="T296" s="10"/>
      <c r="U296" s="10"/>
      <c r="V296" s="9"/>
      <c r="W296" s="2"/>
      <c r="X296" s="9"/>
      <c r="Y296" s="8"/>
      <c r="Z296" s="7"/>
      <c r="AA296" s="55"/>
      <c r="AB296" s="54"/>
    </row>
    <row r="297" spans="2:28" ht="30" hidden="1" customHeight="1" thickBot="1">
      <c r="B297" s="70"/>
      <c r="C297" s="11" t="s">
        <v>33</v>
      </c>
      <c r="D297" s="11" t="s">
        <v>9</v>
      </c>
      <c r="E297" s="11"/>
      <c r="F297" s="34">
        <v>41973</v>
      </c>
      <c r="G297"/>
      <c r="H297"/>
      <c r="I297" s="32"/>
      <c r="J297"/>
      <c r="K297" s="31"/>
      <c r="L297" s="30">
        <v>240</v>
      </c>
      <c r="M297" s="29"/>
      <c r="N297" s="28">
        <f>IF(OR(TableauCB[[#This Row],[Etat]]="",TableauCB[[#This Row],[Etat]]="c"),IF(TableauCB[[#This Row],[Solde]]="","",N296),N296-TableauCB[[#This Row],[Débit]]+TableauCB[[#This Row],[Crédit]])</f>
        <v>3234.5399999999995</v>
      </c>
      <c r="O297" s="27" t="e">
        <f>IF(TableauCB[[#This Row],[Etat]]="xc",O296-TableauCB[[#This Row],[Débit]]+TableauCB[[#This Row],[Crédit]],O296-TableauCB[[#This Row],[Débit]])</f>
        <v>#VALUE!</v>
      </c>
      <c r="P297" s="27">
        <f>IF(AND(ISBLANK(TableauCB[[#This Row],[Débit]]),ISBLANK(TableauCB[[#This Row],[Crédit]])),"",P296+TableauCB[[#This Row],[Crédit]]-TableauCB[[#This Row],[Débit]])</f>
        <v>3234.5399999999995</v>
      </c>
      <c r="Q297" s="26"/>
      <c r="R297" s="25">
        <f>SUM(M282:M297)-SUM(L282:L297)</f>
        <v>314.45000000000027</v>
      </c>
      <c r="S297" s="25">
        <f>R297/1.2</f>
        <v>262.04166666666691</v>
      </c>
      <c r="T297" s="10"/>
      <c r="U297" s="10"/>
      <c r="V297" s="9"/>
      <c r="W297" s="2"/>
      <c r="X297" s="9"/>
      <c r="Y297" s="8"/>
      <c r="Z297" s="7"/>
      <c r="AA297" s="55"/>
      <c r="AB297" s="54"/>
    </row>
    <row r="298" spans="2:28" ht="30" hidden="1" customHeight="1">
      <c r="B298" s="69" t="s">
        <v>79</v>
      </c>
      <c r="C298" s="68" t="s">
        <v>33</v>
      </c>
      <c r="D298" s="68" t="s">
        <v>37</v>
      </c>
      <c r="E298" s="68"/>
      <c r="F298" s="67">
        <v>41977</v>
      </c>
      <c r="G298"/>
      <c r="H298"/>
      <c r="I298" s="66"/>
      <c r="J298"/>
      <c r="K298" s="65"/>
      <c r="L298" s="64">
        <v>20.350000000000001</v>
      </c>
      <c r="M298" s="63"/>
      <c r="N298" s="62">
        <f>IF(OR(TableauCB[[#This Row],[Etat]]="",TableauCB[[#This Row],[Etat]]="c"),IF(TableauCB[[#This Row],[Solde]]="","",N297),N297-TableauCB[[#This Row],[Débit]]+TableauCB[[#This Row],[Crédit]])</f>
        <v>3214.1899999999996</v>
      </c>
      <c r="O298" s="61" t="e">
        <f>IF(TableauCB[[#This Row],[Etat]]="xc",O297-TableauCB[[#This Row],[Débit]]+TableauCB[[#This Row],[Crédit]],O297-TableauCB[[#This Row],[Débit]])</f>
        <v>#VALUE!</v>
      </c>
      <c r="P298" s="61">
        <f>IF(AND(ISBLANK(TableauCB[[#This Row],[Débit]]),ISBLANK(TableauCB[[#This Row],[Crédit]])),"",P297+TableauCB[[#This Row],[Crédit]]-TableauCB[[#This Row],[Débit]])</f>
        <v>3214.1899999999996</v>
      </c>
      <c r="Q298" s="26"/>
      <c r="T298" s="10"/>
      <c r="U298" s="10"/>
      <c r="V298" s="9"/>
      <c r="W298" s="2"/>
      <c r="X298" s="9"/>
      <c r="Y298" s="8"/>
      <c r="Z298" s="7"/>
      <c r="AA298" s="55"/>
      <c r="AB298" s="54"/>
    </row>
    <row r="299" spans="2:28" ht="30" hidden="1" customHeight="1">
      <c r="B299" s="59"/>
      <c r="C299" s="11" t="s">
        <v>33</v>
      </c>
      <c r="D299" s="11" t="s">
        <v>21</v>
      </c>
      <c r="E299" s="11"/>
      <c r="F299" s="34">
        <v>41978</v>
      </c>
      <c r="G299"/>
      <c r="H299"/>
      <c r="I299" s="32"/>
      <c r="J299"/>
      <c r="K299" s="31"/>
      <c r="L299" s="30">
        <v>15.25</v>
      </c>
      <c r="M299" s="29"/>
      <c r="N299" s="28">
        <f>IF(OR(TableauCB[[#This Row],[Etat]]="",TableauCB[[#This Row],[Etat]]="c"),IF(TableauCB[[#This Row],[Solde]]="","",N298),N298-TableauCB[[#This Row],[Débit]]+TableauCB[[#This Row],[Crédit]])</f>
        <v>3198.9399999999996</v>
      </c>
      <c r="O299" s="27" t="e">
        <f>IF(TableauCB[[#This Row],[Etat]]="xc",O298-TableauCB[[#This Row],[Débit]]+TableauCB[[#This Row],[Crédit]],O298-TableauCB[[#This Row],[Débit]])</f>
        <v>#VALUE!</v>
      </c>
      <c r="P299" s="27">
        <f>IF(AND(ISBLANK(TableauCB[[#This Row],[Débit]]),ISBLANK(TableauCB[[#This Row],[Crédit]])),"",P298+TableauCB[[#This Row],[Crédit]]-TableauCB[[#This Row],[Débit]])</f>
        <v>3198.9399999999996</v>
      </c>
      <c r="Q299" s="26"/>
      <c r="T299" s="10"/>
      <c r="U299" s="10"/>
      <c r="V299" s="9"/>
      <c r="W299" s="2"/>
      <c r="X299" s="9"/>
      <c r="Y299" s="8"/>
      <c r="Z299" s="7"/>
      <c r="AA299" s="55"/>
      <c r="AB299" s="54"/>
    </row>
    <row r="300" spans="2:28" ht="30" hidden="1" customHeight="1">
      <c r="B300" s="59"/>
      <c r="C300" s="11" t="s">
        <v>33</v>
      </c>
      <c r="D300" s="11" t="s">
        <v>17</v>
      </c>
      <c r="E300" s="11"/>
      <c r="F300" s="34">
        <v>41979</v>
      </c>
      <c r="G300"/>
      <c r="H300"/>
      <c r="I300" s="32"/>
      <c r="J300"/>
      <c r="K300" s="31"/>
      <c r="L300" s="30">
        <v>45.36</v>
      </c>
      <c r="M300" s="29"/>
      <c r="N300" s="28">
        <f>IF(OR(TableauCB[[#This Row],[Etat]]="",TableauCB[[#This Row],[Etat]]="c"),IF(TableauCB[[#This Row],[Solde]]="","",N299),N299-TableauCB[[#This Row],[Débit]]+TableauCB[[#This Row],[Crédit]])</f>
        <v>3153.5799999999995</v>
      </c>
      <c r="O300" s="27" t="e">
        <f>IF(TableauCB[[#This Row],[Etat]]="xc",O299-TableauCB[[#This Row],[Débit]]+TableauCB[[#This Row],[Crédit]],O299-TableauCB[[#This Row],[Débit]])</f>
        <v>#VALUE!</v>
      </c>
      <c r="P300" s="27">
        <f>IF(AND(ISBLANK(TableauCB[[#This Row],[Débit]]),ISBLANK(TableauCB[[#This Row],[Crédit]])),"",P299+TableauCB[[#This Row],[Crédit]]-TableauCB[[#This Row],[Débit]])</f>
        <v>3153.5799999999995</v>
      </c>
      <c r="Q300" s="26"/>
      <c r="T300" s="10"/>
      <c r="U300" s="10"/>
      <c r="V300" s="9"/>
      <c r="W300" s="2"/>
      <c r="X300" s="9"/>
      <c r="Y300" s="8"/>
      <c r="Z300" s="7"/>
      <c r="AA300" s="55"/>
      <c r="AB300" s="54"/>
    </row>
    <row r="301" spans="2:28" ht="30" hidden="1" customHeight="1">
      <c r="B301" s="59"/>
      <c r="C301" s="11" t="s">
        <v>33</v>
      </c>
      <c r="D301" s="11" t="s">
        <v>21</v>
      </c>
      <c r="E301" s="11"/>
      <c r="F301" s="34">
        <v>41982</v>
      </c>
      <c r="G301"/>
      <c r="H301"/>
      <c r="I301" s="32"/>
      <c r="J301"/>
      <c r="K301" s="31"/>
      <c r="L301" s="30"/>
      <c r="M301" s="29">
        <v>15.25</v>
      </c>
      <c r="N301" s="28">
        <f>IF(OR(TableauCB[[#This Row],[Etat]]="",TableauCB[[#This Row],[Etat]]="c"),IF(TableauCB[[#This Row],[Solde]]="","",N300),N300-TableauCB[[#This Row],[Débit]]+TableauCB[[#This Row],[Crédit]])</f>
        <v>3168.8299999999995</v>
      </c>
      <c r="O301" s="27" t="e">
        <f>IF(TableauCB[[#This Row],[Etat]]="xc",O300-TableauCB[[#This Row],[Débit]]+TableauCB[[#This Row],[Crédit]],O300-TableauCB[[#This Row],[Débit]])</f>
        <v>#VALUE!</v>
      </c>
      <c r="P301" s="27">
        <f>IF(AND(ISBLANK(TableauCB[[#This Row],[Débit]]),ISBLANK(TableauCB[[#This Row],[Crédit]])),"",P300+TableauCB[[#This Row],[Crédit]]-TableauCB[[#This Row],[Débit]])</f>
        <v>3168.8299999999995</v>
      </c>
      <c r="Q301" s="26"/>
      <c r="T301" s="10"/>
      <c r="U301" s="10"/>
      <c r="V301" s="9"/>
      <c r="W301" s="2"/>
      <c r="X301" s="9"/>
      <c r="Y301" s="8"/>
      <c r="Z301" s="7"/>
      <c r="AA301" s="55"/>
      <c r="AB301" s="54"/>
    </row>
    <row r="302" spans="2:28" ht="30" hidden="1" customHeight="1">
      <c r="B302" s="59"/>
      <c r="C302" s="11" t="s">
        <v>33</v>
      </c>
      <c r="D302" s="11" t="s">
        <v>21</v>
      </c>
      <c r="E302" s="11"/>
      <c r="F302" s="34">
        <v>41982</v>
      </c>
      <c r="G302"/>
      <c r="H302"/>
      <c r="I302" s="32"/>
      <c r="J302"/>
      <c r="K302" s="31"/>
      <c r="L302" s="30">
        <v>21.9</v>
      </c>
      <c r="M302" s="29"/>
      <c r="N302" s="28">
        <f>IF(OR(TableauCB[[#This Row],[Etat]]="",TableauCB[[#This Row],[Etat]]="c"),IF(TableauCB[[#This Row],[Solde]]="","",N301),N301-TableauCB[[#This Row],[Débit]]+TableauCB[[#This Row],[Crédit]])</f>
        <v>3146.9299999999994</v>
      </c>
      <c r="O302" s="27" t="e">
        <f>IF(TableauCB[[#This Row],[Etat]]="xc",O301-TableauCB[[#This Row],[Débit]]+TableauCB[[#This Row],[Crédit]],O301-TableauCB[[#This Row],[Débit]])</f>
        <v>#VALUE!</v>
      </c>
      <c r="P302" s="27">
        <f>IF(AND(ISBLANK(TableauCB[[#This Row],[Débit]]),ISBLANK(TableauCB[[#This Row],[Crédit]])),"",P301+TableauCB[[#This Row],[Crédit]]-TableauCB[[#This Row],[Débit]])</f>
        <v>3146.9299999999994</v>
      </c>
      <c r="Q302" s="26"/>
      <c r="S302" s="41"/>
      <c r="T302" s="10"/>
      <c r="U302" s="10"/>
      <c r="V302" s="9"/>
      <c r="W302" s="2"/>
      <c r="X302" s="9"/>
      <c r="Y302" s="8"/>
      <c r="Z302" s="7"/>
      <c r="AA302" s="55"/>
      <c r="AB302" s="54"/>
    </row>
    <row r="303" spans="2:28" ht="30" hidden="1" customHeight="1">
      <c r="B303" s="59"/>
      <c r="C303" s="11" t="s">
        <v>33</v>
      </c>
      <c r="D303" s="11" t="s">
        <v>44</v>
      </c>
      <c r="E303" s="11"/>
      <c r="F303" s="34">
        <v>41989</v>
      </c>
      <c r="G303"/>
      <c r="H303"/>
      <c r="I303" s="32"/>
      <c r="J303"/>
      <c r="K303" s="31"/>
      <c r="L303" s="30">
        <v>281.60000000000002</v>
      </c>
      <c r="M303" s="29"/>
      <c r="N303" s="28">
        <f>IF(OR(TableauCB[[#This Row],[Etat]]="",TableauCB[[#This Row],[Etat]]="c"),IF(TableauCB[[#This Row],[Solde]]="","",N302),N302-TableauCB[[#This Row],[Débit]]+TableauCB[[#This Row],[Crédit]])</f>
        <v>2865.3299999999995</v>
      </c>
      <c r="O303" s="27" t="e">
        <f>IF(TableauCB[[#This Row],[Etat]]="xc",O302-TableauCB[[#This Row],[Débit]]+TableauCB[[#This Row],[Crédit]],O302-TableauCB[[#This Row],[Débit]])</f>
        <v>#VALUE!</v>
      </c>
      <c r="P303" s="27">
        <f>IF(AND(ISBLANK(TableauCB[[#This Row],[Débit]]),ISBLANK(TableauCB[[#This Row],[Crédit]])),"",P302+TableauCB[[#This Row],[Crédit]]-TableauCB[[#This Row],[Débit]])</f>
        <v>2865.3299999999995</v>
      </c>
      <c r="Q303" s="26"/>
      <c r="T303" s="10"/>
      <c r="U303" s="10"/>
      <c r="V303" s="9"/>
      <c r="W303" s="2"/>
      <c r="X303" s="9"/>
      <c r="Y303" s="8"/>
      <c r="Z303" s="7"/>
      <c r="AA303" s="55"/>
      <c r="AB303" s="54"/>
    </row>
    <row r="304" spans="2:28" ht="30" hidden="1" customHeight="1">
      <c r="B304" s="59"/>
      <c r="C304" s="11" t="s">
        <v>33</v>
      </c>
      <c r="D304" s="34" t="s">
        <v>41</v>
      </c>
      <c r="E304" s="34"/>
      <c r="F304" s="34">
        <v>41992</v>
      </c>
      <c r="G304"/>
      <c r="H304"/>
      <c r="I304" s="32"/>
      <c r="J304"/>
      <c r="K304" s="31"/>
      <c r="L304" s="30">
        <v>116.45</v>
      </c>
      <c r="M304" s="29"/>
      <c r="N304" s="28">
        <f>IF(OR(TableauCB[[#This Row],[Etat]]="",TableauCB[[#This Row],[Etat]]="c"),IF(TableauCB[[#This Row],[Solde]]="","",N303),N303-TableauCB[[#This Row],[Débit]]+TableauCB[[#This Row],[Crédit]])</f>
        <v>2748.8799999999997</v>
      </c>
      <c r="O304" s="27" t="e">
        <f>IF(TableauCB[[#This Row],[Etat]]="xc",O303-TableauCB[[#This Row],[Débit]]+TableauCB[[#This Row],[Crédit]],O303-TableauCB[[#This Row],[Débit]])</f>
        <v>#VALUE!</v>
      </c>
      <c r="P304" s="27">
        <f>IF(AND(ISBLANK(TableauCB[[#This Row],[Débit]]),ISBLANK(TableauCB[[#This Row],[Crédit]])),"",P303+TableauCB[[#This Row],[Crédit]]-TableauCB[[#This Row],[Débit]])</f>
        <v>2748.8799999999997</v>
      </c>
      <c r="Q304" s="26"/>
      <c r="T304" s="10"/>
      <c r="U304" s="10"/>
      <c r="V304" s="9"/>
      <c r="W304" s="2"/>
      <c r="X304" s="9"/>
      <c r="Y304" s="8"/>
      <c r="Z304" s="7"/>
      <c r="AA304" s="55"/>
      <c r="AB304" s="54"/>
    </row>
    <row r="305" spans="2:28" ht="30" hidden="1" customHeight="1">
      <c r="B305" s="59"/>
      <c r="C305" s="11" t="s">
        <v>33</v>
      </c>
      <c r="D305" s="11" t="s">
        <v>45</v>
      </c>
      <c r="E305" s="11"/>
      <c r="F305" s="34">
        <v>41993</v>
      </c>
      <c r="G305"/>
      <c r="H305"/>
      <c r="I305" s="32"/>
      <c r="J305"/>
      <c r="K305" s="31"/>
      <c r="L305" s="30"/>
      <c r="M305" s="29">
        <v>252</v>
      </c>
      <c r="N305" s="28">
        <f>IF(OR(TableauCB[[#This Row],[Etat]]="",TableauCB[[#This Row],[Etat]]="c"),IF(TableauCB[[#This Row],[Solde]]="","",N304),N304-TableauCB[[#This Row],[Débit]]+TableauCB[[#This Row],[Crédit]])</f>
        <v>3000.8799999999997</v>
      </c>
      <c r="O305" s="27" t="e">
        <f>IF(TableauCB[[#This Row],[Etat]]="xc",O304-TableauCB[[#This Row],[Débit]]+TableauCB[[#This Row],[Crédit]],O304-TableauCB[[#This Row],[Débit]])</f>
        <v>#VALUE!</v>
      </c>
      <c r="P305" s="27">
        <f>IF(AND(ISBLANK(TableauCB[[#This Row],[Débit]]),ISBLANK(TableauCB[[#This Row],[Crédit]])),"",P304+TableauCB[[#This Row],[Crédit]]-TableauCB[[#This Row],[Débit]])</f>
        <v>3000.8799999999997</v>
      </c>
      <c r="Q305" s="26"/>
      <c r="T305" s="10"/>
      <c r="U305" s="10"/>
      <c r="V305" s="9"/>
      <c r="W305" s="2"/>
      <c r="X305" s="9"/>
      <c r="Y305" s="8"/>
      <c r="Z305" s="7"/>
      <c r="AA305" s="55"/>
      <c r="AB305" s="54"/>
    </row>
    <row r="306" spans="2:28" ht="30" hidden="1" customHeight="1">
      <c r="B306" s="59"/>
      <c r="C306" s="11" t="s">
        <v>33</v>
      </c>
      <c r="D306" s="11" t="s">
        <v>11</v>
      </c>
      <c r="E306" s="11"/>
      <c r="F306" s="34">
        <v>42003</v>
      </c>
      <c r="G306"/>
      <c r="H306"/>
      <c r="I306" s="32"/>
      <c r="J306"/>
      <c r="K306" s="31"/>
      <c r="L306" s="30"/>
      <c r="M306" s="29">
        <v>108</v>
      </c>
      <c r="N306" s="28">
        <f>IF(OR(TableauCB[[#This Row],[Etat]]="",TableauCB[[#This Row],[Etat]]="c"),IF(TableauCB[[#This Row],[Solde]]="","",N305),N305-TableauCB[[#This Row],[Débit]]+TableauCB[[#This Row],[Crédit]])</f>
        <v>3108.8799999999997</v>
      </c>
      <c r="O306" s="27" t="e">
        <f>IF(TableauCB[[#This Row],[Etat]]="xc",O305-TableauCB[[#This Row],[Débit]]+TableauCB[[#This Row],[Crédit]],O305-TableauCB[[#This Row],[Débit]])</f>
        <v>#VALUE!</v>
      </c>
      <c r="P306" s="27">
        <f>IF(AND(ISBLANK(TableauCB[[#This Row],[Débit]]),ISBLANK(TableauCB[[#This Row],[Crédit]])),"",P305+TableauCB[[#This Row],[Crédit]]-TableauCB[[#This Row],[Débit]])</f>
        <v>3108.8799999999997</v>
      </c>
      <c r="Q306" s="26"/>
      <c r="T306" s="10"/>
      <c r="U306" s="10"/>
      <c r="V306" s="9"/>
      <c r="W306" s="2"/>
      <c r="X306" s="9"/>
      <c r="Y306" s="8"/>
      <c r="Z306" s="7"/>
      <c r="AA306" s="55"/>
      <c r="AB306" s="54"/>
    </row>
    <row r="307" spans="2:28" ht="30" hidden="1" customHeight="1">
      <c r="B307" s="59"/>
      <c r="C307" s="11" t="s">
        <v>33</v>
      </c>
      <c r="D307" s="11" t="s">
        <v>11</v>
      </c>
      <c r="E307" s="11"/>
      <c r="F307" s="34">
        <v>42003</v>
      </c>
      <c r="G307"/>
      <c r="H307"/>
      <c r="I307" s="32"/>
      <c r="J307"/>
      <c r="K307" s="31"/>
      <c r="L307" s="30"/>
      <c r="M307" s="29">
        <v>152.46</v>
      </c>
      <c r="N307" s="28">
        <f>IF(OR(TableauCB[[#This Row],[Etat]]="",TableauCB[[#This Row],[Etat]]="c"),IF(TableauCB[[#This Row],[Solde]]="","",N306),N306-TableauCB[[#This Row],[Débit]]+TableauCB[[#This Row],[Crédit]])</f>
        <v>3261.3399999999997</v>
      </c>
      <c r="O307" s="27" t="e">
        <f>IF(TableauCB[[#This Row],[Etat]]="xc",O306-TableauCB[[#This Row],[Débit]]+TableauCB[[#This Row],[Crédit]],O306-TableauCB[[#This Row],[Débit]])</f>
        <v>#VALUE!</v>
      </c>
      <c r="P307" s="27">
        <f>IF(AND(ISBLANK(TableauCB[[#This Row],[Débit]]),ISBLANK(TableauCB[[#This Row],[Crédit]])),"",P306+TableauCB[[#This Row],[Crédit]]-TableauCB[[#This Row],[Débit]])</f>
        <v>3261.3399999999997</v>
      </c>
      <c r="Q307" s="26"/>
      <c r="T307" s="10"/>
      <c r="U307" s="10"/>
      <c r="V307" s="9"/>
      <c r="W307" s="2"/>
      <c r="X307" s="9"/>
      <c r="Y307" s="8"/>
      <c r="Z307" s="7"/>
      <c r="AA307" s="55"/>
      <c r="AB307" s="54"/>
    </row>
    <row r="308" spans="2:28" ht="30" hidden="1" customHeight="1">
      <c r="B308" s="59"/>
      <c r="C308" s="11" t="s">
        <v>33</v>
      </c>
      <c r="D308" s="11" t="s">
        <v>11</v>
      </c>
      <c r="E308" s="11"/>
      <c r="F308" s="34">
        <v>42003</v>
      </c>
      <c r="G308"/>
      <c r="H308"/>
      <c r="I308" s="60"/>
      <c r="J308"/>
      <c r="K308" s="31"/>
      <c r="L308" s="30"/>
      <c r="M308" s="29">
        <v>151.80000000000001</v>
      </c>
      <c r="N308" s="28">
        <f>IF(OR(TableauCB[[#This Row],[Etat]]="",TableauCB[[#This Row],[Etat]]="c"),IF(TableauCB[[#This Row],[Solde]]="","",N307),N307-TableauCB[[#This Row],[Débit]]+TableauCB[[#This Row],[Crédit]])</f>
        <v>3413.14</v>
      </c>
      <c r="O308" s="27" t="e">
        <f>IF(TableauCB[[#This Row],[Etat]]="xc",O307-TableauCB[[#This Row],[Débit]]+TableauCB[[#This Row],[Crédit]],O307-TableauCB[[#This Row],[Débit]])</f>
        <v>#VALUE!</v>
      </c>
      <c r="P308" s="27">
        <f>IF(AND(ISBLANK(TableauCB[[#This Row],[Débit]]),ISBLANK(TableauCB[[#This Row],[Crédit]])),"",P307+TableauCB[[#This Row],[Crédit]]-TableauCB[[#This Row],[Débit]])</f>
        <v>3413.14</v>
      </c>
      <c r="Q308" s="26"/>
      <c r="T308" s="10"/>
      <c r="U308" s="10"/>
      <c r="V308" s="9"/>
      <c r="W308" s="2"/>
      <c r="X308" s="9"/>
      <c r="Y308" s="8"/>
      <c r="Z308" s="7"/>
      <c r="AA308" s="55"/>
      <c r="AB308" s="54"/>
    </row>
    <row r="309" spans="2:28" ht="30" hidden="1" customHeight="1">
      <c r="B309" s="59"/>
      <c r="C309" s="11" t="s">
        <v>33</v>
      </c>
      <c r="D309" s="11" t="s">
        <v>11</v>
      </c>
      <c r="E309" s="11"/>
      <c r="F309" s="34">
        <v>42003</v>
      </c>
      <c r="G309"/>
      <c r="H309"/>
      <c r="I309" s="60"/>
      <c r="J309"/>
      <c r="K309" s="31"/>
      <c r="L309" s="30"/>
      <c r="M309" s="29">
        <v>522</v>
      </c>
      <c r="N309" s="28">
        <f>IF(OR(TableauCB[[#This Row],[Etat]]="",TableauCB[[#This Row],[Etat]]="c"),IF(TableauCB[[#This Row],[Solde]]="","",N308),N308-TableauCB[[#This Row],[Débit]]+TableauCB[[#This Row],[Crédit]])</f>
        <v>3935.14</v>
      </c>
      <c r="O309" s="27" t="e">
        <f>IF(TableauCB[[#This Row],[Etat]]="xc",O308-TableauCB[[#This Row],[Débit]]+TableauCB[[#This Row],[Crédit]],O308-TableauCB[[#This Row],[Débit]])</f>
        <v>#VALUE!</v>
      </c>
      <c r="P309" s="27">
        <f>IF(AND(ISBLANK(TableauCB[[#This Row],[Débit]]),ISBLANK(TableauCB[[#This Row],[Crédit]])),"",P308+TableauCB[[#This Row],[Crédit]]-TableauCB[[#This Row],[Débit]])</f>
        <v>3935.14</v>
      </c>
      <c r="Q309" s="26"/>
      <c r="T309" s="11"/>
      <c r="U309" s="11"/>
      <c r="V309" s="56"/>
      <c r="W309" s="57"/>
      <c r="X309" s="56"/>
      <c r="Y309" s="7"/>
      <c r="Z309" s="7"/>
      <c r="AA309" s="55"/>
      <c r="AB309" s="54"/>
    </row>
    <row r="310" spans="2:28" ht="30" hidden="1" customHeight="1">
      <c r="B310" s="59"/>
      <c r="C310" s="11" t="s">
        <v>33</v>
      </c>
      <c r="D310" s="11" t="s">
        <v>11</v>
      </c>
      <c r="E310" s="11"/>
      <c r="F310" s="34">
        <v>42003</v>
      </c>
      <c r="G310"/>
      <c r="H310"/>
      <c r="I310" s="60"/>
      <c r="J310"/>
      <c r="K310" s="31"/>
      <c r="L310" s="30"/>
      <c r="M310" s="29">
        <v>50.4</v>
      </c>
      <c r="N310" s="28">
        <f>IF(OR(TableauCB[[#This Row],[Etat]]="",TableauCB[[#This Row],[Etat]]="c"),IF(TableauCB[[#This Row],[Solde]]="","",N309),N309-TableauCB[[#This Row],[Débit]]+TableauCB[[#This Row],[Crédit]])</f>
        <v>3985.54</v>
      </c>
      <c r="O310" s="27" t="e">
        <f>IF(TableauCB[[#This Row],[Etat]]="xc",O309-TableauCB[[#This Row],[Débit]]+TableauCB[[#This Row],[Crédit]],O309-TableauCB[[#This Row],[Débit]])</f>
        <v>#VALUE!</v>
      </c>
      <c r="P310" s="27">
        <f>IF(AND(ISBLANK(TableauCB[[#This Row],[Débit]]),ISBLANK(TableauCB[[#This Row],[Crédit]])),"",P309+TableauCB[[#This Row],[Crédit]]-TableauCB[[#This Row],[Débit]])</f>
        <v>3985.54</v>
      </c>
      <c r="Q310" s="26"/>
      <c r="T310" s="11"/>
      <c r="U310" s="11"/>
      <c r="V310" s="56"/>
      <c r="W310" s="57"/>
      <c r="X310" s="56"/>
      <c r="Y310" s="7"/>
      <c r="Z310" s="7"/>
      <c r="AA310" s="55"/>
      <c r="AB310" s="54"/>
    </row>
    <row r="311" spans="2:28" ht="30" hidden="1" customHeight="1">
      <c r="B311" s="59"/>
      <c r="C311" s="11" t="s">
        <v>33</v>
      </c>
      <c r="D311" s="11" t="s">
        <v>11</v>
      </c>
      <c r="E311" s="11"/>
      <c r="F311" s="34">
        <v>42003</v>
      </c>
      <c r="G311"/>
      <c r="H311"/>
      <c r="I311" s="60"/>
      <c r="J311"/>
      <c r="K311" s="31"/>
      <c r="L311" s="30"/>
      <c r="M311" s="29">
        <v>288</v>
      </c>
      <c r="N311" s="28">
        <f>IF(OR(TableauCB[[#This Row],[Etat]]="",TableauCB[[#This Row],[Etat]]="c"),IF(TableauCB[[#This Row],[Solde]]="","",N310),N310-TableauCB[[#This Row],[Débit]]+TableauCB[[#This Row],[Crédit]])</f>
        <v>4273.54</v>
      </c>
      <c r="O311" s="27" t="e">
        <f>IF(TableauCB[[#This Row],[Etat]]="xc",O310-TableauCB[[#This Row],[Débit]]+TableauCB[[#This Row],[Crédit]],O310-TableauCB[[#This Row],[Débit]])</f>
        <v>#VALUE!</v>
      </c>
      <c r="P311" s="27">
        <f>IF(AND(ISBLANK(TableauCB[[#This Row],[Débit]]),ISBLANK(TableauCB[[#This Row],[Crédit]])),"",P310+TableauCB[[#This Row],[Crédit]]-TableauCB[[#This Row],[Débit]])</f>
        <v>4273.54</v>
      </c>
      <c r="Q311" s="26"/>
      <c r="T311" s="11"/>
      <c r="U311" s="11"/>
      <c r="V311" s="56"/>
      <c r="W311" s="57"/>
      <c r="X311" s="56"/>
      <c r="Y311" s="7"/>
      <c r="Z311" s="7"/>
      <c r="AA311" s="55"/>
      <c r="AB311" s="54"/>
    </row>
    <row r="312" spans="2:28" ht="30" hidden="1" customHeight="1">
      <c r="B312" s="59"/>
      <c r="C312" s="11" t="s">
        <v>33</v>
      </c>
      <c r="D312" s="11" t="s">
        <v>11</v>
      </c>
      <c r="E312" s="11"/>
      <c r="F312" s="34">
        <v>42003</v>
      </c>
      <c r="G312"/>
      <c r="H312"/>
      <c r="I312" s="32"/>
      <c r="J312"/>
      <c r="K312" s="31"/>
      <c r="L312" s="30"/>
      <c r="M312" s="29">
        <v>624</v>
      </c>
      <c r="N312" s="28">
        <f>IF(OR(TableauCB[[#This Row],[Etat]]="",TableauCB[[#This Row],[Etat]]="c"),IF(TableauCB[[#This Row],[Solde]]="","",N311),N311-TableauCB[[#This Row],[Débit]]+TableauCB[[#This Row],[Crédit]])</f>
        <v>4897.54</v>
      </c>
      <c r="O312" s="27" t="e">
        <f>IF(TableauCB[[#This Row],[Etat]]="xc",O311-TableauCB[[#This Row],[Débit]]+TableauCB[[#This Row],[Crédit]],O311-TableauCB[[#This Row],[Débit]])</f>
        <v>#VALUE!</v>
      </c>
      <c r="P312" s="27">
        <f>IF(AND(ISBLANK(TableauCB[[#This Row],[Débit]]),ISBLANK(TableauCB[[#This Row],[Crédit]])),"",P311+TableauCB[[#This Row],[Crédit]]-TableauCB[[#This Row],[Débit]])</f>
        <v>4897.54</v>
      </c>
      <c r="Q312" s="26"/>
      <c r="T312" s="11"/>
      <c r="U312" s="11"/>
      <c r="V312" s="56"/>
      <c r="W312" s="57"/>
      <c r="X312" s="56"/>
      <c r="Y312" s="7"/>
      <c r="Z312" s="7"/>
      <c r="AA312" s="55"/>
      <c r="AB312" s="54"/>
    </row>
    <row r="313" spans="2:28" ht="30" hidden="1" customHeight="1">
      <c r="B313" s="59"/>
      <c r="C313" s="11" t="s">
        <v>33</v>
      </c>
      <c r="D313" s="11" t="s">
        <v>11</v>
      </c>
      <c r="E313" s="11"/>
      <c r="F313" s="34">
        <v>42003</v>
      </c>
      <c r="G313"/>
      <c r="H313"/>
      <c r="I313" s="32"/>
      <c r="J313"/>
      <c r="K313" s="31"/>
      <c r="L313" s="30"/>
      <c r="M313" s="29">
        <v>115.2</v>
      </c>
      <c r="N313" s="28">
        <f>IF(OR(TableauCB[[#This Row],[Etat]]="",TableauCB[[#This Row],[Etat]]="c"),IF(TableauCB[[#This Row],[Solde]]="","",N312),N312-TableauCB[[#This Row],[Débit]]+TableauCB[[#This Row],[Crédit]])</f>
        <v>5012.74</v>
      </c>
      <c r="O313" s="27" t="e">
        <f>IF(TableauCB[[#This Row],[Etat]]="xc",O312-TableauCB[[#This Row],[Débit]]+TableauCB[[#This Row],[Crédit]],O312-TableauCB[[#This Row],[Débit]])</f>
        <v>#VALUE!</v>
      </c>
      <c r="P313" s="27">
        <f>IF(AND(ISBLANK(TableauCB[[#This Row],[Débit]]),ISBLANK(TableauCB[[#This Row],[Crédit]])),"",P312+TableauCB[[#This Row],[Crédit]]-TableauCB[[#This Row],[Débit]])</f>
        <v>5012.74</v>
      </c>
      <c r="Q313" s="26"/>
      <c r="T313" s="11"/>
      <c r="U313" s="11"/>
      <c r="V313" s="56"/>
      <c r="W313" s="57"/>
      <c r="X313" s="56"/>
      <c r="Y313" s="7"/>
      <c r="Z313" s="7"/>
      <c r="AA313" s="55"/>
      <c r="AB313" s="54"/>
    </row>
    <row r="314" spans="2:28" ht="30" hidden="1" customHeight="1">
      <c r="B314" s="59"/>
      <c r="C314" s="11" t="s">
        <v>33</v>
      </c>
      <c r="D314" s="11" t="s">
        <v>11</v>
      </c>
      <c r="E314" s="11"/>
      <c r="F314" s="34">
        <v>42003</v>
      </c>
      <c r="G314"/>
      <c r="H314"/>
      <c r="I314" s="32"/>
      <c r="J314"/>
      <c r="K314" s="31"/>
      <c r="L314" s="30"/>
      <c r="M314" s="29">
        <v>120</v>
      </c>
      <c r="N314" s="28">
        <f>IF(OR(TableauCB[[#This Row],[Etat]]="",TableauCB[[#This Row],[Etat]]="c"),IF(TableauCB[[#This Row],[Solde]]="","",N313),N313-TableauCB[[#This Row],[Débit]]+TableauCB[[#This Row],[Crédit]])</f>
        <v>5132.74</v>
      </c>
      <c r="O314" s="27" t="e">
        <f>IF(TableauCB[[#This Row],[Etat]]="xc",O313-TableauCB[[#This Row],[Débit]]+TableauCB[[#This Row],[Crédit]],O313-TableauCB[[#This Row],[Débit]])</f>
        <v>#VALUE!</v>
      </c>
      <c r="P314" s="27">
        <f>IF(AND(ISBLANK(TableauCB[[#This Row],[Débit]]),ISBLANK(TableauCB[[#This Row],[Crédit]])),"",P313+TableauCB[[#This Row],[Crédit]]-TableauCB[[#This Row],[Débit]])</f>
        <v>5132.74</v>
      </c>
      <c r="Q314" s="26"/>
      <c r="R314" s="36"/>
      <c r="S314" s="36"/>
      <c r="T314" s="11"/>
      <c r="U314" s="11"/>
      <c r="V314" s="56"/>
      <c r="W314" s="57"/>
      <c r="X314" s="56"/>
      <c r="Y314" s="7"/>
      <c r="Z314" s="7"/>
      <c r="AA314" s="55"/>
      <c r="AB314" s="54"/>
    </row>
    <row r="315" spans="2:28" ht="30" hidden="1" customHeight="1">
      <c r="B315" s="59"/>
      <c r="C315" s="11" t="s">
        <v>33</v>
      </c>
      <c r="D315" s="11" t="s">
        <v>5</v>
      </c>
      <c r="E315" s="11"/>
      <c r="F315" s="34">
        <v>42004</v>
      </c>
      <c r="G315"/>
      <c r="H315"/>
      <c r="I315" s="32"/>
      <c r="J315"/>
      <c r="K315" s="31"/>
      <c r="L315" s="30">
        <v>500</v>
      </c>
      <c r="M315" s="29"/>
      <c r="N315" s="28">
        <f>IF(OR(TableauCB[[#This Row],[Etat]]="",TableauCB[[#This Row],[Etat]]="c"),IF(TableauCB[[#This Row],[Solde]]="","",N314),N314-TableauCB[[#This Row],[Débit]]+TableauCB[[#This Row],[Crédit]])</f>
        <v>4632.74</v>
      </c>
      <c r="O315" s="27" t="e">
        <f>IF(TableauCB[[#This Row],[Etat]]="xc",O314-TableauCB[[#This Row],[Débit]]+TableauCB[[#This Row],[Crédit]],O314-TableauCB[[#This Row],[Débit]])</f>
        <v>#VALUE!</v>
      </c>
      <c r="P315" s="27">
        <f>IF(AND(ISBLANK(TableauCB[[#This Row],[Débit]]),ISBLANK(TableauCB[[#This Row],[Crédit]])),"",P314+TableauCB[[#This Row],[Crédit]]-TableauCB[[#This Row],[Débit]])</f>
        <v>4632.74</v>
      </c>
      <c r="Q315" s="26"/>
      <c r="R315" s="25"/>
      <c r="S315" s="25"/>
      <c r="T315" s="11"/>
      <c r="U315" s="11"/>
      <c r="V315" s="56"/>
      <c r="W315" s="57"/>
      <c r="X315" s="56"/>
      <c r="Y315" s="7"/>
      <c r="Z315" s="7"/>
      <c r="AA315" s="55"/>
      <c r="AB315" s="54"/>
    </row>
    <row r="316" spans="2:28" ht="30" hidden="1" customHeight="1" thickBot="1">
      <c r="B316" s="59"/>
      <c r="C316" s="11" t="s">
        <v>33</v>
      </c>
      <c r="D316" s="11" t="s">
        <v>5</v>
      </c>
      <c r="E316" s="11"/>
      <c r="F316" s="34">
        <v>42004</v>
      </c>
      <c r="G316"/>
      <c r="H316"/>
      <c r="I316" s="32"/>
      <c r="J316"/>
      <c r="K316" s="31"/>
      <c r="L316" s="30">
        <v>645.76</v>
      </c>
      <c r="M316" s="29"/>
      <c r="N316" s="28">
        <f>IF(OR(TableauCB[[#This Row],[Etat]]="",TableauCB[[#This Row],[Etat]]="c"),IF(TableauCB[[#This Row],[Solde]]="","",N315),N315-TableauCB[[#This Row],[Débit]]+TableauCB[[#This Row],[Crédit]])</f>
        <v>3986.9799999999996</v>
      </c>
      <c r="O316" s="27" t="e">
        <f>IF(TableauCB[[#This Row],[Etat]]="xc",O315-TableauCB[[#This Row],[Débit]]+TableauCB[[#This Row],[Crédit]],O315-TableauCB[[#This Row],[Débit]])</f>
        <v>#VALUE!</v>
      </c>
      <c r="P316" s="27">
        <f>IF(AND(ISBLANK(TableauCB[[#This Row],[Débit]]),ISBLANK(TableauCB[[#This Row],[Crédit]])),"",P315+TableauCB[[#This Row],[Crédit]]-TableauCB[[#This Row],[Débit]])</f>
        <v>3986.9799999999996</v>
      </c>
      <c r="Q316" s="26"/>
      <c r="R316" s="47" t="s">
        <v>54</v>
      </c>
      <c r="S316" s="47" t="s">
        <v>53</v>
      </c>
      <c r="T316" s="11"/>
      <c r="U316" s="11"/>
      <c r="V316" s="56"/>
      <c r="W316" s="57"/>
      <c r="X316" s="56"/>
      <c r="Y316" s="7"/>
      <c r="Z316" s="7"/>
      <c r="AA316" s="55"/>
      <c r="AB316" s="54"/>
    </row>
    <row r="317" spans="2:28" ht="30" hidden="1" customHeight="1" thickBot="1">
      <c r="B317" s="58"/>
      <c r="C317" s="11" t="s">
        <v>33</v>
      </c>
      <c r="D317" s="11" t="s">
        <v>9</v>
      </c>
      <c r="E317" s="11"/>
      <c r="F317" s="34">
        <v>42004</v>
      </c>
      <c r="G317"/>
      <c r="H317"/>
      <c r="I317" s="32"/>
      <c r="J317"/>
      <c r="K317" s="31"/>
      <c r="L317" s="30">
        <v>240</v>
      </c>
      <c r="M317" s="29"/>
      <c r="N317" s="28">
        <f>IF(OR(TableauCB[[#This Row],[Etat]]="",TableauCB[[#This Row],[Etat]]="c"),IF(TableauCB[[#This Row],[Solde]]="","",N316),N316-TableauCB[[#This Row],[Débit]]+TableauCB[[#This Row],[Crédit]])</f>
        <v>3746.9799999999996</v>
      </c>
      <c r="O317" s="27" t="e">
        <f>IF(TableauCB[[#This Row],[Etat]]="xc",O316-TableauCB[[#This Row],[Débit]]+TableauCB[[#This Row],[Crédit]],O316-TableauCB[[#This Row],[Débit]])</f>
        <v>#VALUE!</v>
      </c>
      <c r="P317" s="27">
        <f>IF(AND(ISBLANK(TableauCB[[#This Row],[Débit]]),ISBLANK(TableauCB[[#This Row],[Crédit]])),"",P316+TableauCB[[#This Row],[Crédit]]-TableauCB[[#This Row],[Débit]])</f>
        <v>3746.9799999999996</v>
      </c>
      <c r="Q317" s="26"/>
      <c r="R317" s="25">
        <f>SUM(M298:M317)-SUM(L298:L317)</f>
        <v>512.4399999999996</v>
      </c>
      <c r="S317" s="25">
        <f>R317/1.2</f>
        <v>427.03333333333302</v>
      </c>
      <c r="T317" s="11"/>
      <c r="U317" s="11"/>
      <c r="V317" s="56"/>
      <c r="W317" s="57"/>
      <c r="X317" s="56"/>
      <c r="Y317" s="7"/>
      <c r="Z317" s="7"/>
      <c r="AA317" s="55"/>
      <c r="AB317" s="54"/>
    </row>
    <row r="318" spans="2:28" ht="30" hidden="1" customHeight="1">
      <c r="B318" s="52" t="s">
        <v>77</v>
      </c>
      <c r="C318" s="11" t="s">
        <v>33</v>
      </c>
      <c r="D318" s="11" t="s">
        <v>30</v>
      </c>
      <c r="E318" s="11"/>
      <c r="F318" s="34">
        <v>42006</v>
      </c>
      <c r="G318"/>
      <c r="H318"/>
      <c r="I318" s="32"/>
      <c r="J318"/>
      <c r="K318" s="31"/>
      <c r="L318" s="30">
        <v>2.2400000000000002</v>
      </c>
      <c r="M318" s="29"/>
      <c r="N318" s="28">
        <f>IF(OR(TableauCB[[#This Row],[Etat]]="",TableauCB[[#This Row],[Etat]]="c"),IF(TableauCB[[#This Row],[Solde]]="","",N317),N317-TableauCB[[#This Row],[Débit]]+TableauCB[[#This Row],[Crédit]])</f>
        <v>3744.74</v>
      </c>
      <c r="O318" s="27" t="e">
        <f>IF(TableauCB[[#This Row],[Etat]]="xc",O317-TableauCB[[#This Row],[Débit]]+TableauCB[[#This Row],[Crédit]],O317-TableauCB[[#This Row],[Débit]])</f>
        <v>#VALUE!</v>
      </c>
      <c r="P318" s="27">
        <f>IF(AND(ISBLANK(TableauCB[[#This Row],[Débit]]),ISBLANK(TableauCB[[#This Row],[Crédit]])),"",P317+TableauCB[[#This Row],[Crédit]]-TableauCB[[#This Row],[Débit]])</f>
        <v>3744.74</v>
      </c>
      <c r="Q318" s="26"/>
      <c r="T318" s="11"/>
      <c r="U318" s="11"/>
      <c r="V318" s="56"/>
      <c r="W318" s="57"/>
      <c r="X318" s="56"/>
      <c r="Y318" s="7"/>
      <c r="Z318" s="7"/>
      <c r="AA318" s="55"/>
      <c r="AB318" s="54"/>
    </row>
    <row r="319" spans="2:28" ht="30" hidden="1" customHeight="1">
      <c r="B319" s="46"/>
      <c r="C319" s="11" t="s">
        <v>33</v>
      </c>
      <c r="D319" s="11" t="s">
        <v>41</v>
      </c>
      <c r="E319" s="11"/>
      <c r="F319" s="34">
        <v>42006</v>
      </c>
      <c r="G319"/>
      <c r="H319"/>
      <c r="I319" s="32"/>
      <c r="J319"/>
      <c r="K319" s="31"/>
      <c r="L319" s="30">
        <v>152.97999999999999</v>
      </c>
      <c r="M319" s="29"/>
      <c r="N319" s="28">
        <f>IF(OR(TableauCB[[#This Row],[Etat]]="",TableauCB[[#This Row],[Etat]]="c"),IF(TableauCB[[#This Row],[Solde]]="","",N318),N318-TableauCB[[#This Row],[Débit]]+TableauCB[[#This Row],[Crédit]])</f>
        <v>3591.7599999999998</v>
      </c>
      <c r="O319" s="27" t="e">
        <f>IF(TableauCB[[#This Row],[Etat]]="xc",O318-TableauCB[[#This Row],[Débit]]+TableauCB[[#This Row],[Crédit]],O318-TableauCB[[#This Row],[Débit]])</f>
        <v>#VALUE!</v>
      </c>
      <c r="P319" s="27">
        <f>IF(AND(ISBLANK(TableauCB[[#This Row],[Débit]]),ISBLANK(TableauCB[[#This Row],[Crédit]])),"",P318+TableauCB[[#This Row],[Crédit]]-TableauCB[[#This Row],[Débit]])</f>
        <v>3591.7599999999998</v>
      </c>
      <c r="Q319" s="26"/>
      <c r="T319" s="11"/>
      <c r="U319" s="11"/>
      <c r="V319" s="56"/>
      <c r="W319" s="57"/>
      <c r="X319" s="56"/>
      <c r="Y319" s="7"/>
      <c r="Z319" s="7"/>
      <c r="AA319" s="55"/>
      <c r="AB319" s="54"/>
    </row>
    <row r="320" spans="2:28" ht="30" hidden="1" customHeight="1">
      <c r="B320" s="46"/>
      <c r="C320" s="11" t="s">
        <v>33</v>
      </c>
      <c r="D320" s="11" t="s">
        <v>21</v>
      </c>
      <c r="E320" s="11"/>
      <c r="F320" s="34">
        <v>42006</v>
      </c>
      <c r="G320"/>
      <c r="H320"/>
      <c r="I320" s="32"/>
      <c r="J320"/>
      <c r="K320" s="31"/>
      <c r="L320" s="30">
        <v>6.91</v>
      </c>
      <c r="M320" s="29"/>
      <c r="N320" s="28">
        <f>IF(OR(TableauCB[[#This Row],[Etat]]="",TableauCB[[#This Row],[Etat]]="c"),IF(TableauCB[[#This Row],[Solde]]="","",N319),N319-TableauCB[[#This Row],[Débit]]+TableauCB[[#This Row],[Crédit]])</f>
        <v>3584.85</v>
      </c>
      <c r="O320" s="27" t="e">
        <f>IF(TableauCB[[#This Row],[Etat]]="xc",O319-TableauCB[[#This Row],[Débit]]+TableauCB[[#This Row],[Crédit]],O319-TableauCB[[#This Row],[Débit]])</f>
        <v>#VALUE!</v>
      </c>
      <c r="P320" s="27">
        <f>IF(AND(ISBLANK(TableauCB[[#This Row],[Débit]]),ISBLANK(TableauCB[[#This Row],[Crédit]])),"",P319+TableauCB[[#This Row],[Crédit]]-TableauCB[[#This Row],[Débit]])</f>
        <v>3584.85</v>
      </c>
      <c r="Q320" s="26"/>
      <c r="T320" s="11"/>
      <c r="U320" s="11"/>
      <c r="V320" s="56"/>
      <c r="W320" s="57"/>
      <c r="X320" s="56"/>
      <c r="Y320" s="7"/>
      <c r="Z320" s="7"/>
      <c r="AA320" s="55"/>
      <c r="AB320" s="54"/>
    </row>
    <row r="321" spans="2:28" ht="30" hidden="1" customHeight="1">
      <c r="B321" s="46"/>
      <c r="C321" s="11" t="s">
        <v>33</v>
      </c>
      <c r="D321" s="11" t="s">
        <v>21</v>
      </c>
      <c r="E321" s="11"/>
      <c r="F321" s="34">
        <v>42006</v>
      </c>
      <c r="G321"/>
      <c r="H321"/>
      <c r="I321" s="32"/>
      <c r="J321"/>
      <c r="K321" s="31"/>
      <c r="L321" s="30">
        <v>0.02</v>
      </c>
      <c r="M321" s="29"/>
      <c r="N321" s="28">
        <f>IF(OR(TableauCB[[#This Row],[Etat]]="",TableauCB[[#This Row],[Etat]]="c"),IF(TableauCB[[#This Row],[Solde]]="","",N320),N320-TableauCB[[#This Row],[Débit]]+TableauCB[[#This Row],[Crédit]])</f>
        <v>3584.83</v>
      </c>
      <c r="O321" s="27" t="e">
        <f>IF(TableauCB[[#This Row],[Etat]]="xc",O320-TableauCB[[#This Row],[Débit]]+TableauCB[[#This Row],[Crédit]],O320-TableauCB[[#This Row],[Débit]])</f>
        <v>#VALUE!</v>
      </c>
      <c r="P321" s="27">
        <f>IF(AND(ISBLANK(TableauCB[[#This Row],[Débit]]),ISBLANK(TableauCB[[#This Row],[Crédit]])),"",P320+TableauCB[[#This Row],[Crédit]]-TableauCB[[#This Row],[Débit]])</f>
        <v>3584.83</v>
      </c>
      <c r="Q321" s="26"/>
      <c r="T321" s="11"/>
      <c r="U321" s="11"/>
      <c r="V321" s="56"/>
      <c r="W321" s="57"/>
      <c r="X321" s="56"/>
      <c r="Y321" s="7"/>
      <c r="Z321" s="7"/>
      <c r="AA321" s="55"/>
      <c r="AB321" s="54"/>
    </row>
    <row r="322" spans="2:28" ht="30" hidden="1" customHeight="1">
      <c r="B322" s="46"/>
      <c r="C322" s="11" t="s">
        <v>33</v>
      </c>
      <c r="D322" s="11" t="s">
        <v>17</v>
      </c>
      <c r="E322" s="11"/>
      <c r="F322" s="34">
        <v>42007</v>
      </c>
      <c r="G322"/>
      <c r="H322"/>
      <c r="I322" s="32"/>
      <c r="J322"/>
      <c r="K322" s="31"/>
      <c r="L322" s="30">
        <v>44.75</v>
      </c>
      <c r="M322" s="29"/>
      <c r="N322" s="28">
        <f>IF(OR(TableauCB[[#This Row],[Etat]]="",TableauCB[[#This Row],[Etat]]="c"),IF(TableauCB[[#This Row],[Solde]]="","",N321),N321-TableauCB[[#This Row],[Débit]]+TableauCB[[#This Row],[Crédit]])</f>
        <v>3540.08</v>
      </c>
      <c r="O322" s="27" t="e">
        <f>IF(TableauCB[[#This Row],[Etat]]="xc",O321-TableauCB[[#This Row],[Débit]]+TableauCB[[#This Row],[Crédit]],O321-TableauCB[[#This Row],[Débit]])</f>
        <v>#VALUE!</v>
      </c>
      <c r="P322" s="27">
        <f>IF(AND(ISBLANK(TableauCB[[#This Row],[Débit]]),ISBLANK(TableauCB[[#This Row],[Crédit]])),"",P321+TableauCB[[#This Row],[Crédit]]-TableauCB[[#This Row],[Débit]])</f>
        <v>3540.08</v>
      </c>
      <c r="Q322" s="26"/>
      <c r="T322" s="11"/>
      <c r="U322" s="11"/>
      <c r="V322" s="56"/>
      <c r="W322" s="57"/>
      <c r="X322" s="56"/>
      <c r="Y322" s="7"/>
      <c r="Z322" s="7"/>
      <c r="AA322" s="55"/>
      <c r="AB322" s="54"/>
    </row>
    <row r="323" spans="2:28" ht="30" hidden="1" customHeight="1">
      <c r="B323" s="46"/>
      <c r="C323" s="11" t="s">
        <v>33</v>
      </c>
      <c r="D323" s="11" t="s">
        <v>32</v>
      </c>
      <c r="E323" s="11"/>
      <c r="F323" s="34">
        <v>42007</v>
      </c>
      <c r="G323"/>
      <c r="H323"/>
      <c r="I323" s="32">
        <v>42010</v>
      </c>
      <c r="J323"/>
      <c r="K323" s="31"/>
      <c r="L323" s="30"/>
      <c r="M323" s="29">
        <v>144</v>
      </c>
      <c r="N323" s="28">
        <f>IF(OR(TableauCB[[#This Row],[Etat]]="",TableauCB[[#This Row],[Etat]]="c"),IF(TableauCB[[#This Row],[Solde]]="","",N322),N322-TableauCB[[#This Row],[Débit]]+TableauCB[[#This Row],[Crédit]])</f>
        <v>3684.08</v>
      </c>
      <c r="O323" s="27" t="e">
        <f>IF(TableauCB[[#This Row],[Etat]]="xc",O322-TableauCB[[#This Row],[Débit]]+TableauCB[[#This Row],[Crédit]],O322-TableauCB[[#This Row],[Débit]])</f>
        <v>#VALUE!</v>
      </c>
      <c r="P323" s="27">
        <f>IF(AND(ISBLANK(TableauCB[[#This Row],[Débit]]),ISBLANK(TableauCB[[#This Row],[Crédit]])),"",P322+TableauCB[[#This Row],[Crédit]]-TableauCB[[#This Row],[Débit]])</f>
        <v>3684.08</v>
      </c>
      <c r="Q323" s="26"/>
      <c r="T323" s="11"/>
      <c r="U323" s="11"/>
      <c r="V323" s="56"/>
      <c r="W323" s="57"/>
      <c r="X323" s="56"/>
      <c r="Y323" s="7"/>
      <c r="Z323" s="7"/>
      <c r="AA323" s="55"/>
      <c r="AB323" s="54"/>
    </row>
    <row r="324" spans="2:28" ht="30" hidden="1" customHeight="1">
      <c r="B324" s="46"/>
      <c r="C324" s="11" t="s">
        <v>33</v>
      </c>
      <c r="D324" s="11" t="s">
        <v>21</v>
      </c>
      <c r="E324" s="11"/>
      <c r="F324" s="34">
        <v>42013</v>
      </c>
      <c r="G324"/>
      <c r="H324"/>
      <c r="I324" s="32"/>
      <c r="J324"/>
      <c r="K324" s="31"/>
      <c r="L324" s="30">
        <v>21.9</v>
      </c>
      <c r="M324" s="29"/>
      <c r="N324" s="28">
        <f>IF(OR(TableauCB[[#This Row],[Etat]]="",TableauCB[[#This Row],[Etat]]="c"),IF(TableauCB[[#This Row],[Solde]]="","",N323),N323-TableauCB[[#This Row],[Débit]]+TableauCB[[#This Row],[Crédit]])</f>
        <v>3662.18</v>
      </c>
      <c r="O324" s="27" t="e">
        <f>IF(TableauCB[[#This Row],[Etat]]="xc",O323-TableauCB[[#This Row],[Débit]]+TableauCB[[#This Row],[Crédit]],O323-TableauCB[[#This Row],[Débit]])</f>
        <v>#VALUE!</v>
      </c>
      <c r="P324" s="27">
        <f>IF(AND(ISBLANK(TableauCB[[#This Row],[Débit]]),ISBLANK(TableauCB[[#This Row],[Crédit]])),"",P323+TableauCB[[#This Row],[Crédit]]-TableauCB[[#This Row],[Débit]])</f>
        <v>3662.18</v>
      </c>
      <c r="Q324" s="26"/>
      <c r="T324" s="11"/>
      <c r="U324" s="11"/>
      <c r="V324" s="56"/>
      <c r="W324" s="57"/>
      <c r="X324" s="56"/>
      <c r="Y324" s="7"/>
      <c r="Z324" s="7"/>
      <c r="AA324" s="55"/>
      <c r="AB324" s="54"/>
    </row>
    <row r="325" spans="2:28" ht="30" hidden="1" customHeight="1">
      <c r="B325" s="46"/>
      <c r="C325" s="11" t="s">
        <v>33</v>
      </c>
      <c r="D325" s="11" t="s">
        <v>15</v>
      </c>
      <c r="E325" s="11"/>
      <c r="F325" s="34">
        <v>42015</v>
      </c>
      <c r="G325"/>
      <c r="H325"/>
      <c r="I325" s="32">
        <v>42018</v>
      </c>
      <c r="J325"/>
      <c r="K325" s="31"/>
      <c r="L325" s="30">
        <v>201.6</v>
      </c>
      <c r="M325" s="29"/>
      <c r="N325" s="28">
        <f>IF(OR(TableauCB[[#This Row],[Etat]]="",TableauCB[[#This Row],[Etat]]="c"),IF(TableauCB[[#This Row],[Solde]]="","",N324),N324-TableauCB[[#This Row],[Débit]]+TableauCB[[#This Row],[Crédit]])</f>
        <v>3460.58</v>
      </c>
      <c r="O325" s="27" t="e">
        <f>IF(TableauCB[[#This Row],[Etat]]="xc",O324-TableauCB[[#This Row],[Débit]]+TableauCB[[#This Row],[Crédit]],O324-TableauCB[[#This Row],[Débit]])</f>
        <v>#VALUE!</v>
      </c>
      <c r="P325" s="27">
        <f>IF(AND(ISBLANK(TableauCB[[#This Row],[Débit]]),ISBLANK(TableauCB[[#This Row],[Crédit]])),"",P324+TableauCB[[#This Row],[Crédit]]-TableauCB[[#This Row],[Débit]])</f>
        <v>3460.58</v>
      </c>
      <c r="Q325" s="26"/>
      <c r="T325" s="11"/>
      <c r="U325" s="11"/>
      <c r="V325" s="56"/>
      <c r="W325" s="57"/>
      <c r="X325" s="56"/>
      <c r="Y325" s="7"/>
      <c r="Z325" s="7"/>
      <c r="AA325" s="55"/>
      <c r="AB325" s="54"/>
    </row>
    <row r="326" spans="2:28" ht="30" hidden="1" customHeight="1">
      <c r="B326" s="46"/>
      <c r="C326" s="11" t="s">
        <v>33</v>
      </c>
      <c r="D326" s="11" t="s">
        <v>58</v>
      </c>
      <c r="E326" s="11"/>
      <c r="F326" s="34">
        <v>42017</v>
      </c>
      <c r="G326"/>
      <c r="H326"/>
      <c r="I326" s="32"/>
      <c r="J326"/>
      <c r="K326" s="31"/>
      <c r="L326" s="30">
        <v>44.2</v>
      </c>
      <c r="M326" s="29"/>
      <c r="N326" s="28">
        <f>IF(OR(TableauCB[[#This Row],[Etat]]="",TableauCB[[#This Row],[Etat]]="c"),IF(TableauCB[[#This Row],[Solde]]="","",N325),N325-TableauCB[[#This Row],[Débit]]+TableauCB[[#This Row],[Crédit]])</f>
        <v>3416.38</v>
      </c>
      <c r="O326" s="27" t="e">
        <f>IF(TableauCB[[#This Row],[Etat]]="xc",O325-TableauCB[[#This Row],[Débit]]+TableauCB[[#This Row],[Crédit]],O325-TableauCB[[#This Row],[Débit]])</f>
        <v>#VALUE!</v>
      </c>
      <c r="P326" s="27">
        <f>IF(AND(ISBLANK(TableauCB[[#This Row],[Débit]]),ISBLANK(TableauCB[[#This Row],[Crédit]])),"",P325+TableauCB[[#This Row],[Crédit]]-TableauCB[[#This Row],[Débit]])</f>
        <v>3416.38</v>
      </c>
      <c r="Q326" s="26"/>
      <c r="T326" s="11"/>
      <c r="U326" s="11"/>
      <c r="V326" s="56"/>
      <c r="W326" s="57"/>
      <c r="X326" s="56"/>
      <c r="Y326" s="7"/>
      <c r="Z326" s="7"/>
      <c r="AA326" s="55"/>
      <c r="AB326" s="54"/>
    </row>
    <row r="327" spans="2:28" ht="30" hidden="1" customHeight="1">
      <c r="B327" s="46"/>
      <c r="C327" s="11" t="s">
        <v>33</v>
      </c>
      <c r="D327" s="11" t="s">
        <v>30</v>
      </c>
      <c r="E327" s="11"/>
      <c r="F327" s="34">
        <v>42018</v>
      </c>
      <c r="G327"/>
      <c r="H327"/>
      <c r="I327" s="32"/>
      <c r="J327"/>
      <c r="K327" s="31"/>
      <c r="L327" s="30">
        <v>6.3</v>
      </c>
      <c r="M327" s="29"/>
      <c r="N327" s="28">
        <f>IF(OR(TableauCB[[#This Row],[Etat]]="",TableauCB[[#This Row],[Etat]]="c"),IF(TableauCB[[#This Row],[Solde]]="","",N326),N326-TableauCB[[#This Row],[Débit]]+TableauCB[[#This Row],[Crédit]])</f>
        <v>3410.08</v>
      </c>
      <c r="O327" s="27" t="e">
        <f>IF(TableauCB[[#This Row],[Etat]]="xc",O326-TableauCB[[#This Row],[Débit]]+TableauCB[[#This Row],[Crédit]],O326-TableauCB[[#This Row],[Débit]])</f>
        <v>#VALUE!</v>
      </c>
      <c r="P327" s="27">
        <f>IF(AND(ISBLANK(TableauCB[[#This Row],[Débit]]),ISBLANK(TableauCB[[#This Row],[Crédit]])),"",P326+TableauCB[[#This Row],[Crédit]]-TableauCB[[#This Row],[Débit]])</f>
        <v>3410.08</v>
      </c>
      <c r="Q327" s="26"/>
      <c r="T327" s="11"/>
      <c r="U327" s="11"/>
      <c r="V327" s="56"/>
      <c r="W327" s="57"/>
      <c r="X327" s="56"/>
      <c r="Y327" s="7"/>
      <c r="Z327" s="7"/>
      <c r="AA327" s="55"/>
      <c r="AB327" s="54"/>
    </row>
    <row r="328" spans="2:28" ht="30" hidden="1" customHeight="1">
      <c r="B328" s="46"/>
      <c r="C328" s="11" t="s">
        <v>33</v>
      </c>
      <c r="D328" s="11" t="s">
        <v>15</v>
      </c>
      <c r="E328" s="11"/>
      <c r="F328" s="34">
        <v>42019</v>
      </c>
      <c r="G328"/>
      <c r="H328"/>
      <c r="I328" s="32"/>
      <c r="J328"/>
      <c r="K328" s="31"/>
      <c r="L328" s="30">
        <v>1249</v>
      </c>
      <c r="M328" s="29"/>
      <c r="N328" s="28">
        <f>IF(OR(TableauCB[[#This Row],[Etat]]="",TableauCB[[#This Row],[Etat]]="c"),IF(TableauCB[[#This Row],[Solde]]="","",N327),N327-TableauCB[[#This Row],[Débit]]+TableauCB[[#This Row],[Crédit]])</f>
        <v>2161.08</v>
      </c>
      <c r="O328" s="27" t="e">
        <f>IF(TableauCB[[#This Row],[Etat]]="xc",O327-TableauCB[[#This Row],[Débit]]+TableauCB[[#This Row],[Crédit]],O327-TableauCB[[#This Row],[Débit]])</f>
        <v>#VALUE!</v>
      </c>
      <c r="P328" s="27">
        <f>IF(AND(ISBLANK(TableauCB[[#This Row],[Débit]]),ISBLANK(TableauCB[[#This Row],[Crédit]])),"",P327+TableauCB[[#This Row],[Crédit]]-TableauCB[[#This Row],[Débit]])</f>
        <v>2161.08</v>
      </c>
      <c r="Q328" s="26"/>
      <c r="T328" s="11"/>
      <c r="U328" s="11"/>
      <c r="V328" s="56"/>
      <c r="W328" s="57"/>
      <c r="X328" s="56"/>
      <c r="Y328" s="7"/>
      <c r="Z328" s="7"/>
      <c r="AA328" s="55"/>
      <c r="AB328" s="54"/>
    </row>
    <row r="329" spans="2:28" ht="30" hidden="1" customHeight="1">
      <c r="B329" s="46"/>
      <c r="C329" s="11" t="s">
        <v>33</v>
      </c>
      <c r="D329" s="11" t="s">
        <v>15</v>
      </c>
      <c r="E329" s="11"/>
      <c r="F329" s="34">
        <v>42019</v>
      </c>
      <c r="G329"/>
      <c r="H329"/>
      <c r="I329" s="32"/>
      <c r="J329"/>
      <c r="K329" s="31"/>
      <c r="L329" s="30">
        <v>38</v>
      </c>
      <c r="M329" s="29"/>
      <c r="N329" s="28">
        <f>IF(OR(TableauCB[[#This Row],[Etat]]="",TableauCB[[#This Row],[Etat]]="c"),IF(TableauCB[[#This Row],[Solde]]="","",N328),N328-TableauCB[[#This Row],[Débit]]+TableauCB[[#This Row],[Crédit]])</f>
        <v>2123.08</v>
      </c>
      <c r="O329" s="27" t="e">
        <f>IF(TableauCB[[#This Row],[Etat]]="xc",O328-TableauCB[[#This Row],[Débit]]+TableauCB[[#This Row],[Crédit]],O328-TableauCB[[#This Row],[Débit]])</f>
        <v>#VALUE!</v>
      </c>
      <c r="P329" s="27">
        <f>IF(AND(ISBLANK(TableauCB[[#This Row],[Débit]]),ISBLANK(TableauCB[[#This Row],[Crédit]])),"",P328+TableauCB[[#This Row],[Crédit]]-TableauCB[[#This Row],[Débit]])</f>
        <v>2123.08</v>
      </c>
      <c r="Q329" s="26"/>
      <c r="T329" s="11"/>
      <c r="U329" s="11"/>
      <c r="V329" s="56"/>
      <c r="W329" s="57"/>
      <c r="X329" s="56"/>
      <c r="Y329" s="7"/>
      <c r="Z329" s="7"/>
      <c r="AA329" s="55"/>
      <c r="AB329" s="54"/>
    </row>
    <row r="330" spans="2:28" ht="30" hidden="1" customHeight="1">
      <c r="B330" s="46"/>
      <c r="C330" s="11" t="s">
        <v>33</v>
      </c>
      <c r="D330" s="11" t="s">
        <v>11</v>
      </c>
      <c r="E330" s="11"/>
      <c r="F330" s="34">
        <v>42034</v>
      </c>
      <c r="G330"/>
      <c r="H330"/>
      <c r="I330" s="32">
        <v>42066</v>
      </c>
      <c r="J330"/>
      <c r="K330" s="31"/>
      <c r="L330" s="30"/>
      <c r="M330" s="29">
        <v>108</v>
      </c>
      <c r="N330" s="28">
        <f>IF(OR(TableauCB[[#This Row],[Etat]]="",TableauCB[[#This Row],[Etat]]="c"),IF(TableauCB[[#This Row],[Solde]]="","",N329),N329-TableauCB[[#This Row],[Débit]]+TableauCB[[#This Row],[Crédit]])</f>
        <v>2231.08</v>
      </c>
      <c r="O330" s="27" t="e">
        <f>IF(TableauCB[[#This Row],[Etat]]="xc",O329-TableauCB[[#This Row],[Débit]]+TableauCB[[#This Row],[Crédit]],O329-TableauCB[[#This Row],[Débit]])</f>
        <v>#VALUE!</v>
      </c>
      <c r="P330" s="27">
        <f>IF(AND(ISBLANK(TableauCB[[#This Row],[Débit]]),ISBLANK(TableauCB[[#This Row],[Crédit]])),"",P329+TableauCB[[#This Row],[Crédit]]-TableauCB[[#This Row],[Débit]])</f>
        <v>2231.08</v>
      </c>
      <c r="Q330" s="26"/>
      <c r="T330" s="11"/>
      <c r="U330" s="11"/>
      <c r="V330" s="56"/>
      <c r="W330" s="57"/>
      <c r="X330" s="56"/>
      <c r="Y330" s="7"/>
      <c r="Z330" s="7"/>
      <c r="AA330" s="55"/>
      <c r="AB330" s="54"/>
    </row>
    <row r="331" spans="2:28" ht="30" hidden="1" customHeight="1">
      <c r="B331" s="46"/>
      <c r="C331" s="11" t="s">
        <v>33</v>
      </c>
      <c r="D331" s="11" t="s">
        <v>11</v>
      </c>
      <c r="E331" s="11"/>
      <c r="F331" s="34">
        <v>42034</v>
      </c>
      <c r="G331"/>
      <c r="H331"/>
      <c r="I331" s="32">
        <v>42054</v>
      </c>
      <c r="J331"/>
      <c r="K331" s="31"/>
      <c r="L331" s="30"/>
      <c r="M331" s="29">
        <v>198</v>
      </c>
      <c r="N331" s="28">
        <f>IF(OR(TableauCB[[#This Row],[Etat]]="",TableauCB[[#This Row],[Etat]]="c"),IF(TableauCB[[#This Row],[Solde]]="","",N330),N330-TableauCB[[#This Row],[Débit]]+TableauCB[[#This Row],[Crédit]])</f>
        <v>2429.08</v>
      </c>
      <c r="O331" s="27" t="e">
        <f>IF(TableauCB[[#This Row],[Etat]]="xc",O330-TableauCB[[#This Row],[Débit]]+TableauCB[[#This Row],[Crédit]],O330-TableauCB[[#This Row],[Débit]])</f>
        <v>#VALUE!</v>
      </c>
      <c r="P331" s="27">
        <f>IF(AND(ISBLANK(TableauCB[[#This Row],[Débit]]),ISBLANK(TableauCB[[#This Row],[Crédit]])),"",P330+TableauCB[[#This Row],[Crédit]]-TableauCB[[#This Row],[Débit]])</f>
        <v>2429.08</v>
      </c>
      <c r="Q331" s="26"/>
      <c r="T331" s="11"/>
      <c r="U331" s="11"/>
      <c r="V331" s="56"/>
      <c r="W331" s="57"/>
      <c r="X331" s="56"/>
      <c r="Y331" s="7"/>
      <c r="Z331" s="7"/>
      <c r="AA331" s="55"/>
      <c r="AB331" s="54"/>
    </row>
    <row r="332" spans="2:28" ht="30" hidden="1" customHeight="1">
      <c r="B332" s="46"/>
      <c r="C332" s="11" t="s">
        <v>33</v>
      </c>
      <c r="D332" s="11" t="s">
        <v>11</v>
      </c>
      <c r="E332" s="11"/>
      <c r="F332" s="34">
        <v>42034</v>
      </c>
      <c r="G332"/>
      <c r="H332"/>
      <c r="I332" s="32">
        <v>42105</v>
      </c>
      <c r="J332"/>
      <c r="K332" s="31"/>
      <c r="L332" s="30"/>
      <c r="M332" s="29">
        <f>151.8*0.77</f>
        <v>116.88600000000001</v>
      </c>
      <c r="N332" s="28">
        <f>IF(OR(TableauCB[[#This Row],[Etat]]="",TableauCB[[#This Row],[Etat]]="c"),IF(TableauCB[[#This Row],[Solde]]="","",N331),N331-TableauCB[[#This Row],[Débit]]+TableauCB[[#This Row],[Crédit]])</f>
        <v>2545.9659999999999</v>
      </c>
      <c r="O332" s="27" t="e">
        <f>IF(TableauCB[[#This Row],[Etat]]="xc",O331-TableauCB[[#This Row],[Débit]]+TableauCB[[#This Row],[Crédit]],O331-TableauCB[[#This Row],[Débit]])</f>
        <v>#VALUE!</v>
      </c>
      <c r="P332" s="27">
        <f>IF(AND(ISBLANK(TableauCB[[#This Row],[Débit]]),ISBLANK(TableauCB[[#This Row],[Crédit]])),"",P331+TableauCB[[#This Row],[Crédit]]-TableauCB[[#This Row],[Débit]])</f>
        <v>2545.9659999999999</v>
      </c>
      <c r="Q332" s="26"/>
      <c r="T332" s="11"/>
      <c r="U332" s="11"/>
      <c r="V332" s="56"/>
      <c r="W332" s="57"/>
      <c r="X332" s="56"/>
      <c r="Y332" s="7"/>
      <c r="Z332" s="7"/>
      <c r="AA332" s="55"/>
      <c r="AB332" s="54"/>
    </row>
    <row r="333" spans="2:28" ht="30" hidden="1" customHeight="1">
      <c r="B333" s="46"/>
      <c r="C333" s="11" t="s">
        <v>33</v>
      </c>
      <c r="D333" s="11" t="s">
        <v>11</v>
      </c>
      <c r="E333" s="11"/>
      <c r="F333" s="34">
        <v>42034</v>
      </c>
      <c r="G333"/>
      <c r="H333"/>
      <c r="I333" s="32">
        <v>42101</v>
      </c>
      <c r="J333"/>
      <c r="K333" s="31"/>
      <c r="L333" s="30"/>
      <c r="M333" s="29">
        <v>522</v>
      </c>
      <c r="N333" s="28">
        <f>IF(OR(TableauCB[[#This Row],[Etat]]="",TableauCB[[#This Row],[Etat]]="c"),IF(TableauCB[[#This Row],[Solde]]="","",N332),N332-TableauCB[[#This Row],[Débit]]+TableauCB[[#This Row],[Crédit]])</f>
        <v>3067.9659999999999</v>
      </c>
      <c r="O333" s="27" t="e">
        <f>IF(TableauCB[[#This Row],[Etat]]="xc",O332-TableauCB[[#This Row],[Débit]]+TableauCB[[#This Row],[Crédit]],O332-TableauCB[[#This Row],[Débit]])</f>
        <v>#VALUE!</v>
      </c>
      <c r="P333" s="27">
        <f>IF(AND(ISBLANK(TableauCB[[#This Row],[Débit]]),ISBLANK(TableauCB[[#This Row],[Crédit]])),"",P331+TableauCB[[#This Row],[Crédit]]-TableauCB[[#This Row],[Débit]])</f>
        <v>2951.08</v>
      </c>
      <c r="Q333" s="26"/>
      <c r="S333" s="41"/>
      <c r="T333" s="11"/>
      <c r="U333" s="11"/>
      <c r="V333" s="56"/>
      <c r="W333" s="57"/>
      <c r="X333" s="56"/>
      <c r="Y333" s="7"/>
      <c r="Z333" s="7"/>
      <c r="AA333" s="55"/>
      <c r="AB333" s="54"/>
    </row>
    <row r="334" spans="2:28" ht="30" hidden="1" customHeight="1" collapsed="1">
      <c r="B334" s="46"/>
      <c r="C334" s="11" t="s">
        <v>33</v>
      </c>
      <c r="D334" s="11" t="s">
        <v>11</v>
      </c>
      <c r="E334" s="11"/>
      <c r="F334" s="34">
        <v>42034</v>
      </c>
      <c r="G334"/>
      <c r="H334"/>
      <c r="I334" s="32">
        <v>42051</v>
      </c>
      <c r="J334"/>
      <c r="K334" s="31"/>
      <c r="L334" s="30"/>
      <c r="M334" s="29">
        <v>25.2</v>
      </c>
      <c r="N334" s="28">
        <f>IF(OR(TableauCB[[#This Row],[Etat]]="",TableauCB[[#This Row],[Etat]]="c"),IF(TableauCB[[#This Row],[Solde]]="","",N333),N333-TableauCB[[#This Row],[Débit]]+TableauCB[[#This Row],[Crédit]])</f>
        <v>3093.1659999999997</v>
      </c>
      <c r="O334" s="27" t="e">
        <f>IF(TableauCB[[#This Row],[Etat]]="xc",O333-TableauCB[[#This Row],[Débit]]+TableauCB[[#This Row],[Crédit]],O333-TableauCB[[#This Row],[Débit]])</f>
        <v>#VALUE!</v>
      </c>
      <c r="P334" s="27">
        <f>IF(AND(ISBLANK(TableauCB[[#This Row],[Débit]]),ISBLANK(TableauCB[[#This Row],[Crédit]])),"",P332+TableauCB[[#This Row],[Crédit]]-TableauCB[[#This Row],[Débit]])</f>
        <v>2571.1659999999997</v>
      </c>
      <c r="Q334" s="26"/>
      <c r="T334" s="11"/>
      <c r="U334" s="11"/>
      <c r="V334" s="56"/>
      <c r="W334" s="57"/>
      <c r="X334" s="56"/>
      <c r="Y334" s="7"/>
      <c r="Z334" s="7"/>
      <c r="AA334" s="55"/>
      <c r="AB334" s="54"/>
    </row>
    <row r="335" spans="2:28" ht="30" hidden="1" customHeight="1">
      <c r="B335" s="46"/>
      <c r="C335" s="11" t="s">
        <v>33</v>
      </c>
      <c r="D335" s="11" t="s">
        <v>11</v>
      </c>
      <c r="E335" s="11"/>
      <c r="F335" s="34">
        <v>42034</v>
      </c>
      <c r="G335"/>
      <c r="H335"/>
      <c r="I335" s="32">
        <v>42080</v>
      </c>
      <c r="J335"/>
      <c r="K335" s="31"/>
      <c r="L335" s="30"/>
      <c r="M335" s="29">
        <v>288</v>
      </c>
      <c r="N335" s="28">
        <f>IF(OR(TableauCB[[#This Row],[Etat]]="",TableauCB[[#This Row],[Etat]]="c"),IF(TableauCB[[#This Row],[Solde]]="","",N334),N334-TableauCB[[#This Row],[Débit]]+TableauCB[[#This Row],[Crédit]])</f>
        <v>3381.1659999999997</v>
      </c>
      <c r="O335" s="27" t="e">
        <f>IF(TableauCB[[#This Row],[Etat]]="xc",O334-TableauCB[[#This Row],[Débit]]+TableauCB[[#This Row],[Crédit]],O334-TableauCB[[#This Row],[Débit]])</f>
        <v>#VALUE!</v>
      </c>
      <c r="P335" s="27">
        <f>IF(AND(ISBLANK(TableauCB[[#This Row],[Débit]]),ISBLANK(TableauCB[[#This Row],[Crédit]])),"",P334+TableauCB[[#This Row],[Crédit]]-TableauCB[[#This Row],[Débit]])</f>
        <v>2859.1659999999997</v>
      </c>
      <c r="Q335" s="26"/>
      <c r="T335" s="11"/>
      <c r="U335" s="11"/>
      <c r="V335" s="56"/>
      <c r="W335" s="57"/>
      <c r="X335" s="56"/>
      <c r="Y335" s="7"/>
      <c r="Z335" s="7"/>
      <c r="AA335" s="55"/>
      <c r="AB335" s="54"/>
    </row>
    <row r="336" spans="2:28" ht="30" hidden="1" customHeight="1">
      <c r="B336" s="46"/>
      <c r="C336" s="11" t="s">
        <v>33</v>
      </c>
      <c r="D336" s="11" t="s">
        <v>11</v>
      </c>
      <c r="E336" s="11"/>
      <c r="F336" s="34">
        <v>42034</v>
      </c>
      <c r="G336"/>
      <c r="H336"/>
      <c r="I336" s="32"/>
      <c r="J336"/>
      <c r="K336" s="31"/>
      <c r="L336" s="30"/>
      <c r="M336" s="29">
        <v>624</v>
      </c>
      <c r="N336" s="28">
        <f>IF(OR(TableauCB[[#This Row],[Etat]]="",TableauCB[[#This Row],[Etat]]="c"),IF(TableauCB[[#This Row],[Solde]]="","",N335),N335-TableauCB[[#This Row],[Débit]]+TableauCB[[#This Row],[Crédit]])</f>
        <v>4005.1659999999997</v>
      </c>
      <c r="O336" s="27" t="e">
        <f>IF(TableauCB[[#This Row],[Etat]]="xc",O335-TableauCB[[#This Row],[Débit]]+TableauCB[[#This Row],[Crédit]],O335-TableauCB[[#This Row],[Débit]])</f>
        <v>#VALUE!</v>
      </c>
      <c r="P336" s="27">
        <f>IF(AND(ISBLANK(TableauCB[[#This Row],[Débit]]),ISBLANK(TableauCB[[#This Row],[Crédit]])),"",P334+TableauCB[[#This Row],[Crédit]]-TableauCB[[#This Row],[Débit]])</f>
        <v>3195.1659999999997</v>
      </c>
      <c r="Q336" s="26"/>
      <c r="T336" s="11"/>
      <c r="U336" s="11"/>
      <c r="V336" s="56"/>
      <c r="W336" s="57"/>
      <c r="X336" s="56"/>
      <c r="Y336" s="7"/>
      <c r="Z336" s="7"/>
      <c r="AA336" s="55"/>
      <c r="AB336" s="54"/>
    </row>
    <row r="337" spans="2:28" ht="30" hidden="1" customHeight="1">
      <c r="B337" s="46"/>
      <c r="C337" s="11" t="s">
        <v>33</v>
      </c>
      <c r="D337" s="11" t="s">
        <v>11</v>
      </c>
      <c r="E337" s="11"/>
      <c r="F337" s="34">
        <v>42034</v>
      </c>
      <c r="G337"/>
      <c r="H337"/>
      <c r="I337" s="32">
        <v>42054</v>
      </c>
      <c r="J337"/>
      <c r="K337" s="31"/>
      <c r="L337" s="30"/>
      <c r="M337" s="29">
        <v>115.2</v>
      </c>
      <c r="N337" s="28">
        <f>IF(OR(TableauCB[[#This Row],[Etat]]="",TableauCB[[#This Row],[Etat]]="c"),IF(TableauCB[[#This Row],[Solde]]="","",N336),N336-TableauCB[[#This Row],[Débit]]+TableauCB[[#This Row],[Crédit]])</f>
        <v>4120.366</v>
      </c>
      <c r="O337" s="27" t="e">
        <f>IF(TableauCB[[#This Row],[Etat]]="xc",O336-TableauCB[[#This Row],[Débit]]+TableauCB[[#This Row],[Crédit]],O336-TableauCB[[#This Row],[Débit]])</f>
        <v>#VALUE!</v>
      </c>
      <c r="P337" s="27">
        <f>IF(AND(ISBLANK(TableauCB[[#This Row],[Débit]]),ISBLANK(TableauCB[[#This Row],[Crédit]])),"",P335+TableauCB[[#This Row],[Crédit]]-TableauCB[[#This Row],[Débit]])</f>
        <v>2974.3659999999995</v>
      </c>
      <c r="Q337" s="26"/>
      <c r="T337" s="11"/>
      <c r="U337" s="11"/>
      <c r="V337" s="56"/>
      <c r="W337" s="57"/>
      <c r="X337" s="56"/>
      <c r="Y337" s="7"/>
      <c r="Z337" s="7"/>
      <c r="AA337" s="55"/>
      <c r="AB337" s="54"/>
    </row>
    <row r="338" spans="2:28" ht="30" hidden="1" customHeight="1">
      <c r="B338" s="46"/>
      <c r="C338" s="11" t="s">
        <v>33</v>
      </c>
      <c r="D338" s="11" t="s">
        <v>11</v>
      </c>
      <c r="E338" s="11"/>
      <c r="F338" s="34">
        <v>42034</v>
      </c>
      <c r="G338"/>
      <c r="H338"/>
      <c r="I338" s="32">
        <v>42051</v>
      </c>
      <c r="J338"/>
      <c r="K338" s="31"/>
      <c r="L338" s="30"/>
      <c r="M338" s="29">
        <f>120*0.77</f>
        <v>92.4</v>
      </c>
      <c r="N338" s="28">
        <f>IF(OR(TableauCB[[#This Row],[Etat]]="",TableauCB[[#This Row],[Etat]]="c"),IF(TableauCB[[#This Row],[Solde]]="","",N337),N337-TableauCB[[#This Row],[Débit]]+TableauCB[[#This Row],[Crédit]])</f>
        <v>4212.7659999999996</v>
      </c>
      <c r="O338" s="27" t="e">
        <f>IF(TableauCB[[#This Row],[Etat]]="xc",O337-TableauCB[[#This Row],[Débit]]+TableauCB[[#This Row],[Crédit]],O337-TableauCB[[#This Row],[Débit]])</f>
        <v>#VALUE!</v>
      </c>
      <c r="P338" s="27">
        <f>IF(AND(ISBLANK(TableauCB[[#This Row],[Débit]]),ISBLANK(TableauCB[[#This Row],[Crédit]])),"",P337+TableauCB[[#This Row],[Crédit]]-TableauCB[[#This Row],[Débit]])</f>
        <v>3066.7659999999996</v>
      </c>
      <c r="Q338" s="26"/>
      <c r="T338" s="11"/>
      <c r="U338" s="11"/>
      <c r="V338" s="56"/>
      <c r="W338" s="57"/>
      <c r="X338" s="56"/>
      <c r="Y338" s="7"/>
      <c r="Z338" s="7"/>
      <c r="AA338" s="55"/>
      <c r="AB338" s="54"/>
    </row>
    <row r="339" spans="2:28" ht="30" hidden="1" customHeight="1">
      <c r="B339" s="46"/>
      <c r="C339" s="11" t="s">
        <v>33</v>
      </c>
      <c r="D339" s="11" t="s">
        <v>5</v>
      </c>
      <c r="E339" s="11"/>
      <c r="F339" s="34">
        <v>42034</v>
      </c>
      <c r="G339"/>
      <c r="H339"/>
      <c r="I339" s="32"/>
      <c r="J339"/>
      <c r="K339" s="31"/>
      <c r="L339" s="30">
        <v>546.77</v>
      </c>
      <c r="M339" s="29"/>
      <c r="N339" s="28">
        <f>IF(OR(TableauCB[[#This Row],[Etat]]="",TableauCB[[#This Row],[Etat]]="c"),IF(TableauCB[[#This Row],[Solde]]="","",N338),N338-TableauCB[[#This Row],[Débit]]+TableauCB[[#This Row],[Crédit]])</f>
        <v>3665.9959999999996</v>
      </c>
      <c r="O339" s="27" t="e">
        <f>IF(TableauCB[[#This Row],[Etat]]="xc",O338-TableauCB[[#This Row],[Débit]]+TableauCB[[#This Row],[Crédit]],O338-TableauCB[[#This Row],[Débit]])</f>
        <v>#VALUE!</v>
      </c>
      <c r="P339" s="27">
        <f>IF(AND(ISBLANK(TableauCB[[#This Row],[Débit]]),ISBLANK(TableauCB[[#This Row],[Crédit]])),"",P338+TableauCB[[#This Row],[Crédit]]-TableauCB[[#This Row],[Débit]])</f>
        <v>2519.9959999999996</v>
      </c>
      <c r="Q339" s="26"/>
      <c r="T339" s="11"/>
      <c r="U339" s="11"/>
      <c r="V339" s="56"/>
      <c r="W339" s="57"/>
      <c r="X339" s="56"/>
      <c r="Y339" s="7"/>
      <c r="Z339" s="7"/>
      <c r="AA339" s="55"/>
      <c r="AB339" s="54"/>
    </row>
    <row r="340" spans="2:28" ht="30" hidden="1" customHeight="1">
      <c r="B340" s="46"/>
      <c r="C340" s="11" t="s">
        <v>33</v>
      </c>
      <c r="D340" s="11" t="s">
        <v>17</v>
      </c>
      <c r="E340" s="11"/>
      <c r="F340" s="34">
        <v>42035</v>
      </c>
      <c r="G340"/>
      <c r="H340"/>
      <c r="I340" s="32"/>
      <c r="J340"/>
      <c r="K340" s="31"/>
      <c r="L340" s="30">
        <v>50</v>
      </c>
      <c r="M340" s="29"/>
      <c r="N340" s="28">
        <f>IF(OR(TableauCB[[#This Row],[Etat]]="",TableauCB[[#This Row],[Etat]]="c"),IF(TableauCB[[#This Row],[Solde]]="","",N339),N339-TableauCB[[#This Row],[Débit]]+TableauCB[[#This Row],[Crédit]])</f>
        <v>3615.9959999999996</v>
      </c>
      <c r="O340" s="27" t="e">
        <f>IF(TableauCB[[#This Row],[Etat]]="xc",O339-TableauCB[[#This Row],[Débit]]+TableauCB[[#This Row],[Crédit]],O339-TableauCB[[#This Row],[Débit]])</f>
        <v>#VALUE!</v>
      </c>
      <c r="P340" s="27">
        <f>IF(AND(ISBLANK(TableauCB[[#This Row],[Débit]]),ISBLANK(TableauCB[[#This Row],[Crédit]])),"",P339+TableauCB[[#This Row],[Crédit]]-TableauCB[[#This Row],[Débit]])</f>
        <v>2469.9959999999996</v>
      </c>
      <c r="Q340" s="26"/>
      <c r="T340" s="11"/>
      <c r="U340" s="11"/>
      <c r="V340" s="56"/>
      <c r="W340" s="57"/>
      <c r="X340" s="56"/>
      <c r="Y340" s="7"/>
      <c r="Z340" s="7"/>
      <c r="AA340" s="55"/>
      <c r="AB340" s="54"/>
    </row>
    <row r="341" spans="2:28" ht="30" hidden="1" customHeight="1">
      <c r="B341" s="46"/>
      <c r="C341" s="11" t="s">
        <v>33</v>
      </c>
      <c r="D341" s="11" t="s">
        <v>15</v>
      </c>
      <c r="E341" s="11"/>
      <c r="F341" s="34">
        <v>42035</v>
      </c>
      <c r="G341"/>
      <c r="H341"/>
      <c r="I341" s="32"/>
      <c r="J341"/>
      <c r="K341" s="31"/>
      <c r="L341" s="30">
        <v>41</v>
      </c>
      <c r="M341" s="29"/>
      <c r="N341" s="28">
        <f>IF(OR(TableauCB[[#This Row],[Etat]]="",TableauCB[[#This Row],[Etat]]="c"),IF(TableauCB[[#This Row],[Solde]]="","",N340),N340-TableauCB[[#This Row],[Débit]]+TableauCB[[#This Row],[Crédit]])</f>
        <v>3574.9959999999996</v>
      </c>
      <c r="O341" s="27" t="e">
        <f>IF(TableauCB[[#This Row],[Etat]]="xc",O340-TableauCB[[#This Row],[Débit]]+TableauCB[[#This Row],[Crédit]],O340-TableauCB[[#This Row],[Débit]])</f>
        <v>#VALUE!</v>
      </c>
      <c r="P341" s="27">
        <f>IF(AND(ISBLANK(TableauCB[[#This Row],[Débit]]),ISBLANK(TableauCB[[#This Row],[Crédit]])),"",P340+TableauCB[[#This Row],[Crédit]]-TableauCB[[#This Row],[Débit]])</f>
        <v>2428.9959999999996</v>
      </c>
      <c r="Q341" s="26"/>
      <c r="T341" s="11"/>
      <c r="U341" s="11"/>
      <c r="V341" s="56"/>
      <c r="W341" s="57"/>
      <c r="X341" s="56"/>
      <c r="Y341" s="7"/>
      <c r="Z341" s="7"/>
      <c r="AA341" s="55"/>
      <c r="AB341" s="54"/>
    </row>
    <row r="342" spans="2:28" ht="30" hidden="1" customHeight="1" thickBot="1">
      <c r="B342" s="46"/>
      <c r="C342" s="11" t="s">
        <v>33</v>
      </c>
      <c r="D342" s="11" t="s">
        <v>15</v>
      </c>
      <c r="E342" s="11"/>
      <c r="F342" s="34">
        <v>42035</v>
      </c>
      <c r="G342"/>
      <c r="H342"/>
      <c r="I342" s="32"/>
      <c r="J342"/>
      <c r="K342" s="31"/>
      <c r="L342" s="30">
        <v>482.66</v>
      </c>
      <c r="M342" s="29"/>
      <c r="N342" s="28">
        <f>IF(OR(TableauCB[[#This Row],[Etat]]="",TableauCB[[#This Row],[Etat]]="c"),IF(TableauCB[[#This Row],[Solde]]="","",N341),N341-TableauCB[[#This Row],[Débit]]+TableauCB[[#This Row],[Crédit]])</f>
        <v>3092.3359999999998</v>
      </c>
      <c r="O342" s="27" t="e">
        <f>IF(TableauCB[[#This Row],[Etat]]="xc",O341-TableauCB[[#This Row],[Débit]]+TableauCB[[#This Row],[Crédit]],O341-TableauCB[[#This Row],[Débit]])</f>
        <v>#VALUE!</v>
      </c>
      <c r="P342" s="27">
        <f>IF(AND(ISBLANK(TableauCB[[#This Row],[Débit]]),ISBLANK(TableauCB[[#This Row],[Crédit]])),"",P341+TableauCB[[#This Row],[Crédit]]-TableauCB[[#This Row],[Débit]])</f>
        <v>1946.3359999999996</v>
      </c>
      <c r="Q342" s="26"/>
      <c r="R342" s="47" t="s">
        <v>54</v>
      </c>
      <c r="S342" s="47" t="s">
        <v>53</v>
      </c>
      <c r="T342" s="11"/>
      <c r="U342" s="11"/>
      <c r="V342" s="56"/>
      <c r="W342" s="57"/>
      <c r="X342" s="56"/>
      <c r="Y342" s="7"/>
      <c r="Z342" s="7"/>
      <c r="AA342" s="55"/>
      <c r="AB342" s="54"/>
    </row>
    <row r="343" spans="2:28" ht="30" hidden="1" customHeight="1" thickBot="1">
      <c r="B343" s="53"/>
      <c r="C343" s="11" t="s">
        <v>33</v>
      </c>
      <c r="D343" s="11" t="s">
        <v>9</v>
      </c>
      <c r="E343" s="11"/>
      <c r="F343" s="34">
        <v>42035</v>
      </c>
      <c r="G343"/>
      <c r="H343"/>
      <c r="I343" s="32"/>
      <c r="J343"/>
      <c r="K343" s="31"/>
      <c r="L343" s="30">
        <v>240</v>
      </c>
      <c r="M343" s="29"/>
      <c r="N343" s="28">
        <f>IF(OR(TableauCB[[#This Row],[Etat]]="",TableauCB[[#This Row],[Etat]]="c"),IF(TableauCB[[#This Row],[Solde]]="","",N342),N342-TableauCB[[#This Row],[Débit]]+TableauCB[[#This Row],[Crédit]])</f>
        <v>2852.3359999999998</v>
      </c>
      <c r="O343" s="27" t="e">
        <f>IF(TableauCB[[#This Row],[Etat]]="xc",O342-TableauCB[[#This Row],[Débit]]+TableauCB[[#This Row],[Crédit]],O342-TableauCB[[#This Row],[Débit]])</f>
        <v>#VALUE!</v>
      </c>
      <c r="P343" s="27">
        <f>IF(AND(ISBLANK(TableauCB[[#This Row],[Débit]]),ISBLANK(TableauCB[[#This Row],[Crédit]])),"",P342+TableauCB[[#This Row],[Crédit]]-TableauCB[[#This Row],[Débit]])</f>
        <v>1706.3359999999996</v>
      </c>
      <c r="Q343" s="26"/>
      <c r="R343" s="25">
        <f>SUM(M318:M343)-SUM(L318:L343)</f>
        <v>-894.64399999999978</v>
      </c>
      <c r="S343" s="25">
        <f>R343/1.2</f>
        <v>-745.53666666666652</v>
      </c>
      <c r="T343" s="11"/>
      <c r="U343" s="11"/>
      <c r="V343" s="56"/>
      <c r="W343" s="57"/>
      <c r="X343" s="56"/>
      <c r="Y343" s="7"/>
      <c r="Z343" s="7"/>
      <c r="AA343" s="55"/>
      <c r="AB343" s="54"/>
    </row>
    <row r="344" spans="2:28" ht="30" hidden="1" customHeight="1">
      <c r="B344" s="52" t="s">
        <v>76</v>
      </c>
      <c r="C344" s="11" t="s">
        <v>33</v>
      </c>
      <c r="D344" s="11" t="s">
        <v>41</v>
      </c>
      <c r="E344" s="11"/>
      <c r="F344" s="34">
        <v>42038</v>
      </c>
      <c r="G344"/>
      <c r="H344"/>
      <c r="I344" s="43"/>
      <c r="J344"/>
      <c r="K344" s="31"/>
      <c r="L344" s="30">
        <v>256.8</v>
      </c>
      <c r="M344" s="29"/>
      <c r="N344" s="28">
        <f>IF(OR(TableauCB[[#This Row],[Etat]]="",TableauCB[[#This Row],[Etat]]="c"),IF(TableauCB[[#This Row],[Solde]]="","",N343),N343-TableauCB[[#This Row],[Débit]]+TableauCB[[#This Row],[Crédit]])</f>
        <v>2595.5359999999996</v>
      </c>
      <c r="O344" s="27" t="e">
        <f>IF(TableauCB[[#This Row],[Etat]]="xc",O343-TableauCB[[#This Row],[Débit]]+TableauCB[[#This Row],[Crédit]],O343-TableauCB[[#This Row],[Débit]])</f>
        <v>#VALUE!</v>
      </c>
      <c r="P344" s="27">
        <f>IF(AND(ISBLANK(TableauCB[[#This Row],[Débit]]),ISBLANK(TableauCB[[#This Row],[Crédit]])),"",P343+TableauCB[[#This Row],[Crédit]]-TableauCB[[#This Row],[Débit]])</f>
        <v>1449.5359999999996</v>
      </c>
      <c r="Q344" s="26"/>
      <c r="T344" s="11"/>
      <c r="U344" s="11"/>
      <c r="V344" s="56"/>
      <c r="W344" s="57"/>
      <c r="X344" s="56"/>
      <c r="Y344" s="7"/>
      <c r="Z344" s="7"/>
      <c r="AA344" s="55"/>
      <c r="AB344" s="54"/>
    </row>
    <row r="345" spans="2:28" ht="30" hidden="1" customHeight="1">
      <c r="B345" s="46"/>
      <c r="C345" s="11" t="s">
        <v>33</v>
      </c>
      <c r="D345" s="11" t="s">
        <v>5</v>
      </c>
      <c r="E345" s="11"/>
      <c r="F345" s="34">
        <v>42040</v>
      </c>
      <c r="G345"/>
      <c r="H345"/>
      <c r="I345" s="32"/>
      <c r="J345"/>
      <c r="K345" s="31"/>
      <c r="L345" s="30">
        <v>21.18</v>
      </c>
      <c r="M345" s="29"/>
      <c r="N345" s="28">
        <f>IF(OR(TableauCB[[#This Row],[Etat]]="",TableauCB[[#This Row],[Etat]]="c"),IF(TableauCB[[#This Row],[Solde]]="","",N344),N344-TableauCB[[#This Row],[Débit]]+TableauCB[[#This Row],[Crédit]])</f>
        <v>2574.3559999999998</v>
      </c>
      <c r="O345" s="27" t="e">
        <f>IF(TableauCB[[#This Row],[Etat]]="xc",O344-TableauCB[[#This Row],[Débit]]+TableauCB[[#This Row],[Crédit]],O344-TableauCB[[#This Row],[Débit]])</f>
        <v>#VALUE!</v>
      </c>
      <c r="P345" s="27">
        <f>IF(AND(ISBLANK(TableauCB[[#This Row],[Débit]]),ISBLANK(TableauCB[[#This Row],[Crédit]])),"",P344+TableauCB[[#This Row],[Crédit]]-TableauCB[[#This Row],[Débit]])</f>
        <v>1428.3559999999995</v>
      </c>
      <c r="Q345" s="26"/>
      <c r="T345" s="11"/>
      <c r="U345" s="11"/>
      <c r="V345" s="56"/>
      <c r="W345" s="57"/>
      <c r="X345" s="56"/>
      <c r="Y345" s="7"/>
      <c r="Z345" s="7"/>
      <c r="AA345" s="55"/>
      <c r="AB345" s="54"/>
    </row>
    <row r="346" spans="2:28" ht="30" hidden="1" customHeight="1">
      <c r="B346" s="46"/>
      <c r="C346" s="11" t="s">
        <v>33</v>
      </c>
      <c r="D346" s="11" t="s">
        <v>75</v>
      </c>
      <c r="E346" s="11"/>
      <c r="F346" s="34">
        <v>42041</v>
      </c>
      <c r="G346"/>
      <c r="H346"/>
      <c r="I346" s="32">
        <v>42041</v>
      </c>
      <c r="J346"/>
      <c r="K346" s="31"/>
      <c r="L346" s="30"/>
      <c r="M346" s="29">
        <v>7500</v>
      </c>
      <c r="N346" s="28">
        <f>IF(OR(TableauCB[[#This Row],[Etat]]="",TableauCB[[#This Row],[Etat]]="c"),IF(TableauCB[[#This Row],[Solde]]="","",N345),N345-TableauCB[[#This Row],[Débit]]+TableauCB[[#This Row],[Crédit]])</f>
        <v>10074.356</v>
      </c>
      <c r="O346" s="27" t="e">
        <f>IF(TableauCB[[#This Row],[Etat]]="xc",O345-TableauCB[[#This Row],[Débit]]+TableauCB[[#This Row],[Crédit]],O345-TableauCB[[#This Row],[Débit]])</f>
        <v>#VALUE!</v>
      </c>
      <c r="P346" s="27">
        <f>IF(AND(ISBLANK(TableauCB[[#This Row],[Débit]]),ISBLANK(TableauCB[[#This Row],[Crédit]])),"",P345+TableauCB[[#This Row],[Crédit]]-TableauCB[[#This Row],[Débit]])</f>
        <v>8928.3559999999998</v>
      </c>
      <c r="Q346" s="26"/>
      <c r="T346" s="11"/>
      <c r="U346" s="11"/>
      <c r="V346" s="56"/>
      <c r="W346" s="57"/>
      <c r="X346" s="56"/>
      <c r="Y346" s="7"/>
      <c r="Z346" s="7"/>
      <c r="AA346" s="55"/>
      <c r="AB346" s="54"/>
    </row>
    <row r="347" spans="2:28" ht="30" hidden="1" customHeight="1">
      <c r="B347" s="46"/>
      <c r="C347" s="11" t="s">
        <v>33</v>
      </c>
      <c r="D347" s="11" t="s">
        <v>45</v>
      </c>
      <c r="E347" s="11"/>
      <c r="F347" s="34">
        <v>42043</v>
      </c>
      <c r="G347"/>
      <c r="H347"/>
      <c r="I347" s="32"/>
      <c r="J347"/>
      <c r="K347" s="31"/>
      <c r="L347" s="30"/>
      <c r="M347" s="29">
        <v>1068</v>
      </c>
      <c r="N347" s="28">
        <f>IF(OR(TableauCB[[#This Row],[Etat]]="",TableauCB[[#This Row],[Etat]]="c"),IF(TableauCB[[#This Row],[Solde]]="","",N346),N346-TableauCB[[#This Row],[Débit]]+TableauCB[[#This Row],[Crédit]])</f>
        <v>11142.356</v>
      </c>
      <c r="O347" s="27" t="e">
        <f>IF(TableauCB[[#This Row],[Etat]]="xc",O346-TableauCB[[#This Row],[Débit]]+TableauCB[[#This Row],[Crédit]],O346-TableauCB[[#This Row],[Débit]])</f>
        <v>#VALUE!</v>
      </c>
      <c r="P347" s="27">
        <f>IF(AND(ISBLANK(TableauCB[[#This Row],[Débit]]),ISBLANK(TableauCB[[#This Row],[Crédit]])),"",P346+TableauCB[[#This Row],[Crédit]]-TableauCB[[#This Row],[Débit]])</f>
        <v>9996.3559999999998</v>
      </c>
      <c r="Q347" s="26"/>
      <c r="T347" s="11"/>
      <c r="U347" s="11"/>
      <c r="V347" s="56"/>
      <c r="W347" s="57"/>
      <c r="X347" s="56"/>
      <c r="Y347" s="7"/>
      <c r="Z347" s="7"/>
      <c r="AA347" s="55"/>
      <c r="AB347" s="54"/>
    </row>
    <row r="348" spans="2:28" ht="30" hidden="1" customHeight="1">
      <c r="B348" s="46"/>
      <c r="C348" s="11" t="s">
        <v>33</v>
      </c>
      <c r="D348" s="11" t="s">
        <v>21</v>
      </c>
      <c r="E348" s="11"/>
      <c r="F348" s="34">
        <v>42044</v>
      </c>
      <c r="G348"/>
      <c r="H348"/>
      <c r="I348" s="32"/>
      <c r="J348"/>
      <c r="K348" s="31"/>
      <c r="L348" s="30">
        <v>21.9</v>
      </c>
      <c r="M348" s="29"/>
      <c r="N348" s="28">
        <f>IF(OR(TableauCB[[#This Row],[Etat]]="",TableauCB[[#This Row],[Etat]]="c"),IF(TableauCB[[#This Row],[Solde]]="","",N347),N347-TableauCB[[#This Row],[Débit]]+TableauCB[[#This Row],[Crédit]])</f>
        <v>11120.456</v>
      </c>
      <c r="O348" s="27" t="e">
        <f>IF(TableauCB[[#This Row],[Etat]]="xc",O347-TableauCB[[#This Row],[Débit]]+TableauCB[[#This Row],[Crédit]],O347-TableauCB[[#This Row],[Débit]])</f>
        <v>#VALUE!</v>
      </c>
      <c r="P348" s="27">
        <f>IF(AND(ISBLANK(TableauCB[[#This Row],[Débit]]),ISBLANK(TableauCB[[#This Row],[Crédit]])),"",P347+TableauCB[[#This Row],[Crédit]]-TableauCB[[#This Row],[Débit]])</f>
        <v>9974.4560000000001</v>
      </c>
      <c r="Q348" s="26"/>
      <c r="T348" s="11"/>
      <c r="U348" s="11"/>
      <c r="V348" s="56"/>
      <c r="W348" s="57"/>
      <c r="X348" s="56"/>
      <c r="Y348" s="7"/>
      <c r="Z348" s="7"/>
      <c r="AA348" s="55"/>
      <c r="AB348" s="54"/>
    </row>
    <row r="349" spans="2:28" ht="30" hidden="1" customHeight="1">
      <c r="B349" s="46"/>
      <c r="C349" s="11" t="s">
        <v>33</v>
      </c>
      <c r="D349" s="11" t="s">
        <v>37</v>
      </c>
      <c r="E349" s="11"/>
      <c r="F349" s="34">
        <v>42045</v>
      </c>
      <c r="G349"/>
      <c r="H349"/>
      <c r="I349" s="32"/>
      <c r="J349"/>
      <c r="K349" s="31"/>
      <c r="L349" s="30">
        <v>118.5</v>
      </c>
      <c r="M349" s="29"/>
      <c r="N349" s="28">
        <f>IF(OR(TableauCB[[#This Row],[Etat]]="",TableauCB[[#This Row],[Etat]]="c"),IF(TableauCB[[#This Row],[Solde]]="","",N348),N348-TableauCB[[#This Row],[Débit]]+TableauCB[[#This Row],[Crédit]])</f>
        <v>11001.956</v>
      </c>
      <c r="O349" s="27" t="e">
        <f>IF(TableauCB[[#This Row],[Etat]]="xc",O348-TableauCB[[#This Row],[Débit]]+TableauCB[[#This Row],[Crédit]],O348-TableauCB[[#This Row],[Débit]])</f>
        <v>#VALUE!</v>
      </c>
      <c r="P349" s="27">
        <f>IF(AND(ISBLANK(TableauCB[[#This Row],[Débit]]),ISBLANK(TableauCB[[#This Row],[Crédit]])),"",P348+TableauCB[[#This Row],[Crédit]]-TableauCB[[#This Row],[Débit]])</f>
        <v>9855.9560000000001</v>
      </c>
      <c r="Q349" s="26"/>
      <c r="T349" s="11"/>
      <c r="U349" s="11"/>
      <c r="V349" s="56"/>
      <c r="W349" s="57"/>
      <c r="X349" s="56"/>
      <c r="Y349" s="7"/>
      <c r="Z349" s="7"/>
      <c r="AA349" s="55"/>
      <c r="AB349" s="54"/>
    </row>
    <row r="350" spans="2:28" ht="30" hidden="1" customHeight="1">
      <c r="B350" s="46"/>
      <c r="C350" s="11" t="s">
        <v>33</v>
      </c>
      <c r="D350" s="11" t="s">
        <v>5</v>
      </c>
      <c r="E350" s="11"/>
      <c r="F350" s="34">
        <v>42045</v>
      </c>
      <c r="G350"/>
      <c r="H350"/>
      <c r="I350" s="32"/>
      <c r="J350"/>
      <c r="K350" s="31"/>
      <c r="L350" s="30">
        <v>923.67</v>
      </c>
      <c r="M350" s="29"/>
      <c r="N350" s="28">
        <f>IF(OR(TableauCB[[#This Row],[Etat]]="",TableauCB[[#This Row],[Etat]]="c"),IF(TableauCB[[#This Row],[Solde]]="","",N349),N349-TableauCB[[#This Row],[Débit]]+TableauCB[[#This Row],[Crédit]])</f>
        <v>10078.286</v>
      </c>
      <c r="O350" s="27" t="e">
        <f>IF(TableauCB[[#This Row],[Etat]]="xc",O349-TableauCB[[#This Row],[Débit]]+TableauCB[[#This Row],[Crédit]],O349-TableauCB[[#This Row],[Débit]])</f>
        <v>#VALUE!</v>
      </c>
      <c r="P350" s="27">
        <f>IF(AND(ISBLANK(TableauCB[[#This Row],[Débit]]),ISBLANK(TableauCB[[#This Row],[Crédit]])),"",P349+TableauCB[[#This Row],[Crédit]]-TableauCB[[#This Row],[Débit]])</f>
        <v>8932.2860000000001</v>
      </c>
      <c r="Q350" s="26"/>
      <c r="T350" s="11"/>
      <c r="U350" s="11"/>
      <c r="V350" s="56"/>
      <c r="W350" s="57"/>
      <c r="X350" s="56"/>
      <c r="Y350" s="7"/>
      <c r="Z350" s="7"/>
      <c r="AA350" s="55"/>
      <c r="AB350" s="54"/>
    </row>
    <row r="351" spans="2:28" ht="30" hidden="1" customHeight="1">
      <c r="B351" s="46"/>
      <c r="C351" s="11" t="s">
        <v>33</v>
      </c>
      <c r="D351" s="11" t="s">
        <v>15</v>
      </c>
      <c r="E351" s="11"/>
      <c r="F351" s="34">
        <v>42047</v>
      </c>
      <c r="G351"/>
      <c r="H351"/>
      <c r="I351" s="32"/>
      <c r="J351"/>
      <c r="K351" s="31"/>
      <c r="L351" s="30">
        <v>46.95</v>
      </c>
      <c r="M351" s="29"/>
      <c r="N351" s="28">
        <f>IF(OR(TableauCB[[#This Row],[Etat]]="",TableauCB[[#This Row],[Etat]]="c"),IF(TableauCB[[#This Row],[Solde]]="","",N350),N350-TableauCB[[#This Row],[Débit]]+TableauCB[[#This Row],[Crédit]])</f>
        <v>10031.335999999999</v>
      </c>
      <c r="O351" s="27" t="e">
        <f>IF(TableauCB[[#This Row],[Etat]]="xc",O350-TableauCB[[#This Row],[Débit]]+TableauCB[[#This Row],[Crédit]],O350-TableauCB[[#This Row],[Débit]])</f>
        <v>#VALUE!</v>
      </c>
      <c r="P351" s="27">
        <f>IF(AND(ISBLANK(TableauCB[[#This Row],[Débit]]),ISBLANK(TableauCB[[#This Row],[Crédit]])),"",P350+TableauCB[[#This Row],[Crédit]]-TableauCB[[#This Row],[Débit]])</f>
        <v>8885.3359999999993</v>
      </c>
      <c r="Q351" s="26"/>
      <c r="T351" s="11"/>
      <c r="U351" s="11"/>
      <c r="V351" s="56"/>
      <c r="W351" s="57"/>
      <c r="X351" s="56"/>
      <c r="Y351" s="7"/>
      <c r="Z351" s="7"/>
      <c r="AA351" s="55"/>
      <c r="AB351" s="54"/>
    </row>
    <row r="352" spans="2:28" ht="30" hidden="1" customHeight="1">
      <c r="B352" s="46"/>
      <c r="C352" s="11" t="s">
        <v>33</v>
      </c>
      <c r="D352" s="11" t="s">
        <v>15</v>
      </c>
      <c r="E352" s="11"/>
      <c r="F352" s="34">
        <v>42050</v>
      </c>
      <c r="G352"/>
      <c r="H352"/>
      <c r="I352" s="32"/>
      <c r="J352"/>
      <c r="K352" s="31"/>
      <c r="L352" s="30">
        <v>38</v>
      </c>
      <c r="M352" s="29"/>
      <c r="N352" s="28">
        <f>IF(OR(TableauCB[[#This Row],[Etat]]="",TableauCB[[#This Row],[Etat]]="c"),IF(TableauCB[[#This Row],[Solde]]="","",N351),N351-TableauCB[[#This Row],[Débit]]+TableauCB[[#This Row],[Crédit]])</f>
        <v>9993.3359999999993</v>
      </c>
      <c r="O352" s="27" t="e">
        <f>IF(TableauCB[[#This Row],[Etat]]="xc",O351-TableauCB[[#This Row],[Débit]]+TableauCB[[#This Row],[Crédit]],O351-TableauCB[[#This Row],[Débit]])</f>
        <v>#VALUE!</v>
      </c>
      <c r="P352" s="27">
        <f>IF(AND(ISBLANK(TableauCB[[#This Row],[Débit]]),ISBLANK(TableauCB[[#This Row],[Crédit]])),"",P351+TableauCB[[#This Row],[Crédit]]-TableauCB[[#This Row],[Débit]])</f>
        <v>8847.3359999999993</v>
      </c>
      <c r="Q352" s="26"/>
      <c r="T352" s="11"/>
      <c r="U352" s="11"/>
      <c r="V352" s="56"/>
      <c r="W352" s="57"/>
      <c r="X352" s="56"/>
      <c r="Y352" s="7"/>
      <c r="Z352" s="7"/>
      <c r="AA352" s="55"/>
      <c r="AB352" s="54"/>
    </row>
    <row r="353" spans="2:28" ht="30" hidden="1" customHeight="1">
      <c r="B353" s="46"/>
      <c r="C353" s="11" t="s">
        <v>33</v>
      </c>
      <c r="D353" s="11" t="s">
        <v>30</v>
      </c>
      <c r="E353" s="11"/>
      <c r="F353" s="34">
        <v>42060</v>
      </c>
      <c r="G353"/>
      <c r="H353"/>
      <c r="I353" s="32"/>
      <c r="J353"/>
      <c r="K353" s="31"/>
      <c r="L353" s="30">
        <v>12.6</v>
      </c>
      <c r="M353" s="29"/>
      <c r="N353" s="28">
        <f>IF(OR(TableauCB[[#This Row],[Etat]]="",TableauCB[[#This Row],[Etat]]="c"),IF(TableauCB[[#This Row],[Solde]]="","",N352),N352-TableauCB[[#This Row],[Débit]]+TableauCB[[#This Row],[Crédit]])</f>
        <v>9980.735999999999</v>
      </c>
      <c r="O353" s="27" t="e">
        <f>IF(TableauCB[[#This Row],[Etat]]="xc",O352-TableauCB[[#This Row],[Débit]]+TableauCB[[#This Row],[Crédit]],O352-TableauCB[[#This Row],[Débit]])</f>
        <v>#VALUE!</v>
      </c>
      <c r="P353" s="27">
        <f>IF(AND(ISBLANK(TableauCB[[#This Row],[Débit]]),ISBLANK(TableauCB[[#This Row],[Crédit]])),"",P352+TableauCB[[#This Row],[Crédit]]-TableauCB[[#This Row],[Débit]])</f>
        <v>8834.735999999999</v>
      </c>
      <c r="Q353" s="26"/>
      <c r="T353" s="11"/>
      <c r="U353" s="11"/>
      <c r="V353" s="56"/>
      <c r="W353" s="57"/>
      <c r="X353" s="56"/>
      <c r="Y353" s="7"/>
      <c r="Z353" s="7"/>
      <c r="AA353" s="55"/>
      <c r="AB353" s="54"/>
    </row>
    <row r="354" spans="2:28" ht="30" hidden="1" customHeight="1">
      <c r="B354" s="46"/>
      <c r="C354" s="11" t="s">
        <v>33</v>
      </c>
      <c r="D354" s="11" t="s">
        <v>15</v>
      </c>
      <c r="E354" s="11"/>
      <c r="F354" s="34">
        <v>42060</v>
      </c>
      <c r="G354"/>
      <c r="H354"/>
      <c r="I354" s="32"/>
      <c r="J354"/>
      <c r="K354" s="31"/>
      <c r="L354" s="30">
        <v>109.49</v>
      </c>
      <c r="M354" s="29"/>
      <c r="N354" s="28">
        <f>IF(OR(TableauCB[[#This Row],[Etat]]="",TableauCB[[#This Row],[Etat]]="c"),IF(TableauCB[[#This Row],[Solde]]="","",N353),N353-TableauCB[[#This Row],[Débit]]+TableauCB[[#This Row],[Crédit]])</f>
        <v>9871.2459999999992</v>
      </c>
      <c r="O354" s="27" t="e">
        <f>IF(TableauCB[[#This Row],[Etat]]="xc",O353-TableauCB[[#This Row],[Débit]]+TableauCB[[#This Row],[Crédit]],O353-TableauCB[[#This Row],[Débit]])</f>
        <v>#VALUE!</v>
      </c>
      <c r="P354" s="27">
        <f>IF(AND(ISBLANK(TableauCB[[#This Row],[Débit]]),ISBLANK(TableauCB[[#This Row],[Crédit]])),"",P353+TableauCB[[#This Row],[Crédit]]-TableauCB[[#This Row],[Débit]])</f>
        <v>8725.2459999999992</v>
      </c>
      <c r="Q354" s="26"/>
      <c r="T354" s="11"/>
      <c r="U354" s="24"/>
      <c r="V354" s="56"/>
      <c r="W354" s="57"/>
      <c r="X354" s="56"/>
      <c r="Y354" s="7"/>
      <c r="Z354" s="7"/>
      <c r="AA354" s="55"/>
      <c r="AB354" s="54"/>
    </row>
    <row r="355" spans="2:28" ht="30" hidden="1" customHeight="1">
      <c r="B355" s="46"/>
      <c r="C355" s="11" t="s">
        <v>33</v>
      </c>
      <c r="D355" s="11" t="s">
        <v>15</v>
      </c>
      <c r="E355" s="11"/>
      <c r="F355" s="34">
        <v>42060</v>
      </c>
      <c r="G355"/>
      <c r="H355"/>
      <c r="I355" s="32"/>
      <c r="J355"/>
      <c r="K355" s="31"/>
      <c r="L355" s="30">
        <v>135.24</v>
      </c>
      <c r="M355" s="29"/>
      <c r="N355" s="28">
        <f>IF(OR(TableauCB[[#This Row],[Etat]]="",TableauCB[[#This Row],[Etat]]="c"),IF(TableauCB[[#This Row],[Solde]]="","",N354),N354-TableauCB[[#This Row],[Débit]]+TableauCB[[#This Row],[Crédit]])</f>
        <v>9736.0059999999994</v>
      </c>
      <c r="O355" s="27" t="e">
        <f>IF(TableauCB[[#This Row],[Etat]]="xc",O354-TableauCB[[#This Row],[Débit]]+TableauCB[[#This Row],[Crédit]],O354-TableauCB[[#This Row],[Débit]])</f>
        <v>#VALUE!</v>
      </c>
      <c r="P355" s="27">
        <f>IF(AND(ISBLANK(TableauCB[[#This Row],[Débit]]),ISBLANK(TableauCB[[#This Row],[Crédit]])),"",P354+TableauCB[[#This Row],[Crédit]]-TableauCB[[#This Row],[Débit]])</f>
        <v>8590.0059999999994</v>
      </c>
      <c r="Q355" s="26"/>
      <c r="T355" s="11"/>
      <c r="U355" s="11"/>
      <c r="V355" s="56"/>
      <c r="W355" s="57"/>
      <c r="X355" s="56"/>
      <c r="Y355" s="7"/>
      <c r="Z355" s="7"/>
      <c r="AA355" s="55"/>
      <c r="AB355" s="54"/>
    </row>
    <row r="356" spans="2:28" ht="30" hidden="1" customHeight="1">
      <c r="B356" s="46"/>
      <c r="C356" s="11" t="s">
        <v>33</v>
      </c>
      <c r="D356" s="11" t="s">
        <v>15</v>
      </c>
      <c r="E356" s="11"/>
      <c r="F356" s="34">
        <v>42060</v>
      </c>
      <c r="G356"/>
      <c r="H356"/>
      <c r="I356" s="43"/>
      <c r="J356"/>
      <c r="K356" s="31"/>
      <c r="L356" s="30">
        <v>3.91</v>
      </c>
      <c r="M356" s="29"/>
      <c r="N356" s="28">
        <f>IF(OR(TableauCB[[#This Row],[Etat]]="",TableauCB[[#This Row],[Etat]]="c"),IF(TableauCB[[#This Row],[Solde]]="","",N355),N355-TableauCB[[#This Row],[Débit]]+TableauCB[[#This Row],[Crédit]])</f>
        <v>9732.0959999999995</v>
      </c>
      <c r="O356" s="27" t="e">
        <f>IF(TableauCB[[#This Row],[Etat]]="xc",O355-TableauCB[[#This Row],[Débit]]+TableauCB[[#This Row],[Crédit]],O355-TableauCB[[#This Row],[Débit]])</f>
        <v>#VALUE!</v>
      </c>
      <c r="P356" s="27">
        <f>IF(AND(ISBLANK(TableauCB[[#This Row],[Débit]]),ISBLANK(TableauCB[[#This Row],[Crédit]])),"",P355+TableauCB[[#This Row],[Crédit]]-TableauCB[[#This Row],[Débit]])</f>
        <v>8586.0959999999995</v>
      </c>
      <c r="Q356" s="26"/>
      <c r="T356" s="11"/>
      <c r="U356" s="11"/>
      <c r="V356" s="56"/>
      <c r="W356" s="57"/>
      <c r="X356" s="56"/>
      <c r="Y356" s="7"/>
      <c r="Z356" s="7"/>
      <c r="AA356" s="55"/>
      <c r="AB356" s="54"/>
    </row>
    <row r="357" spans="2:28" ht="30" hidden="1" customHeight="1">
      <c r="B357" s="46"/>
      <c r="C357" s="11" t="s">
        <v>33</v>
      </c>
      <c r="D357" s="11" t="s">
        <v>11</v>
      </c>
      <c r="E357" s="11"/>
      <c r="F357" s="34">
        <v>42063</v>
      </c>
      <c r="G357"/>
      <c r="H357"/>
      <c r="I357" s="32">
        <v>42101</v>
      </c>
      <c r="J357"/>
      <c r="K357" s="31"/>
      <c r="L357" s="30"/>
      <c r="M357" s="29">
        <v>108</v>
      </c>
      <c r="N357" s="28">
        <f>IF(OR(TableauCB[[#This Row],[Etat]]="",TableauCB[[#This Row],[Etat]]="c"),IF(TableauCB[[#This Row],[Solde]]="","",N356),N356-TableauCB[[#This Row],[Débit]]+TableauCB[[#This Row],[Crédit]])</f>
        <v>9840.0959999999995</v>
      </c>
      <c r="O357" s="27" t="e">
        <f>IF(TableauCB[[#This Row],[Etat]]="xc",O356-TableauCB[[#This Row],[Débit]]+TableauCB[[#This Row],[Crédit]],O356-TableauCB[[#This Row],[Débit]])</f>
        <v>#VALUE!</v>
      </c>
      <c r="P357" s="27">
        <f>IF(AND(ISBLANK(TableauCB[[#This Row],[Débit]]),ISBLANK(TableauCB[[#This Row],[Crédit]])),"",P356+TableauCB[[#This Row],[Crédit]]-TableauCB[[#This Row],[Débit]])</f>
        <v>8694.0959999999995</v>
      </c>
      <c r="Q357" s="26"/>
      <c r="S357" s="41"/>
      <c r="T357" s="11"/>
      <c r="U357" s="11"/>
      <c r="V357" s="56"/>
      <c r="W357" s="57"/>
      <c r="X357" s="56"/>
      <c r="Y357" s="7"/>
      <c r="Z357" s="7"/>
      <c r="AA357" s="55"/>
      <c r="AB357" s="54"/>
    </row>
    <row r="358" spans="2:28" ht="30" hidden="1" customHeight="1">
      <c r="B358" s="46"/>
      <c r="C358" s="11" t="s">
        <v>33</v>
      </c>
      <c r="D358" s="11" t="s">
        <v>11</v>
      </c>
      <c r="E358" s="11"/>
      <c r="F358" s="34">
        <v>42063</v>
      </c>
      <c r="G358"/>
      <c r="H358"/>
      <c r="I358" s="32">
        <v>42090</v>
      </c>
      <c r="J358"/>
      <c r="K358" s="31"/>
      <c r="L358" s="30"/>
      <c r="M358" s="29">
        <v>198</v>
      </c>
      <c r="N358" s="28">
        <f>IF(OR(TableauCB[[#This Row],[Etat]]="",TableauCB[[#This Row],[Etat]]="c"),IF(TableauCB[[#This Row],[Solde]]="","",N357),N357-TableauCB[[#This Row],[Débit]]+TableauCB[[#This Row],[Crédit]])</f>
        <v>10038.096</v>
      </c>
      <c r="O358" s="27" t="e">
        <f>IF(TableauCB[[#This Row],[Etat]]="xc",O357-TableauCB[[#This Row],[Débit]]+TableauCB[[#This Row],[Crédit]],O357-TableauCB[[#This Row],[Débit]])</f>
        <v>#VALUE!</v>
      </c>
      <c r="P358" s="27">
        <f>IF(AND(ISBLANK(TableauCB[[#This Row],[Débit]]),ISBLANK(TableauCB[[#This Row],[Crédit]])),"",P357+TableauCB[[#This Row],[Crédit]]-TableauCB[[#This Row],[Débit]])</f>
        <v>8892.0959999999995</v>
      </c>
      <c r="Q358" s="26"/>
      <c r="T358" s="11"/>
      <c r="U358" s="11"/>
      <c r="V358" s="56"/>
      <c r="W358" s="57"/>
      <c r="X358" s="56"/>
      <c r="Y358" s="7"/>
      <c r="Z358" s="7"/>
      <c r="AA358" s="55"/>
      <c r="AB358" s="54"/>
    </row>
    <row r="359" spans="2:28" ht="30" hidden="1" customHeight="1">
      <c r="B359" s="46"/>
      <c r="C359" s="11" t="s">
        <v>33</v>
      </c>
      <c r="D359" s="11" t="s">
        <v>11</v>
      </c>
      <c r="E359" s="11"/>
      <c r="F359" s="34">
        <v>42063</v>
      </c>
      <c r="G359"/>
      <c r="H359"/>
      <c r="I359" s="32">
        <v>41772</v>
      </c>
      <c r="J359"/>
      <c r="K359" s="31"/>
      <c r="L359" s="30"/>
      <c r="M359" s="29">
        <f>151.8</f>
        <v>151.80000000000001</v>
      </c>
      <c r="N359" s="28">
        <f>IF(OR(TableauCB[[#This Row],[Etat]]="",TableauCB[[#This Row],[Etat]]="c"),IF(TableauCB[[#This Row],[Solde]]="","",N358),N358-TableauCB[[#This Row],[Débit]]+TableauCB[[#This Row],[Crédit]])</f>
        <v>10189.895999999999</v>
      </c>
      <c r="O359" s="27" t="e">
        <f>IF(TableauCB[[#This Row],[Etat]]="xc",O358-TableauCB[[#This Row],[Débit]]+TableauCB[[#This Row],[Crédit]],O358-TableauCB[[#This Row],[Débit]])</f>
        <v>#VALUE!</v>
      </c>
      <c r="P359" s="27">
        <f>IF(AND(ISBLANK(TableauCB[[#This Row],[Débit]]),ISBLANK(TableauCB[[#This Row],[Crédit]])),"",P358+TableauCB[[#This Row],[Crédit]]-TableauCB[[#This Row],[Débit]])</f>
        <v>9043.8959999999988</v>
      </c>
      <c r="Q359" s="26"/>
      <c r="T359" s="11"/>
      <c r="U359" s="11"/>
      <c r="V359" s="56"/>
      <c r="W359" s="57"/>
      <c r="X359" s="56"/>
      <c r="Y359" s="7"/>
      <c r="Z359" s="7"/>
      <c r="AA359" s="55"/>
      <c r="AB359" s="54"/>
    </row>
    <row r="360" spans="2:28" ht="30" hidden="1" customHeight="1">
      <c r="B360" s="46"/>
      <c r="C360" s="11" t="s">
        <v>33</v>
      </c>
      <c r="D360" s="11" t="s">
        <v>11</v>
      </c>
      <c r="E360" s="11"/>
      <c r="F360" s="34">
        <v>42063</v>
      </c>
      <c r="G360"/>
      <c r="H360"/>
      <c r="I360" s="32">
        <v>42157</v>
      </c>
      <c r="J360"/>
      <c r="K360" s="31"/>
      <c r="L360" s="30"/>
      <c r="M360" s="29">
        <v>522</v>
      </c>
      <c r="N360" s="28">
        <f>IF(OR(TableauCB[[#This Row],[Etat]]="",TableauCB[[#This Row],[Etat]]="c"),IF(TableauCB[[#This Row],[Solde]]="","",N359),N359-TableauCB[[#This Row],[Débit]]+TableauCB[[#This Row],[Crédit]])</f>
        <v>10711.895999999999</v>
      </c>
      <c r="O360" s="27" t="e">
        <f>IF(TableauCB[[#This Row],[Etat]]="xc",O359-TableauCB[[#This Row],[Débit]]+TableauCB[[#This Row],[Crédit]],O359-TableauCB[[#This Row],[Débit]])</f>
        <v>#VALUE!</v>
      </c>
      <c r="P360" s="27">
        <f>IF(AND(ISBLANK(TableauCB[[#This Row],[Débit]]),ISBLANK(TableauCB[[#This Row],[Crédit]])),"",P359+TableauCB[[#This Row],[Crédit]]-TableauCB[[#This Row],[Débit]])</f>
        <v>9565.8959999999988</v>
      </c>
      <c r="Q360" s="26"/>
      <c r="T360" s="11"/>
      <c r="U360" s="11"/>
      <c r="V360" s="56"/>
      <c r="W360" s="57"/>
      <c r="X360" s="56"/>
      <c r="Y360" s="7"/>
      <c r="Z360" s="7"/>
      <c r="AA360" s="55"/>
      <c r="AB360" s="54"/>
    </row>
    <row r="361" spans="2:28" ht="30" hidden="1" customHeight="1">
      <c r="B361" s="46"/>
      <c r="C361" s="11" t="s">
        <v>33</v>
      </c>
      <c r="D361" s="11" t="s">
        <v>11</v>
      </c>
      <c r="E361" s="11"/>
      <c r="F361" s="34">
        <v>42063</v>
      </c>
      <c r="G361"/>
      <c r="H361"/>
      <c r="I361" s="32">
        <v>42083</v>
      </c>
      <c r="J361"/>
      <c r="K361" s="31"/>
      <c r="L361" s="30"/>
      <c r="M361" s="29">
        <v>50.4</v>
      </c>
      <c r="N361" s="28">
        <f>IF(OR(TableauCB[[#This Row],[Etat]]="",TableauCB[[#This Row],[Etat]]="c"),IF(TableauCB[[#This Row],[Solde]]="","",N360),N360-TableauCB[[#This Row],[Débit]]+TableauCB[[#This Row],[Crédit]])</f>
        <v>10762.295999999998</v>
      </c>
      <c r="O361" s="27" t="e">
        <f>IF(TableauCB[[#This Row],[Etat]]="xc",O360-TableauCB[[#This Row],[Débit]]+TableauCB[[#This Row],[Crédit]],O360-TableauCB[[#This Row],[Débit]])</f>
        <v>#VALUE!</v>
      </c>
      <c r="P361" s="27">
        <f>IF(AND(ISBLANK(TableauCB[[#This Row],[Débit]]),ISBLANK(TableauCB[[#This Row],[Crédit]])),"",P360+TableauCB[[#This Row],[Crédit]]-TableauCB[[#This Row],[Débit]])</f>
        <v>9616.2959999999985</v>
      </c>
      <c r="Q361" s="26"/>
      <c r="R361" s="50"/>
      <c r="T361" s="11"/>
      <c r="U361" s="11"/>
      <c r="V361" s="56"/>
      <c r="W361" s="57"/>
      <c r="X361" s="56"/>
      <c r="Y361" s="7"/>
      <c r="Z361" s="7"/>
      <c r="AA361" s="55"/>
      <c r="AB361" s="54"/>
    </row>
    <row r="362" spans="2:28" ht="30" hidden="1" customHeight="1">
      <c r="B362" s="46"/>
      <c r="C362" s="11" t="s">
        <v>33</v>
      </c>
      <c r="D362" s="11" t="s">
        <v>11</v>
      </c>
      <c r="E362" s="11"/>
      <c r="F362" s="34">
        <v>42063</v>
      </c>
      <c r="G362"/>
      <c r="H362"/>
      <c r="I362" s="32">
        <v>42133</v>
      </c>
      <c r="J362"/>
      <c r="K362" s="31"/>
      <c r="L362" s="30"/>
      <c r="M362" s="29">
        <v>288</v>
      </c>
      <c r="N362" s="28">
        <f>IF(OR(TableauCB[[#This Row],[Etat]]="",TableauCB[[#This Row],[Etat]]="c"),IF(TableauCB[[#This Row],[Solde]]="","",N361),N361-TableauCB[[#This Row],[Débit]]+TableauCB[[#This Row],[Crédit]])</f>
        <v>11050.295999999998</v>
      </c>
      <c r="O362" s="27" t="e">
        <f>IF(TableauCB[[#This Row],[Etat]]="xc",O361-TableauCB[[#This Row],[Débit]]+TableauCB[[#This Row],[Crédit]],O361-TableauCB[[#This Row],[Débit]])</f>
        <v>#VALUE!</v>
      </c>
      <c r="P362" s="27">
        <f>IF(AND(ISBLANK(TableauCB[[#This Row],[Débit]]),ISBLANK(TableauCB[[#This Row],[Crédit]])),"",P361+TableauCB[[#This Row],[Crédit]]-TableauCB[[#This Row],[Débit]])</f>
        <v>9904.2959999999985</v>
      </c>
      <c r="Q362" s="26"/>
      <c r="T362" s="11"/>
      <c r="U362" s="24"/>
      <c r="V362" s="56"/>
      <c r="W362" s="57"/>
      <c r="X362" s="56"/>
      <c r="Y362" s="7"/>
      <c r="Z362" s="7"/>
      <c r="AA362" s="55"/>
      <c r="AB362" s="54"/>
    </row>
    <row r="363" spans="2:28" ht="30" hidden="1" customHeight="1">
      <c r="B363" s="46"/>
      <c r="C363" s="11" t="s">
        <v>33</v>
      </c>
      <c r="D363" s="11" t="s">
        <v>11</v>
      </c>
      <c r="E363" s="11"/>
      <c r="F363" s="34">
        <v>42063</v>
      </c>
      <c r="G363"/>
      <c r="H363"/>
      <c r="I363" s="32"/>
      <c r="J363"/>
      <c r="K363" s="31"/>
      <c r="L363" s="30"/>
      <c r="M363" s="29">
        <v>624</v>
      </c>
      <c r="N363" s="28">
        <f>IF(OR(TableauCB[[#This Row],[Etat]]="",TableauCB[[#This Row],[Etat]]="c"),IF(TableauCB[[#This Row],[Solde]]="","",N362),N362-TableauCB[[#This Row],[Débit]]+TableauCB[[#This Row],[Crédit]])</f>
        <v>11674.295999999998</v>
      </c>
      <c r="O363" s="27" t="e">
        <f>IF(TableauCB[[#This Row],[Etat]]="xc",O362-TableauCB[[#This Row],[Débit]]+TableauCB[[#This Row],[Crédit]],O362-TableauCB[[#This Row],[Débit]])</f>
        <v>#VALUE!</v>
      </c>
      <c r="P363" s="27">
        <f>IF(AND(ISBLANK(TableauCB[[#This Row],[Débit]]),ISBLANK(TableauCB[[#This Row],[Crédit]])),"",P362+TableauCB[[#This Row],[Crédit]]-TableauCB[[#This Row],[Débit]])</f>
        <v>10528.295999999998</v>
      </c>
      <c r="Q363" s="26"/>
      <c r="T363" s="11"/>
      <c r="U363" s="11"/>
      <c r="V363" s="56"/>
      <c r="W363" s="57"/>
      <c r="X363" s="56"/>
      <c r="Y363" s="7"/>
      <c r="Z363" s="7"/>
      <c r="AA363" s="55"/>
      <c r="AB363" s="54"/>
    </row>
    <row r="364" spans="2:28" ht="30" hidden="1" customHeight="1">
      <c r="B364" s="46"/>
      <c r="C364" s="11" t="s">
        <v>33</v>
      </c>
      <c r="D364" s="11" t="s">
        <v>11</v>
      </c>
      <c r="E364" s="11"/>
      <c r="F364" s="34">
        <v>42063</v>
      </c>
      <c r="G364"/>
      <c r="H364"/>
      <c r="I364" s="32">
        <v>42073</v>
      </c>
      <c r="J364"/>
      <c r="K364" s="31"/>
      <c r="L364" s="30"/>
      <c r="M364" s="29">
        <v>115.2</v>
      </c>
      <c r="N364" s="28">
        <f>IF(OR(TableauCB[[#This Row],[Etat]]="",TableauCB[[#This Row],[Etat]]="c"),IF(TableauCB[[#This Row],[Solde]]="","",N363),N363-TableauCB[[#This Row],[Débit]]+TableauCB[[#This Row],[Crédit]])</f>
        <v>11789.495999999999</v>
      </c>
      <c r="O364" s="27" t="e">
        <f>IF(TableauCB[[#This Row],[Etat]]="xc",O363-TableauCB[[#This Row],[Débit]]+TableauCB[[#This Row],[Crédit]],O363-TableauCB[[#This Row],[Débit]])</f>
        <v>#VALUE!</v>
      </c>
      <c r="P364" s="27">
        <f>IF(AND(ISBLANK(TableauCB[[#This Row],[Débit]]),ISBLANK(TableauCB[[#This Row],[Crédit]])),"",P363+TableauCB[[#This Row],[Crédit]]-TableauCB[[#This Row],[Débit]])</f>
        <v>10643.495999999999</v>
      </c>
      <c r="Q364" s="26"/>
      <c r="T364" s="11"/>
      <c r="U364" s="11"/>
      <c r="V364" s="56"/>
      <c r="W364" s="57"/>
      <c r="X364" s="56"/>
      <c r="Y364" s="7"/>
      <c r="Z364" s="7"/>
      <c r="AA364" s="55"/>
      <c r="AB364" s="54"/>
    </row>
    <row r="365" spans="2:28" ht="30" hidden="1" customHeight="1">
      <c r="B365" s="46"/>
      <c r="C365" s="11" t="s">
        <v>33</v>
      </c>
      <c r="D365" s="11" t="s">
        <v>11</v>
      </c>
      <c r="E365" s="11"/>
      <c r="F365" s="34">
        <v>42063</v>
      </c>
      <c r="G365"/>
      <c r="H365"/>
      <c r="I365" s="32">
        <v>42093</v>
      </c>
      <c r="J365"/>
      <c r="K365" s="31"/>
      <c r="L365" s="30"/>
      <c r="M365" s="29">
        <f>120</f>
        <v>120</v>
      </c>
      <c r="N365" s="28">
        <f>IF(OR(TableauCB[[#This Row],[Etat]]="",TableauCB[[#This Row],[Etat]]="c"),IF(TableauCB[[#This Row],[Solde]]="","",N364),N364-TableauCB[[#This Row],[Débit]]+TableauCB[[#This Row],[Crédit]])</f>
        <v>11909.495999999999</v>
      </c>
      <c r="O365" s="27" t="e">
        <f>IF(TableauCB[[#This Row],[Etat]]="xc",O364-TableauCB[[#This Row],[Débit]]+TableauCB[[#This Row],[Crédit]],O364-TableauCB[[#This Row],[Débit]])</f>
        <v>#VALUE!</v>
      </c>
      <c r="P365" s="27">
        <f>IF(AND(ISBLANK(TableauCB[[#This Row],[Débit]]),ISBLANK(TableauCB[[#This Row],[Crédit]])),"",P364+TableauCB[[#This Row],[Crédit]]-TableauCB[[#This Row],[Débit]])</f>
        <v>10763.495999999999</v>
      </c>
      <c r="Q365" s="26"/>
      <c r="T365" s="11"/>
      <c r="U365" s="11"/>
      <c r="V365" s="56"/>
      <c r="W365" s="57"/>
      <c r="X365" s="56"/>
      <c r="Y365" s="7"/>
      <c r="Z365" s="7"/>
      <c r="AA365" s="55"/>
      <c r="AB365" s="54"/>
    </row>
    <row r="366" spans="2:28" ht="30" hidden="1" customHeight="1" thickBot="1">
      <c r="B366" s="46"/>
      <c r="C366" s="11" t="s">
        <v>33</v>
      </c>
      <c r="D366" s="11" t="s">
        <v>9</v>
      </c>
      <c r="E366" s="11"/>
      <c r="F366" s="34">
        <v>42063</v>
      </c>
      <c r="G366"/>
      <c r="H366"/>
      <c r="I366" s="32"/>
      <c r="J366"/>
      <c r="K366" s="31"/>
      <c r="L366" s="30">
        <v>240</v>
      </c>
      <c r="M366" s="29"/>
      <c r="N366" s="28">
        <f>IF(OR(TableauCB[[#This Row],[Etat]]="",TableauCB[[#This Row],[Etat]]="c"),IF(TableauCB[[#This Row],[Solde]]="","",N365),N365-TableauCB[[#This Row],[Débit]]+TableauCB[[#This Row],[Crédit]])</f>
        <v>11669.495999999999</v>
      </c>
      <c r="O366" s="27" t="e">
        <f>IF(TableauCB[[#This Row],[Etat]]="xc",O365-TableauCB[[#This Row],[Débit]]+TableauCB[[#This Row],[Crédit]],O365-TableauCB[[#This Row],[Débit]])</f>
        <v>#VALUE!</v>
      </c>
      <c r="P366" s="27">
        <f>IF(AND(ISBLANK(TableauCB[[#This Row],[Débit]]),ISBLANK(TableauCB[[#This Row],[Crédit]])),"",P365+TableauCB[[#This Row],[Crédit]]-TableauCB[[#This Row],[Débit]])</f>
        <v>10523.495999999999</v>
      </c>
      <c r="Q366" s="26"/>
      <c r="R366" s="47" t="s">
        <v>54</v>
      </c>
      <c r="S366" s="47" t="s">
        <v>53</v>
      </c>
      <c r="T366" s="11"/>
      <c r="U366" s="11"/>
      <c r="V366" s="56"/>
      <c r="W366" s="57"/>
      <c r="X366" s="56"/>
      <c r="Y366" s="7"/>
      <c r="Z366" s="7"/>
      <c r="AA366" s="55"/>
      <c r="AB366" s="54"/>
    </row>
    <row r="367" spans="2:28" ht="30" hidden="1" customHeight="1" thickBot="1">
      <c r="B367" s="53"/>
      <c r="C367" s="11" t="s">
        <v>33</v>
      </c>
      <c r="D367" s="11" t="s">
        <v>5</v>
      </c>
      <c r="E367" s="11"/>
      <c r="F367" s="34">
        <v>42063</v>
      </c>
      <c r="G367"/>
      <c r="H367"/>
      <c r="I367" s="32"/>
      <c r="J367"/>
      <c r="K367" s="31"/>
      <c r="L367" s="30">
        <v>624.34</v>
      </c>
      <c r="M367" s="29"/>
      <c r="N367" s="28">
        <f>IF(OR(TableauCB[[#This Row],[Etat]]="",TableauCB[[#This Row],[Etat]]="c"),IF(TableauCB[[#This Row],[Solde]]="","",N366),N366-TableauCB[[#This Row],[Débit]]+TableauCB[[#This Row],[Crédit]])</f>
        <v>11045.155999999999</v>
      </c>
      <c r="O367" s="27" t="e">
        <f>IF(TableauCB[[#This Row],[Etat]]="xc",O366-TableauCB[[#This Row],[Débit]]+TableauCB[[#This Row],[Crédit]],O366-TableauCB[[#This Row],[Débit]])</f>
        <v>#VALUE!</v>
      </c>
      <c r="P367" s="27">
        <f>IF(AND(ISBLANK(TableauCB[[#This Row],[Débit]]),ISBLANK(TableauCB[[#This Row],[Crédit]])),"",P366+TableauCB[[#This Row],[Crédit]]-TableauCB[[#This Row],[Débit]])</f>
        <v>9899.155999999999</v>
      </c>
      <c r="Q367" s="26"/>
      <c r="R367" s="25">
        <f>SUM(M344:M367)-SUM(L344:L367)</f>
        <v>8192.82</v>
      </c>
      <c r="S367" s="25">
        <f>((R367-7500)/1.2)+7500</f>
        <v>8077.3499999999995</v>
      </c>
      <c r="T367" s="24"/>
      <c r="U367" s="11"/>
      <c r="V367" s="56"/>
      <c r="W367" s="57"/>
      <c r="X367" s="56"/>
      <c r="Y367" s="7"/>
      <c r="Z367" s="7"/>
      <c r="AA367" s="55"/>
      <c r="AB367" s="54"/>
    </row>
    <row r="368" spans="2:28" ht="30" hidden="1" customHeight="1">
      <c r="B368" s="52" t="s">
        <v>73</v>
      </c>
      <c r="C368" s="11" t="s">
        <v>33</v>
      </c>
      <c r="D368" s="11" t="s">
        <v>37</v>
      </c>
      <c r="E368" s="11"/>
      <c r="F368" s="34">
        <v>42064</v>
      </c>
      <c r="G368"/>
      <c r="H368"/>
      <c r="I368" s="32"/>
      <c r="J368"/>
      <c r="K368" s="31"/>
      <c r="L368" s="30">
        <v>168</v>
      </c>
      <c r="M368" s="29"/>
      <c r="N368" s="28">
        <f>IF(OR(TableauCB[[#This Row],[Etat]]="",TableauCB[[#This Row],[Etat]]="c"),IF(TableauCB[[#This Row],[Solde]]="","",N367),N367-TableauCB[[#This Row],[Débit]]+TableauCB[[#This Row],[Crédit]])</f>
        <v>10877.155999999999</v>
      </c>
      <c r="O368" s="27" t="e">
        <f>IF(TableauCB[[#This Row],[Etat]]="xc",O367-TableauCB[[#This Row],[Débit]]+TableauCB[[#This Row],[Crédit]],O367-TableauCB[[#This Row],[Débit]])</f>
        <v>#VALUE!</v>
      </c>
      <c r="P368" s="27">
        <f>IF(AND(ISBLANK(TableauCB[[#This Row],[Débit]]),ISBLANK(TableauCB[[#This Row],[Crédit]])),"",P367+TableauCB[[#This Row],[Crédit]]-TableauCB[[#This Row],[Débit]])</f>
        <v>9731.155999999999</v>
      </c>
      <c r="Q368" s="26"/>
      <c r="T368" s="11"/>
      <c r="U368" s="11"/>
      <c r="V368" s="56"/>
      <c r="W368" s="57"/>
      <c r="X368" s="56"/>
      <c r="Y368" s="7"/>
      <c r="Z368" s="7"/>
      <c r="AA368" s="55"/>
      <c r="AB368" s="54"/>
    </row>
    <row r="369" spans="2:28" ht="30" hidden="1" customHeight="1">
      <c r="B369" s="46"/>
      <c r="C369" s="11" t="s">
        <v>33</v>
      </c>
      <c r="D369" s="11" t="s">
        <v>17</v>
      </c>
      <c r="E369" s="11"/>
      <c r="F369" s="34">
        <v>42065</v>
      </c>
      <c r="G369"/>
      <c r="H369"/>
      <c r="I369" s="32"/>
      <c r="J369"/>
      <c r="K369" s="31"/>
      <c r="L369" s="30">
        <v>43.23</v>
      </c>
      <c r="M369" s="29"/>
      <c r="N369" s="28">
        <f>IF(OR(TableauCB[[#This Row],[Etat]]="",TableauCB[[#This Row],[Etat]]="c"),IF(TableauCB[[#This Row],[Solde]]="","",N368),N368-TableauCB[[#This Row],[Débit]]+TableauCB[[#This Row],[Crédit]])</f>
        <v>10833.925999999999</v>
      </c>
      <c r="O369" s="27" t="e">
        <f>IF(TableauCB[[#This Row],[Etat]]="xc",O368-TableauCB[[#This Row],[Débit]]+TableauCB[[#This Row],[Crédit]],O368-TableauCB[[#This Row],[Débit]])</f>
        <v>#VALUE!</v>
      </c>
      <c r="P369" s="27">
        <f>IF(AND(ISBLANK(TableauCB[[#This Row],[Débit]]),ISBLANK(TableauCB[[#This Row],[Crédit]])),"",P368+TableauCB[[#This Row],[Crédit]]-TableauCB[[#This Row],[Débit]])</f>
        <v>9687.9259999999995</v>
      </c>
      <c r="Q369" s="26"/>
      <c r="T369" s="11"/>
      <c r="U369" s="11"/>
      <c r="V369" s="56"/>
      <c r="W369" s="57"/>
      <c r="X369" s="56"/>
      <c r="Y369" s="7"/>
      <c r="Z369" s="7"/>
      <c r="AA369" s="55"/>
      <c r="AB369" s="54"/>
    </row>
    <row r="370" spans="2:28" ht="30" hidden="1" customHeight="1">
      <c r="B370" s="46"/>
      <c r="C370" s="11" t="s">
        <v>33</v>
      </c>
      <c r="D370" s="11" t="s">
        <v>17</v>
      </c>
      <c r="E370" s="11"/>
      <c r="F370" s="34">
        <v>42066</v>
      </c>
      <c r="G370"/>
      <c r="H370"/>
      <c r="I370" s="32"/>
      <c r="J370"/>
      <c r="K370" s="31"/>
      <c r="L370" s="30">
        <v>41.4</v>
      </c>
      <c r="M370" s="29"/>
      <c r="N370" s="28">
        <f>IF(OR(TableauCB[[#This Row],[Etat]]="",TableauCB[[#This Row],[Etat]]="c"),IF(TableauCB[[#This Row],[Solde]]="","",N369),N369-TableauCB[[#This Row],[Débit]]+TableauCB[[#This Row],[Crédit]])</f>
        <v>10792.526</v>
      </c>
      <c r="O370" s="27" t="e">
        <f>IF(TableauCB[[#This Row],[Etat]]="xc",O369-TableauCB[[#This Row],[Débit]]+TableauCB[[#This Row],[Crédit]],O369-TableauCB[[#This Row],[Débit]])</f>
        <v>#VALUE!</v>
      </c>
      <c r="P370" s="27">
        <f>IF(AND(ISBLANK(TableauCB[[#This Row],[Débit]]),ISBLANK(TableauCB[[#This Row],[Crédit]])),"",P369+TableauCB[[#This Row],[Crédit]]-TableauCB[[#This Row],[Débit]])</f>
        <v>9646.5259999999998</v>
      </c>
      <c r="Q370" s="26"/>
      <c r="T370" s="11"/>
      <c r="U370" s="11"/>
      <c r="V370" s="56"/>
      <c r="W370" s="57"/>
      <c r="X370" s="56"/>
      <c r="Y370" s="7"/>
      <c r="Z370" s="7"/>
      <c r="AA370" s="55"/>
      <c r="AB370" s="54"/>
    </row>
    <row r="371" spans="2:28" ht="30" hidden="1" customHeight="1">
      <c r="B371" s="46"/>
      <c r="C371" s="11" t="s">
        <v>33</v>
      </c>
      <c r="D371" s="11" t="s">
        <v>21</v>
      </c>
      <c r="E371" s="11"/>
      <c r="F371" s="34">
        <v>42072</v>
      </c>
      <c r="G371"/>
      <c r="H371"/>
      <c r="I371" s="32"/>
      <c r="J371"/>
      <c r="K371" s="31"/>
      <c r="L371" s="30">
        <v>21.9</v>
      </c>
      <c r="M371" s="29"/>
      <c r="N371" s="28">
        <f>IF(OR(TableauCB[[#This Row],[Etat]]="",TableauCB[[#This Row],[Etat]]="c"),IF(TableauCB[[#This Row],[Solde]]="","",N370),N370-TableauCB[[#This Row],[Débit]]+TableauCB[[#This Row],[Crédit]])</f>
        <v>10770.626</v>
      </c>
      <c r="O371" s="27" t="e">
        <f>IF(TableauCB[[#This Row],[Etat]]="xc",O370-TableauCB[[#This Row],[Débit]]+TableauCB[[#This Row],[Crédit]],O370-TableauCB[[#This Row],[Débit]])</f>
        <v>#VALUE!</v>
      </c>
      <c r="P371" s="27">
        <f>IF(AND(ISBLANK(TableauCB[[#This Row],[Débit]]),ISBLANK(TableauCB[[#This Row],[Crédit]])),"",P370+TableauCB[[#This Row],[Crédit]]-TableauCB[[#This Row],[Débit]])</f>
        <v>9624.6260000000002</v>
      </c>
      <c r="Q371" s="26"/>
      <c r="T371" s="11"/>
      <c r="U371" s="11"/>
      <c r="V371" s="56"/>
      <c r="W371" s="57"/>
      <c r="X371" s="56"/>
      <c r="Y371" s="7"/>
      <c r="Z371" s="7"/>
      <c r="AA371" s="55"/>
      <c r="AB371" s="54"/>
    </row>
    <row r="372" spans="2:28" ht="30" hidden="1" customHeight="1">
      <c r="B372" s="46"/>
      <c r="C372" s="11" t="s">
        <v>33</v>
      </c>
      <c r="D372" s="11" t="s">
        <v>15</v>
      </c>
      <c r="E372" s="11"/>
      <c r="F372" s="34">
        <v>42078</v>
      </c>
      <c r="G372"/>
      <c r="H372"/>
      <c r="I372" s="32"/>
      <c r="J372"/>
      <c r="K372" s="31"/>
      <c r="L372" s="30">
        <v>38</v>
      </c>
      <c r="M372" s="29"/>
      <c r="N372" s="28">
        <f>IF(OR(TableauCB[[#This Row],[Etat]]="",TableauCB[[#This Row],[Etat]]="c"),IF(TableauCB[[#This Row],[Solde]]="","",N371),N371-TableauCB[[#This Row],[Débit]]+TableauCB[[#This Row],[Crédit]])</f>
        <v>10732.626</v>
      </c>
      <c r="O372" s="27" t="e">
        <f>IF(TableauCB[[#This Row],[Etat]]="xc",O371-TableauCB[[#This Row],[Débit]]+TableauCB[[#This Row],[Crédit]],O371-TableauCB[[#This Row],[Débit]])</f>
        <v>#VALUE!</v>
      </c>
      <c r="P372" s="27">
        <f>IF(AND(ISBLANK(TableauCB[[#This Row],[Débit]]),ISBLANK(TableauCB[[#This Row],[Crédit]])),"",P371+TableauCB[[#This Row],[Crédit]]-TableauCB[[#This Row],[Débit]])</f>
        <v>9586.6260000000002</v>
      </c>
      <c r="Q372" s="26"/>
      <c r="T372" s="11"/>
      <c r="U372" s="11"/>
      <c r="V372" s="56"/>
      <c r="W372" s="57"/>
      <c r="X372" s="56"/>
      <c r="Y372" s="7"/>
      <c r="Z372" s="7"/>
      <c r="AA372" s="55"/>
      <c r="AB372" s="54"/>
    </row>
    <row r="373" spans="2:28" ht="30" hidden="1" customHeight="1">
      <c r="B373" s="46"/>
      <c r="C373" s="11" t="s">
        <v>33</v>
      </c>
      <c r="D373" s="11" t="s">
        <v>58</v>
      </c>
      <c r="E373" s="11"/>
      <c r="F373" s="34">
        <v>42083</v>
      </c>
      <c r="G373"/>
      <c r="H373"/>
      <c r="I373" s="32"/>
      <c r="J373"/>
      <c r="K373" s="31"/>
      <c r="L373" s="30">
        <v>61.05</v>
      </c>
      <c r="M373" s="29"/>
      <c r="N373" s="28">
        <f>IF(OR(TableauCB[[#This Row],[Etat]]="",TableauCB[[#This Row],[Etat]]="c"),IF(TableauCB[[#This Row],[Solde]]="","",N372),N372-TableauCB[[#This Row],[Débit]]+TableauCB[[#This Row],[Crédit]])</f>
        <v>10671.576000000001</v>
      </c>
      <c r="O373" s="27" t="e">
        <f>IF(TableauCB[[#This Row],[Etat]]="xc",O372-TableauCB[[#This Row],[Débit]]+TableauCB[[#This Row],[Crédit]],O372-TableauCB[[#This Row],[Débit]])</f>
        <v>#VALUE!</v>
      </c>
      <c r="P373" s="27">
        <f>IF(AND(ISBLANK(TableauCB[[#This Row],[Débit]]),ISBLANK(TableauCB[[#This Row],[Crédit]])),"",P372+TableauCB[[#This Row],[Crédit]]-TableauCB[[#This Row],[Débit]])</f>
        <v>9525.5760000000009</v>
      </c>
      <c r="Q373" s="26"/>
      <c r="T373" s="11"/>
      <c r="U373" s="11"/>
      <c r="V373" s="56"/>
      <c r="W373" s="57"/>
      <c r="X373" s="56"/>
      <c r="Y373" s="7"/>
      <c r="Z373" s="7"/>
      <c r="AA373" s="55"/>
      <c r="AB373" s="54"/>
    </row>
    <row r="374" spans="2:28" ht="30" hidden="1" customHeight="1">
      <c r="B374" s="46"/>
      <c r="C374" s="11" t="s">
        <v>33</v>
      </c>
      <c r="D374" s="11" t="s">
        <v>37</v>
      </c>
      <c r="E374" s="11"/>
      <c r="F374" s="34">
        <v>42091</v>
      </c>
      <c r="G374"/>
      <c r="H374"/>
      <c r="I374" s="32"/>
      <c r="J374"/>
      <c r="K374" s="31"/>
      <c r="L374" s="30">
        <v>95.5</v>
      </c>
      <c r="M374" s="29"/>
      <c r="N374" s="28">
        <f>IF(OR(TableauCB[[#This Row],[Etat]]="",TableauCB[[#This Row],[Etat]]="c"),IF(TableauCB[[#This Row],[Solde]]="","",N373),N373-TableauCB[[#This Row],[Débit]]+TableauCB[[#This Row],[Crédit]])</f>
        <v>10576.076000000001</v>
      </c>
      <c r="O374" s="27" t="e">
        <f>IF(TableauCB[[#This Row],[Etat]]="xc",O373-TableauCB[[#This Row],[Débit]]+TableauCB[[#This Row],[Crédit]],O373-TableauCB[[#This Row],[Débit]])</f>
        <v>#VALUE!</v>
      </c>
      <c r="P374" s="27">
        <f>IF(AND(ISBLANK(TableauCB[[#This Row],[Débit]]),ISBLANK(TableauCB[[#This Row],[Crédit]])),"",P373+TableauCB[[#This Row],[Crédit]]-TableauCB[[#This Row],[Débit]])</f>
        <v>9430.0760000000009</v>
      </c>
      <c r="Q374" s="26"/>
      <c r="T374" s="11"/>
      <c r="U374" s="11"/>
      <c r="V374" s="56"/>
      <c r="W374" s="57"/>
      <c r="X374" s="56"/>
      <c r="Y374" s="7"/>
      <c r="Z374" s="7"/>
      <c r="AA374" s="55"/>
      <c r="AB374" s="54"/>
    </row>
    <row r="375" spans="2:28" ht="30" hidden="1" customHeight="1">
      <c r="B375" s="46"/>
      <c r="C375" s="11" t="s">
        <v>33</v>
      </c>
      <c r="D375" s="11" t="s">
        <v>11</v>
      </c>
      <c r="E375" s="11"/>
      <c r="F375" s="34">
        <v>42093</v>
      </c>
      <c r="G375"/>
      <c r="H375"/>
      <c r="I375" s="32">
        <v>42128</v>
      </c>
      <c r="J375"/>
      <c r="K375" s="31"/>
      <c r="L375" s="30"/>
      <c r="M375" s="29">
        <v>108</v>
      </c>
      <c r="N375" s="28">
        <f>IF(OR(TableauCB[[#This Row],[Etat]]="",TableauCB[[#This Row],[Etat]]="c"),IF(TableauCB[[#This Row],[Solde]]="","",N374),N374-TableauCB[[#This Row],[Débit]]+TableauCB[[#This Row],[Crédit]])</f>
        <v>10684.076000000001</v>
      </c>
      <c r="O375" s="27" t="e">
        <f>IF(TableauCB[[#This Row],[Etat]]="xc",O374-TableauCB[[#This Row],[Débit]]+TableauCB[[#This Row],[Crédit]],O374-TableauCB[[#This Row],[Débit]])</f>
        <v>#VALUE!</v>
      </c>
      <c r="P375" s="27">
        <f>IF(AND(ISBLANK(TableauCB[[#This Row],[Débit]]),ISBLANK(TableauCB[[#This Row],[Crédit]])),"",P374+TableauCB[[#This Row],[Crédit]]-TableauCB[[#This Row],[Débit]])</f>
        <v>9538.0760000000009</v>
      </c>
      <c r="Q375" s="26"/>
      <c r="T375" s="11"/>
      <c r="U375" s="11"/>
      <c r="V375" s="56"/>
      <c r="W375" s="57"/>
      <c r="X375" s="56"/>
      <c r="Y375" s="7"/>
      <c r="Z375" s="7"/>
      <c r="AA375" s="55"/>
      <c r="AB375" s="54"/>
    </row>
    <row r="376" spans="2:28" ht="30" hidden="1" customHeight="1">
      <c r="B376" s="46"/>
      <c r="C376" s="11" t="s">
        <v>33</v>
      </c>
      <c r="D376" s="11" t="s">
        <v>11</v>
      </c>
      <c r="E376" s="11"/>
      <c r="F376" s="34">
        <v>42093</v>
      </c>
      <c r="G376"/>
      <c r="H376"/>
      <c r="I376" s="32">
        <v>42163</v>
      </c>
      <c r="J376"/>
      <c r="K376" s="31"/>
      <c r="L376" s="30"/>
      <c r="M376" s="29">
        <v>198</v>
      </c>
      <c r="N376" s="28">
        <f>IF(OR(TableauCB[[#This Row],[Etat]]="",TableauCB[[#This Row],[Etat]]="c"),IF(TableauCB[[#This Row],[Solde]]="","",N375),N375-TableauCB[[#This Row],[Débit]]+TableauCB[[#This Row],[Crédit]])</f>
        <v>10882.076000000001</v>
      </c>
      <c r="O376" s="27" t="e">
        <f>IF(TableauCB[[#This Row],[Etat]]="xc",O375-TableauCB[[#This Row],[Débit]]+TableauCB[[#This Row],[Crédit]],O375-TableauCB[[#This Row],[Débit]])</f>
        <v>#VALUE!</v>
      </c>
      <c r="P376" s="27">
        <f>IF(AND(ISBLANK(TableauCB[[#This Row],[Débit]]),ISBLANK(TableauCB[[#This Row],[Crédit]])),"",P375+TableauCB[[#This Row],[Crédit]]-TableauCB[[#This Row],[Débit]])</f>
        <v>9736.0760000000009</v>
      </c>
      <c r="Q376" s="26"/>
      <c r="T376" s="11"/>
      <c r="U376" s="11"/>
      <c r="V376" s="56"/>
      <c r="W376" s="57"/>
      <c r="X376" s="56"/>
      <c r="Y376" s="7"/>
      <c r="Z376" s="7"/>
      <c r="AA376" s="55"/>
      <c r="AB376" s="54"/>
    </row>
    <row r="377" spans="2:28" ht="30" hidden="1" customHeight="1">
      <c r="B377" s="46"/>
      <c r="C377" s="11" t="s">
        <v>33</v>
      </c>
      <c r="D377" s="11" t="s">
        <v>11</v>
      </c>
      <c r="E377" s="11"/>
      <c r="F377" s="34">
        <v>42093</v>
      </c>
      <c r="G377"/>
      <c r="H377"/>
      <c r="I377" s="32">
        <v>42167</v>
      </c>
      <c r="J377"/>
      <c r="K377" s="31"/>
      <c r="L377" s="30"/>
      <c r="M377" s="29">
        <f>151.8</f>
        <v>151.80000000000001</v>
      </c>
      <c r="N377" s="28">
        <f>IF(OR(TableauCB[[#This Row],[Etat]]="",TableauCB[[#This Row],[Etat]]="c"),IF(TableauCB[[#This Row],[Solde]]="","",N376),N376-TableauCB[[#This Row],[Débit]]+TableauCB[[#This Row],[Crédit]])</f>
        <v>11033.876</v>
      </c>
      <c r="O377" s="27" t="e">
        <f>IF(TableauCB[[#This Row],[Etat]]="xc",O376-TableauCB[[#This Row],[Débit]]+TableauCB[[#This Row],[Crédit]],O376-TableauCB[[#This Row],[Débit]])</f>
        <v>#VALUE!</v>
      </c>
      <c r="P377" s="27">
        <f>IF(AND(ISBLANK(TableauCB[[#This Row],[Débit]]),ISBLANK(TableauCB[[#This Row],[Crédit]])),"",P376+TableauCB[[#This Row],[Crédit]]-TableauCB[[#This Row],[Débit]])</f>
        <v>9887.8760000000002</v>
      </c>
      <c r="Q377" s="26"/>
      <c r="S377" s="41"/>
      <c r="T377" s="11"/>
      <c r="U377" s="11"/>
      <c r="V377" s="56"/>
      <c r="W377" s="57"/>
      <c r="X377" s="56"/>
      <c r="Y377" s="7"/>
      <c r="Z377" s="7"/>
      <c r="AA377" s="55"/>
      <c r="AB377" s="54"/>
    </row>
    <row r="378" spans="2:28" ht="30" hidden="1" customHeight="1">
      <c r="B378" s="46"/>
      <c r="C378" s="11" t="s">
        <v>33</v>
      </c>
      <c r="D378" s="11" t="s">
        <v>11</v>
      </c>
      <c r="E378" s="11"/>
      <c r="F378" s="34">
        <v>42093</v>
      </c>
      <c r="G378"/>
      <c r="H378"/>
      <c r="I378" s="32">
        <v>42157</v>
      </c>
      <c r="J378"/>
      <c r="K378" s="31"/>
      <c r="L378" s="30"/>
      <c r="M378" s="29">
        <v>522</v>
      </c>
      <c r="N378" s="28">
        <f>IF(OR(TableauCB[[#This Row],[Etat]]="",TableauCB[[#This Row],[Etat]]="c"),IF(TableauCB[[#This Row],[Solde]]="","",N377),N377-TableauCB[[#This Row],[Débit]]+TableauCB[[#This Row],[Crédit]])</f>
        <v>11555.876</v>
      </c>
      <c r="O378" s="27" t="e">
        <f>IF(TableauCB[[#This Row],[Etat]]="xc",O377-TableauCB[[#This Row],[Débit]]+TableauCB[[#This Row],[Crédit]],O377-TableauCB[[#This Row],[Débit]])</f>
        <v>#VALUE!</v>
      </c>
      <c r="P378" s="27">
        <f>IF(AND(ISBLANK(TableauCB[[#This Row],[Débit]]),ISBLANK(TableauCB[[#This Row],[Crédit]])),"",P377+TableauCB[[#This Row],[Crédit]]-TableauCB[[#This Row],[Débit]])</f>
        <v>10409.876</v>
      </c>
      <c r="Q378" s="26"/>
      <c r="T378" s="11"/>
      <c r="U378" s="11"/>
      <c r="V378" s="56"/>
      <c r="W378" s="57"/>
      <c r="X378" s="56"/>
      <c r="Y378" s="7"/>
      <c r="Z378" s="7"/>
      <c r="AA378" s="55"/>
      <c r="AB378" s="54"/>
    </row>
    <row r="379" spans="2:28" ht="30" hidden="1" customHeight="1">
      <c r="B379" s="46"/>
      <c r="C379" s="11" t="s">
        <v>33</v>
      </c>
      <c r="D379" s="11" t="s">
        <v>11</v>
      </c>
      <c r="E379" s="11"/>
      <c r="F379" s="34">
        <v>42093</v>
      </c>
      <c r="G379"/>
      <c r="H379"/>
      <c r="I379" s="32">
        <v>42133</v>
      </c>
      <c r="J379"/>
      <c r="K379" s="31"/>
      <c r="L379" s="30"/>
      <c r="M379" s="29">
        <v>288</v>
      </c>
      <c r="N379" s="28">
        <f>IF(OR(TableauCB[[#This Row],[Etat]]="",TableauCB[[#This Row],[Etat]]="c"),IF(TableauCB[[#This Row],[Solde]]="","",N378),N378-TableauCB[[#This Row],[Débit]]+TableauCB[[#This Row],[Crédit]])</f>
        <v>11843.876</v>
      </c>
      <c r="O379" s="27" t="e">
        <f>IF(TableauCB[[#This Row],[Etat]]="xc",O378-TableauCB[[#This Row],[Débit]]+TableauCB[[#This Row],[Crédit]],O378-TableauCB[[#This Row],[Débit]])</f>
        <v>#VALUE!</v>
      </c>
      <c r="P379" s="27">
        <f>IF(AND(ISBLANK(TableauCB[[#This Row],[Débit]]),ISBLANK(TableauCB[[#This Row],[Crédit]])),"",P378+TableauCB[[#This Row],[Crédit]]-TableauCB[[#This Row],[Débit]])</f>
        <v>10697.876</v>
      </c>
      <c r="Q379" s="26"/>
      <c r="T379" s="11"/>
      <c r="U379" s="11"/>
      <c r="V379" s="56"/>
      <c r="W379" s="57"/>
      <c r="X379" s="56"/>
      <c r="Y379" s="7"/>
      <c r="Z379" s="7"/>
      <c r="AA379" s="55"/>
      <c r="AB379" s="54"/>
    </row>
    <row r="380" spans="2:28" ht="30" hidden="1" customHeight="1">
      <c r="B380" s="46"/>
      <c r="C380" s="11" t="s">
        <v>33</v>
      </c>
      <c r="D380" s="11" t="s">
        <v>11</v>
      </c>
      <c r="E380" s="11"/>
      <c r="F380" s="34">
        <v>42093</v>
      </c>
      <c r="G380"/>
      <c r="H380"/>
      <c r="I380" s="32"/>
      <c r="J380"/>
      <c r="K380" s="31"/>
      <c r="L380" s="30"/>
      <c r="M380" s="29">
        <v>624</v>
      </c>
      <c r="N380" s="28">
        <f>IF(OR(TableauCB[[#This Row],[Etat]]="",TableauCB[[#This Row],[Etat]]="c"),IF(TableauCB[[#This Row],[Solde]]="","",N379),N379-TableauCB[[#This Row],[Débit]]+TableauCB[[#This Row],[Crédit]])</f>
        <v>12467.876</v>
      </c>
      <c r="O380" s="27" t="e">
        <f>IF(TableauCB[[#This Row],[Etat]]="xc",O379-TableauCB[[#This Row],[Débit]]+TableauCB[[#This Row],[Crédit]],O379-TableauCB[[#This Row],[Débit]])</f>
        <v>#VALUE!</v>
      </c>
      <c r="P380" s="27">
        <f>IF(AND(ISBLANK(TableauCB[[#This Row],[Débit]]),ISBLANK(TableauCB[[#This Row],[Crédit]])),"",P379+TableauCB[[#This Row],[Crédit]]-TableauCB[[#This Row],[Débit]])</f>
        <v>11321.876</v>
      </c>
      <c r="Q380" s="26"/>
      <c r="T380" s="11"/>
      <c r="U380" s="11"/>
      <c r="V380" s="56"/>
      <c r="W380" s="57"/>
      <c r="X380" s="56"/>
      <c r="Y380" s="7"/>
      <c r="Z380" s="7"/>
      <c r="AA380" s="55"/>
      <c r="AB380" s="54"/>
    </row>
    <row r="381" spans="2:28" ht="30" hidden="1" customHeight="1">
      <c r="B381" s="46"/>
      <c r="C381" s="11" t="s">
        <v>33</v>
      </c>
      <c r="D381" s="11" t="s">
        <v>11</v>
      </c>
      <c r="E381" s="11"/>
      <c r="F381" s="34">
        <v>42093</v>
      </c>
      <c r="G381"/>
      <c r="H381"/>
      <c r="I381" s="32">
        <v>42109</v>
      </c>
      <c r="J381"/>
      <c r="K381" s="31"/>
      <c r="L381" s="30"/>
      <c r="M381" s="29">
        <v>115.2</v>
      </c>
      <c r="N381" s="28">
        <f>IF(OR(TableauCB[[#This Row],[Etat]]="",TableauCB[[#This Row],[Etat]]="c"),IF(TableauCB[[#This Row],[Solde]]="","",N380),N380-TableauCB[[#This Row],[Débit]]+TableauCB[[#This Row],[Crédit]])</f>
        <v>12583.076000000001</v>
      </c>
      <c r="O381" s="27" t="e">
        <f>IF(TableauCB[[#This Row],[Etat]]="xc",O380-TableauCB[[#This Row],[Débit]]+TableauCB[[#This Row],[Crédit]],O380-TableauCB[[#This Row],[Débit]])</f>
        <v>#VALUE!</v>
      </c>
      <c r="P381" s="27">
        <f>IF(AND(ISBLANK(TableauCB[[#This Row],[Débit]]),ISBLANK(TableauCB[[#This Row],[Crédit]])),"",P380+TableauCB[[#This Row],[Crédit]]-TableauCB[[#This Row],[Débit]])</f>
        <v>11437.076000000001</v>
      </c>
      <c r="Q381" s="26"/>
      <c r="T381" s="11"/>
      <c r="U381" s="11"/>
      <c r="V381" s="56"/>
      <c r="W381" s="57"/>
      <c r="X381" s="56"/>
      <c r="Y381" s="7"/>
      <c r="Z381" s="7"/>
      <c r="AA381" s="55"/>
      <c r="AB381" s="54"/>
    </row>
    <row r="382" spans="2:28" ht="30" hidden="1" customHeight="1">
      <c r="B382" s="46"/>
      <c r="C382" s="11" t="s">
        <v>33</v>
      </c>
      <c r="D382" s="11" t="s">
        <v>11</v>
      </c>
      <c r="E382" s="11"/>
      <c r="F382" s="34">
        <v>42093</v>
      </c>
      <c r="G382"/>
      <c r="H382"/>
      <c r="I382" s="32">
        <v>42151</v>
      </c>
      <c r="J382"/>
      <c r="K382" s="31"/>
      <c r="L382" s="30"/>
      <c r="M382" s="29">
        <f>120</f>
        <v>120</v>
      </c>
      <c r="N382" s="28">
        <f>IF(OR(TableauCB[[#This Row],[Etat]]="",TableauCB[[#This Row],[Etat]]="c"),IF(TableauCB[[#This Row],[Solde]]="","",N381),N381-TableauCB[[#This Row],[Débit]]+TableauCB[[#This Row],[Crédit]])</f>
        <v>12703.076000000001</v>
      </c>
      <c r="O382" s="27" t="e">
        <f>IF(TableauCB[[#This Row],[Etat]]="xc",O381-TableauCB[[#This Row],[Débit]]+TableauCB[[#This Row],[Crédit]],O381-TableauCB[[#This Row],[Débit]])</f>
        <v>#VALUE!</v>
      </c>
      <c r="P382" s="27">
        <f>IF(AND(ISBLANK(TableauCB[[#This Row],[Débit]]),ISBLANK(TableauCB[[#This Row],[Crédit]])),"",P381+TableauCB[[#This Row],[Crédit]]-TableauCB[[#This Row],[Débit]])</f>
        <v>11557.076000000001</v>
      </c>
      <c r="Q382" s="26"/>
      <c r="T382" s="11"/>
      <c r="U382" s="11"/>
      <c r="V382" s="56"/>
      <c r="W382" s="57"/>
      <c r="X382" s="56"/>
      <c r="Y382" s="7"/>
      <c r="Z382" s="7"/>
      <c r="AA382" s="55"/>
      <c r="AB382" s="54"/>
    </row>
    <row r="383" spans="2:28" ht="30" hidden="1" customHeight="1">
      <c r="B383" s="46"/>
      <c r="C383" s="11" t="s">
        <v>33</v>
      </c>
      <c r="D383" s="11" t="s">
        <v>5</v>
      </c>
      <c r="E383" s="11"/>
      <c r="F383" s="34">
        <v>42093</v>
      </c>
      <c r="G383"/>
      <c r="H383"/>
      <c r="I383" s="32"/>
      <c r="J383"/>
      <c r="K383" s="31"/>
      <c r="L383" s="30">
        <v>171.24</v>
      </c>
      <c r="M383" s="29"/>
      <c r="N383" s="28">
        <f>IF(OR(TableauCB[[#This Row],[Etat]]="",TableauCB[[#This Row],[Etat]]="c"),IF(TableauCB[[#This Row],[Solde]]="","",N382),N382-TableauCB[[#This Row],[Débit]]+TableauCB[[#This Row],[Crédit]])</f>
        <v>12531.836000000001</v>
      </c>
      <c r="O383" s="27" t="e">
        <f>IF(TableauCB[[#This Row],[Etat]]="xc",O382-TableauCB[[#This Row],[Débit]]+TableauCB[[#This Row],[Crédit]],O382-TableauCB[[#This Row],[Débit]])</f>
        <v>#VALUE!</v>
      </c>
      <c r="P383" s="27">
        <f>IF(AND(ISBLANK(TableauCB[[#This Row],[Débit]]),ISBLANK(TableauCB[[#This Row],[Crédit]])),"",P382+TableauCB[[#This Row],[Crédit]]-TableauCB[[#This Row],[Débit]])</f>
        <v>11385.836000000001</v>
      </c>
      <c r="Q383" s="26"/>
      <c r="T383" s="37" t="s">
        <v>72</v>
      </c>
      <c r="U383" s="37"/>
      <c r="V383" s="56"/>
      <c r="W383" s="57"/>
      <c r="X383" s="56"/>
      <c r="Y383" s="7"/>
      <c r="Z383" s="7"/>
      <c r="AA383" s="55"/>
      <c r="AB383" s="54"/>
    </row>
    <row r="384" spans="2:28" ht="30" hidden="1" customHeight="1" thickBot="1">
      <c r="B384" s="46"/>
      <c r="C384" s="11" t="s">
        <v>33</v>
      </c>
      <c r="D384" s="11" t="s">
        <v>5</v>
      </c>
      <c r="E384" s="11"/>
      <c r="F384" s="34">
        <v>42093</v>
      </c>
      <c r="G384"/>
      <c r="H384"/>
      <c r="I384" s="32"/>
      <c r="J384"/>
      <c r="K384" s="31"/>
      <c r="L384" s="30">
        <v>538.72</v>
      </c>
      <c r="M384" s="29"/>
      <c r="N384" s="28">
        <f>IF(OR(TableauCB[[#This Row],[Etat]]="",TableauCB[[#This Row],[Etat]]="c"),IF(TableauCB[[#This Row],[Solde]]="","",N383),N383-TableauCB[[#This Row],[Débit]]+TableauCB[[#This Row],[Crédit]])</f>
        <v>11993.116000000002</v>
      </c>
      <c r="O384" s="27" t="e">
        <f>IF(TableauCB[[#This Row],[Etat]]="xc",O383-TableauCB[[#This Row],[Débit]]+TableauCB[[#This Row],[Crédit]],O383-TableauCB[[#This Row],[Débit]])</f>
        <v>#VALUE!</v>
      </c>
      <c r="P384" s="27">
        <f>IF(AND(ISBLANK(TableauCB[[#This Row],[Débit]]),ISBLANK(TableauCB[[#This Row],[Crédit]])),"",P383+TableauCB[[#This Row],[Crédit]]-TableauCB[[#This Row],[Débit]])</f>
        <v>10847.116000000002</v>
      </c>
      <c r="Q384" s="26"/>
      <c r="R384" s="47" t="s">
        <v>54</v>
      </c>
      <c r="S384" s="47" t="s">
        <v>53</v>
      </c>
      <c r="T384" s="48" t="s">
        <v>54</v>
      </c>
      <c r="U384" s="47" t="s">
        <v>53</v>
      </c>
      <c r="V384" s="56"/>
      <c r="W384" s="57"/>
      <c r="X384" s="56"/>
      <c r="Y384" s="7"/>
      <c r="Z384" s="7"/>
      <c r="AA384" s="55"/>
      <c r="AB384" s="54"/>
    </row>
    <row r="385" spans="2:28" ht="30" hidden="1" customHeight="1" thickBot="1">
      <c r="B385" s="53"/>
      <c r="C385" s="11" t="s">
        <v>33</v>
      </c>
      <c r="D385" s="11" t="s">
        <v>9</v>
      </c>
      <c r="E385" s="11"/>
      <c r="F385" s="34">
        <v>42094</v>
      </c>
      <c r="G385"/>
      <c r="H385"/>
      <c r="I385" s="34"/>
      <c r="J385"/>
      <c r="K385" s="31"/>
      <c r="L385" s="30">
        <v>240</v>
      </c>
      <c r="M385" s="29"/>
      <c r="N385" s="28">
        <f>IF(OR(TableauCB[[#This Row],[Etat]]="",TableauCB[[#This Row],[Etat]]="c"),IF(TableauCB[[#This Row],[Solde]]="","",N384),N384-TableauCB[[#This Row],[Débit]]+TableauCB[[#This Row],[Crédit]])</f>
        <v>11753.116000000002</v>
      </c>
      <c r="O385" s="27" t="e">
        <f>IF(TableauCB[[#This Row],[Etat]]="xc",O384-TableauCB[[#This Row],[Débit]]+TableauCB[[#This Row],[Crédit]],O384-TableauCB[[#This Row],[Débit]])</f>
        <v>#VALUE!</v>
      </c>
      <c r="P385" s="27">
        <f>IF(AND(ISBLANK(TableauCB[[#This Row],[Débit]]),ISBLANK(TableauCB[[#This Row],[Crédit]])),"",P384+TableauCB[[#This Row],[Crédit]]-TableauCB[[#This Row],[Débit]])</f>
        <v>10607.116000000002</v>
      </c>
      <c r="Q385" s="26"/>
      <c r="R385" s="25">
        <f>SUM(M368:M385)-SUM(L368:L385)</f>
        <v>707.96</v>
      </c>
      <c r="S385" s="25">
        <f>R385/1.2</f>
        <v>589.9666666666667</v>
      </c>
      <c r="T385" s="45">
        <f>TTCM2015+TTCFEVRIER2015+TTCJANVIER2015</f>
        <v>8006.1359999999986</v>
      </c>
      <c r="U385" s="44">
        <f>HTMARS2015+HTFEVRIER2015+HTJANVIER2015</f>
        <v>7921.7799999999988</v>
      </c>
      <c r="V385" s="56"/>
      <c r="W385" s="57"/>
      <c r="X385" s="56"/>
      <c r="Y385" s="7"/>
      <c r="Z385" s="7"/>
      <c r="AA385" s="55"/>
      <c r="AB385" s="54"/>
    </row>
    <row r="386" spans="2:28" ht="30" hidden="1" customHeight="1">
      <c r="B386" s="52" t="s">
        <v>70</v>
      </c>
      <c r="C386" s="11" t="s">
        <v>33</v>
      </c>
      <c r="D386" s="11" t="s">
        <v>41</v>
      </c>
      <c r="E386" s="11"/>
      <c r="F386" s="34">
        <v>42095</v>
      </c>
      <c r="G386"/>
      <c r="H386"/>
      <c r="I386" s="32"/>
      <c r="J386"/>
      <c r="K386" s="31"/>
      <c r="L386" s="30">
        <v>49.49</v>
      </c>
      <c r="M386" s="29"/>
      <c r="N386" s="28">
        <f>IF(OR(TableauCB[[#This Row],[Etat]]="",TableauCB[[#This Row],[Etat]]="c"),IF(TableauCB[[#This Row],[Solde]]="","",N385),N385-TableauCB[[#This Row],[Débit]]+TableauCB[[#This Row],[Crédit]])</f>
        <v>11703.626000000002</v>
      </c>
      <c r="O386" s="27" t="e">
        <f>IF(TableauCB[[#This Row],[Etat]]="xc",O385-TableauCB[[#This Row],[Débit]]+TableauCB[[#This Row],[Crédit]],O385-TableauCB[[#This Row],[Débit]])</f>
        <v>#VALUE!</v>
      </c>
      <c r="P386" s="27">
        <f>IF(AND(ISBLANK(TableauCB[[#This Row],[Débit]]),ISBLANK(TableauCB[[#This Row],[Crédit]])),"",P385+TableauCB[[#This Row],[Crédit]]-TableauCB[[#This Row],[Débit]])</f>
        <v>10557.626000000002</v>
      </c>
      <c r="Q386" s="26"/>
      <c r="T386" s="11"/>
      <c r="U386" s="11"/>
      <c r="V386" s="56"/>
      <c r="W386" s="57"/>
      <c r="X386" s="56"/>
      <c r="Y386" s="7"/>
      <c r="Z386" s="7"/>
      <c r="AA386" s="55"/>
      <c r="AB386" s="54"/>
    </row>
    <row r="387" spans="2:28" ht="30" hidden="1" customHeight="1">
      <c r="B387" s="46"/>
      <c r="C387" s="11" t="s">
        <v>33</v>
      </c>
      <c r="D387" s="11" t="s">
        <v>21</v>
      </c>
      <c r="E387" s="11"/>
      <c r="F387" s="34">
        <v>42096</v>
      </c>
      <c r="G387"/>
      <c r="H387"/>
      <c r="I387" s="32"/>
      <c r="J387"/>
      <c r="K387" s="31"/>
      <c r="L387" s="30">
        <v>5</v>
      </c>
      <c r="M387" s="29"/>
      <c r="N387" s="28">
        <f>IF(OR(TableauCB[[#This Row],[Etat]]="",TableauCB[[#This Row],[Etat]]="c"),IF(TableauCB[[#This Row],[Solde]]="","",N386),N386-TableauCB[[#This Row],[Débit]]+TableauCB[[#This Row],[Crédit]])</f>
        <v>11698.626000000002</v>
      </c>
      <c r="O387" s="27" t="e">
        <f>IF(TableauCB[[#This Row],[Etat]]="xc",O386-TableauCB[[#This Row],[Débit]]+TableauCB[[#This Row],[Crédit]],O386-TableauCB[[#This Row],[Débit]])</f>
        <v>#VALUE!</v>
      </c>
      <c r="P387" s="27">
        <f>IF(AND(ISBLANK(TableauCB[[#This Row],[Débit]]),ISBLANK(TableauCB[[#This Row],[Crédit]])),"",P386+TableauCB[[#This Row],[Crédit]]-TableauCB[[#This Row],[Débit]])</f>
        <v>10552.626000000002</v>
      </c>
      <c r="Q387" s="26"/>
      <c r="T387" s="11"/>
      <c r="U387" s="11"/>
      <c r="V387" s="56"/>
      <c r="W387" s="57"/>
      <c r="X387" s="56"/>
      <c r="Y387" s="7"/>
      <c r="Z387" s="7"/>
      <c r="AA387" s="55"/>
      <c r="AB387" s="54"/>
    </row>
    <row r="388" spans="2:28" ht="30" hidden="1" customHeight="1">
      <c r="B388" s="46"/>
      <c r="C388" s="11" t="s">
        <v>33</v>
      </c>
      <c r="D388" s="11" t="s">
        <v>17</v>
      </c>
      <c r="E388" s="11"/>
      <c r="F388" s="34">
        <v>42097</v>
      </c>
      <c r="G388"/>
      <c r="H388"/>
      <c r="I388" s="32"/>
      <c r="J388"/>
      <c r="K388" s="31"/>
      <c r="L388" s="30">
        <v>12.64</v>
      </c>
      <c r="M388" s="29"/>
      <c r="N388" s="28">
        <f>IF(OR(TableauCB[[#This Row],[Etat]]="",TableauCB[[#This Row],[Etat]]="c"),IF(TableauCB[[#This Row],[Solde]]="","",N387),N387-TableauCB[[#This Row],[Débit]]+TableauCB[[#This Row],[Crédit]])</f>
        <v>11685.986000000003</v>
      </c>
      <c r="O388" s="27" t="e">
        <f>IF(TableauCB[[#This Row],[Etat]]="xc",O387-TableauCB[[#This Row],[Débit]]+TableauCB[[#This Row],[Crédit]],O387-TableauCB[[#This Row],[Débit]])</f>
        <v>#VALUE!</v>
      </c>
      <c r="P388" s="27">
        <f>IF(AND(ISBLANK(TableauCB[[#This Row],[Débit]]),ISBLANK(TableauCB[[#This Row],[Crédit]])),"",P387+TableauCB[[#This Row],[Crédit]]-TableauCB[[#This Row],[Débit]])</f>
        <v>10539.986000000003</v>
      </c>
      <c r="Q388" s="26"/>
      <c r="T388" s="11"/>
      <c r="U388" s="11"/>
      <c r="V388" s="56"/>
      <c r="W388" s="57"/>
      <c r="X388" s="56"/>
      <c r="Y388" s="7"/>
      <c r="Z388" s="7"/>
      <c r="AA388" s="55"/>
      <c r="AB388" s="54"/>
    </row>
    <row r="389" spans="2:28" ht="30" hidden="1" customHeight="1">
      <c r="B389" s="46"/>
      <c r="C389" s="11" t="s">
        <v>33</v>
      </c>
      <c r="D389" s="11" t="s">
        <v>44</v>
      </c>
      <c r="E389" s="11"/>
      <c r="F389" s="34">
        <v>42101</v>
      </c>
      <c r="G389"/>
      <c r="H389"/>
      <c r="I389" s="32">
        <v>42292</v>
      </c>
      <c r="J389"/>
      <c r="K389" s="31"/>
      <c r="L389" s="30">
        <v>200</v>
      </c>
      <c r="M389" s="29"/>
      <c r="N389" s="28">
        <f>IF(OR(TableauCB[[#This Row],[Etat]]="",TableauCB[[#This Row],[Etat]]="c"),IF(TableauCB[[#This Row],[Solde]]="","",N388),N388-TableauCB[[#This Row],[Débit]]+TableauCB[[#This Row],[Crédit]])</f>
        <v>11485.986000000003</v>
      </c>
      <c r="O389" s="27" t="e">
        <f>IF(TableauCB[[#This Row],[Etat]]="xc",O388-TableauCB[[#This Row],[Débit]]+TableauCB[[#This Row],[Crédit]],O388-TableauCB[[#This Row],[Débit]])</f>
        <v>#VALUE!</v>
      </c>
      <c r="P389" s="27">
        <f>IF(AND(ISBLANK(TableauCB[[#This Row],[Débit]]),ISBLANK(TableauCB[[#This Row],[Crédit]])),"",P388+TableauCB[[#This Row],[Crédit]]-TableauCB[[#This Row],[Débit]])</f>
        <v>10339.986000000003</v>
      </c>
      <c r="Q389" s="26"/>
      <c r="T389" s="11"/>
      <c r="U389" s="11"/>
      <c r="V389" s="56"/>
      <c r="W389" s="57"/>
      <c r="X389" s="56"/>
      <c r="Y389" s="7"/>
      <c r="Z389" s="7"/>
      <c r="AA389" s="55"/>
      <c r="AB389" s="54"/>
    </row>
    <row r="390" spans="2:28" ht="30" hidden="1" customHeight="1">
      <c r="B390" s="46"/>
      <c r="C390" s="11" t="s">
        <v>33</v>
      </c>
      <c r="D390" s="11" t="s">
        <v>41</v>
      </c>
      <c r="E390" s="11"/>
      <c r="F390" s="34">
        <v>42102</v>
      </c>
      <c r="G390"/>
      <c r="H390"/>
      <c r="I390" s="32"/>
      <c r="J390"/>
      <c r="K390" s="31"/>
      <c r="L390" s="30">
        <v>1.89</v>
      </c>
      <c r="M390" s="29"/>
      <c r="N390" s="28">
        <f>IF(OR(TableauCB[[#This Row],[Etat]]="",TableauCB[[#This Row],[Etat]]="c"),IF(TableauCB[[#This Row],[Solde]]="","",N389),N389-TableauCB[[#This Row],[Débit]]+TableauCB[[#This Row],[Crédit]])</f>
        <v>11484.096000000003</v>
      </c>
      <c r="O390" s="27" t="e">
        <f>IF(TableauCB[[#This Row],[Etat]]="xc",O389-TableauCB[[#This Row],[Débit]]+TableauCB[[#This Row],[Crédit]],O389-TableauCB[[#This Row],[Débit]])</f>
        <v>#VALUE!</v>
      </c>
      <c r="P390" s="27">
        <f>IF(AND(ISBLANK(TableauCB[[#This Row],[Débit]]),ISBLANK(TableauCB[[#This Row],[Crédit]])),"",P389+TableauCB[[#This Row],[Crédit]]-TableauCB[[#This Row],[Débit]])</f>
        <v>10338.096000000003</v>
      </c>
      <c r="Q390" s="26"/>
      <c r="T390" s="11"/>
      <c r="U390" s="11"/>
      <c r="V390" s="56"/>
      <c r="W390" s="57"/>
      <c r="X390" s="56"/>
      <c r="Y390" s="7"/>
      <c r="Z390" s="7"/>
      <c r="AA390" s="55"/>
      <c r="AB390" s="54"/>
    </row>
    <row r="391" spans="2:28" ht="30" hidden="1" customHeight="1">
      <c r="B391" s="46"/>
      <c r="C391" s="11" t="s">
        <v>33</v>
      </c>
      <c r="D391" s="11" t="s">
        <v>21</v>
      </c>
      <c r="E391" s="11"/>
      <c r="F391" s="34">
        <v>42103</v>
      </c>
      <c r="G391"/>
      <c r="H391"/>
      <c r="I391" s="32"/>
      <c r="J391"/>
      <c r="K391" s="31"/>
      <c r="L391" s="30">
        <v>21.9</v>
      </c>
      <c r="M391" s="29"/>
      <c r="N391" s="28">
        <f>IF(OR(TableauCB[[#This Row],[Etat]]="",TableauCB[[#This Row],[Etat]]="c"),IF(TableauCB[[#This Row],[Solde]]="","",N390),N390-TableauCB[[#This Row],[Débit]]+TableauCB[[#This Row],[Crédit]])</f>
        <v>11462.196000000004</v>
      </c>
      <c r="O391" s="27" t="e">
        <f>IF(TableauCB[[#This Row],[Etat]]="xc",O390-TableauCB[[#This Row],[Débit]]+TableauCB[[#This Row],[Crédit]],O390-TableauCB[[#This Row],[Débit]])</f>
        <v>#VALUE!</v>
      </c>
      <c r="P391" s="27">
        <f>IF(AND(ISBLANK(TableauCB[[#This Row],[Débit]]),ISBLANK(TableauCB[[#This Row],[Crédit]])),"",P390+TableauCB[[#This Row],[Crédit]]-TableauCB[[#This Row],[Débit]])</f>
        <v>10316.196000000004</v>
      </c>
      <c r="Q391" s="26"/>
      <c r="T391" s="11"/>
      <c r="U391" s="11"/>
      <c r="V391" s="56"/>
      <c r="W391" s="57"/>
      <c r="X391" s="56"/>
      <c r="Y391" s="7"/>
      <c r="Z391" s="7"/>
      <c r="AA391" s="55"/>
      <c r="AB391" s="54"/>
    </row>
    <row r="392" spans="2:28" ht="30" hidden="1" customHeight="1">
      <c r="B392" s="46"/>
      <c r="C392" s="11" t="s">
        <v>33</v>
      </c>
      <c r="D392" s="11" t="s">
        <v>41</v>
      </c>
      <c r="E392" s="11"/>
      <c r="F392" s="34">
        <v>42105</v>
      </c>
      <c r="G392"/>
      <c r="H392"/>
      <c r="I392" s="32"/>
      <c r="J392"/>
      <c r="K392" s="31"/>
      <c r="L392" s="30"/>
      <c r="M392" s="29">
        <v>1.89</v>
      </c>
      <c r="N392" s="28">
        <f>IF(OR(TableauCB[[#This Row],[Etat]]="",TableauCB[[#This Row],[Etat]]="c"),IF(TableauCB[[#This Row],[Solde]]="","",N391),N391-TableauCB[[#This Row],[Débit]]+TableauCB[[#This Row],[Crédit]])</f>
        <v>11464.086000000003</v>
      </c>
      <c r="O392" s="27" t="e">
        <f>IF(TableauCB[[#This Row],[Etat]]="xc",O391-TableauCB[[#This Row],[Débit]]+TableauCB[[#This Row],[Crédit]],O391-TableauCB[[#This Row],[Débit]])</f>
        <v>#VALUE!</v>
      </c>
      <c r="P392" s="27">
        <f>IF(AND(ISBLANK(TableauCB[[#This Row],[Débit]]),ISBLANK(TableauCB[[#This Row],[Crédit]])),"",P391+TableauCB[[#This Row],[Crédit]]-TableauCB[[#This Row],[Débit]])</f>
        <v>10318.086000000003</v>
      </c>
      <c r="Q392" s="26"/>
      <c r="S392" s="41"/>
      <c r="T392" s="11"/>
      <c r="U392" s="11"/>
      <c r="V392" s="56"/>
      <c r="W392" s="57"/>
      <c r="X392" s="56"/>
      <c r="Y392" s="7"/>
      <c r="Z392" s="7"/>
      <c r="AA392" s="55"/>
      <c r="AB392" s="54"/>
    </row>
    <row r="393" spans="2:28" ht="30" hidden="1" customHeight="1">
      <c r="B393" s="46"/>
      <c r="C393" s="11" t="s">
        <v>33</v>
      </c>
      <c r="D393" s="11" t="s">
        <v>5</v>
      </c>
      <c r="E393" s="11"/>
      <c r="F393" s="34">
        <v>42107</v>
      </c>
      <c r="G393"/>
      <c r="H393"/>
      <c r="I393" s="32"/>
      <c r="J393"/>
      <c r="K393" s="31"/>
      <c r="L393" s="30">
        <v>923.67</v>
      </c>
      <c r="M393" s="29"/>
      <c r="N393" s="28">
        <f>IF(OR(TableauCB[[#This Row],[Etat]]="",TableauCB[[#This Row],[Etat]]="c"),IF(TableauCB[[#This Row],[Solde]]="","",N392),N392-TableauCB[[#This Row],[Débit]]+TableauCB[[#This Row],[Crédit]])</f>
        <v>10540.416000000003</v>
      </c>
      <c r="O393" s="27" t="e">
        <f>IF(TableauCB[[#This Row],[Etat]]="xc",O392-TableauCB[[#This Row],[Débit]]+TableauCB[[#This Row],[Crédit]],O392-TableauCB[[#This Row],[Débit]])</f>
        <v>#VALUE!</v>
      </c>
      <c r="P393" s="27">
        <f>IF(AND(ISBLANK(TableauCB[[#This Row],[Débit]]),ISBLANK(TableauCB[[#This Row],[Crédit]])),"",P392+TableauCB[[#This Row],[Crédit]]-TableauCB[[#This Row],[Débit]])</f>
        <v>9394.4160000000029</v>
      </c>
      <c r="Q393" s="26"/>
      <c r="S393" s="41"/>
      <c r="T393" s="11"/>
      <c r="U393" s="11"/>
      <c r="V393" s="56"/>
      <c r="W393" s="57"/>
      <c r="X393" s="56"/>
      <c r="Y393" s="7"/>
      <c r="Z393" s="7"/>
      <c r="AA393" s="55"/>
      <c r="AB393" s="54"/>
    </row>
    <row r="394" spans="2:28" ht="30" hidden="1" customHeight="1">
      <c r="B394" s="46"/>
      <c r="C394" s="11" t="s">
        <v>33</v>
      </c>
      <c r="D394" s="11" t="s">
        <v>37</v>
      </c>
      <c r="E394" s="11"/>
      <c r="F394" s="34">
        <v>42108</v>
      </c>
      <c r="G394"/>
      <c r="H394"/>
      <c r="I394" s="32"/>
      <c r="J394"/>
      <c r="K394" s="31"/>
      <c r="L394" s="30">
        <v>53.7</v>
      </c>
      <c r="M394" s="29"/>
      <c r="N394" s="28">
        <f>IF(OR(TableauCB[[#This Row],[Etat]]="",TableauCB[[#This Row],[Etat]]="c"),IF(TableauCB[[#This Row],[Solde]]="","",N393),N393-TableauCB[[#This Row],[Débit]]+TableauCB[[#This Row],[Crédit]])</f>
        <v>10486.716000000002</v>
      </c>
      <c r="O394" s="27" t="e">
        <f>IF(TableauCB[[#This Row],[Etat]]="xc",O393-TableauCB[[#This Row],[Débit]]+TableauCB[[#This Row],[Crédit]],O393-TableauCB[[#This Row],[Débit]])</f>
        <v>#VALUE!</v>
      </c>
      <c r="P394" s="27">
        <f>IF(AND(ISBLANK(TableauCB[[#This Row],[Débit]]),ISBLANK(TableauCB[[#This Row],[Crédit]])),"",P393+TableauCB[[#This Row],[Crédit]]-TableauCB[[#This Row],[Débit]])</f>
        <v>9340.7160000000022</v>
      </c>
      <c r="Q394" s="26"/>
      <c r="S394" s="41"/>
      <c r="T394" s="11"/>
      <c r="U394" s="11"/>
      <c r="V394" s="56"/>
      <c r="W394" s="57"/>
      <c r="X394" s="56"/>
      <c r="Y394" s="7"/>
      <c r="Z394" s="7"/>
      <c r="AA394" s="55"/>
      <c r="AB394" s="54"/>
    </row>
    <row r="395" spans="2:28" ht="30" hidden="1" customHeight="1">
      <c r="B395" s="46"/>
      <c r="C395" s="11" t="s">
        <v>33</v>
      </c>
      <c r="D395" s="11" t="s">
        <v>15</v>
      </c>
      <c r="E395" s="11"/>
      <c r="F395" s="34">
        <v>42109</v>
      </c>
      <c r="G395"/>
      <c r="H395"/>
      <c r="I395" s="32"/>
      <c r="J395"/>
      <c r="K395" s="31"/>
      <c r="L395" s="30">
        <v>44</v>
      </c>
      <c r="M395" s="29"/>
      <c r="N395" s="28">
        <f>IF(OR(TableauCB[[#This Row],[Etat]]="",TableauCB[[#This Row],[Etat]]="c"),IF(TableauCB[[#This Row],[Solde]]="","",N394),N394-TableauCB[[#This Row],[Débit]]+TableauCB[[#This Row],[Crédit]])</f>
        <v>10442.716000000002</v>
      </c>
      <c r="O395" s="27" t="e">
        <f>IF(TableauCB[[#This Row],[Etat]]="xc",O394-TableauCB[[#This Row],[Débit]]+TableauCB[[#This Row],[Crédit]],O394-TableauCB[[#This Row],[Débit]])</f>
        <v>#VALUE!</v>
      </c>
      <c r="P395" s="27">
        <f>IF(AND(ISBLANK(TableauCB[[#This Row],[Débit]]),ISBLANK(TableauCB[[#This Row],[Crédit]])),"",P394+TableauCB[[#This Row],[Crédit]]-TableauCB[[#This Row],[Débit]])</f>
        <v>9296.7160000000022</v>
      </c>
      <c r="Q395" s="26"/>
      <c r="T395" s="11"/>
      <c r="U395" s="11"/>
      <c r="V395" s="56"/>
      <c r="W395" s="57"/>
      <c r="X395" s="56"/>
      <c r="Y395" s="7"/>
      <c r="Z395" s="7"/>
      <c r="AA395" s="55"/>
      <c r="AB395" s="54"/>
    </row>
    <row r="396" spans="2:28" ht="30" hidden="1" customHeight="1">
      <c r="B396" s="46"/>
      <c r="C396" s="11" t="s">
        <v>33</v>
      </c>
      <c r="D396" s="11" t="s">
        <v>15</v>
      </c>
      <c r="E396" s="11"/>
      <c r="F396" s="34">
        <v>42109</v>
      </c>
      <c r="G396"/>
      <c r="H396"/>
      <c r="I396" s="32"/>
      <c r="J396"/>
      <c r="K396" s="31"/>
      <c r="L396" s="30">
        <v>956</v>
      </c>
      <c r="M396" s="29"/>
      <c r="N396" s="28">
        <f>IF(OR(TableauCB[[#This Row],[Etat]]="",TableauCB[[#This Row],[Etat]]="c"),IF(TableauCB[[#This Row],[Solde]]="","",N395),N395-TableauCB[[#This Row],[Débit]]+TableauCB[[#This Row],[Crédit]])</f>
        <v>9486.7160000000022</v>
      </c>
      <c r="O396" s="27" t="e">
        <f>IF(TableauCB[[#This Row],[Etat]]="xc",O395-TableauCB[[#This Row],[Débit]]+TableauCB[[#This Row],[Crédit]],O395-TableauCB[[#This Row],[Débit]])</f>
        <v>#VALUE!</v>
      </c>
      <c r="P396" s="27">
        <f>IF(AND(ISBLANK(TableauCB[[#This Row],[Débit]]),ISBLANK(TableauCB[[#This Row],[Crédit]])),"",P395+TableauCB[[#This Row],[Crédit]]-TableauCB[[#This Row],[Débit]])</f>
        <v>8340.7160000000022</v>
      </c>
      <c r="Q396" s="26"/>
      <c r="T396" s="11"/>
      <c r="U396" s="11"/>
      <c r="V396" s="56"/>
      <c r="W396" s="57"/>
      <c r="X396" s="56"/>
      <c r="Y396" s="7"/>
      <c r="Z396" s="7"/>
      <c r="AA396" s="55"/>
      <c r="AB396" s="54"/>
    </row>
    <row r="397" spans="2:28" ht="30" hidden="1" customHeight="1">
      <c r="B397" s="46"/>
      <c r="C397" s="11" t="s">
        <v>33</v>
      </c>
      <c r="D397" s="11" t="s">
        <v>15</v>
      </c>
      <c r="E397" s="11"/>
      <c r="F397" s="34">
        <v>42109</v>
      </c>
      <c r="G397"/>
      <c r="H397"/>
      <c r="I397" s="32"/>
      <c r="J397"/>
      <c r="K397" s="31"/>
      <c r="L397" s="30">
        <v>505.88</v>
      </c>
      <c r="M397" s="29"/>
      <c r="N397" s="28">
        <f>IF(OR(TableauCB[[#This Row],[Etat]]="",TableauCB[[#This Row],[Etat]]="c"),IF(TableauCB[[#This Row],[Solde]]="","",N396),N396-TableauCB[[#This Row],[Débit]]+TableauCB[[#This Row],[Crédit]])</f>
        <v>8980.836000000003</v>
      </c>
      <c r="O397" s="27" t="e">
        <f>IF(TableauCB[[#This Row],[Etat]]="xc",O396-TableauCB[[#This Row],[Débit]]+TableauCB[[#This Row],[Crédit]],O396-TableauCB[[#This Row],[Débit]])</f>
        <v>#VALUE!</v>
      </c>
      <c r="P397" s="27">
        <f>IF(AND(ISBLANK(TableauCB[[#This Row],[Débit]]),ISBLANK(TableauCB[[#This Row],[Crédit]])),"",P396+TableauCB[[#This Row],[Crédit]]-TableauCB[[#This Row],[Débit]])</f>
        <v>7834.8360000000021</v>
      </c>
      <c r="Q397" s="26"/>
      <c r="T397" s="11"/>
      <c r="U397" s="11"/>
      <c r="V397" s="56"/>
      <c r="W397" s="57"/>
      <c r="X397" s="56"/>
      <c r="Y397" s="7"/>
      <c r="Z397" s="7"/>
      <c r="AA397" s="55"/>
      <c r="AB397" s="54"/>
    </row>
    <row r="398" spans="2:28" ht="30" hidden="1" customHeight="1">
      <c r="B398" s="46"/>
      <c r="C398" s="11" t="s">
        <v>33</v>
      </c>
      <c r="D398" s="11" t="s">
        <v>15</v>
      </c>
      <c r="E398" s="11"/>
      <c r="F398" s="34">
        <v>42109</v>
      </c>
      <c r="G398"/>
      <c r="H398"/>
      <c r="I398" s="32"/>
      <c r="J398"/>
      <c r="K398" s="31"/>
      <c r="L398" s="30">
        <v>38</v>
      </c>
      <c r="M398" s="29"/>
      <c r="N398" s="28">
        <f>IF(OR(TableauCB[[#This Row],[Etat]]="",TableauCB[[#This Row],[Etat]]="c"),IF(TableauCB[[#This Row],[Solde]]="","",N397),N397-TableauCB[[#This Row],[Débit]]+TableauCB[[#This Row],[Crédit]])</f>
        <v>8942.836000000003</v>
      </c>
      <c r="O398" s="27" t="e">
        <f>IF(TableauCB[[#This Row],[Etat]]="xc",O397-TableauCB[[#This Row],[Débit]]+TableauCB[[#This Row],[Crédit]],O397-TableauCB[[#This Row],[Débit]])</f>
        <v>#VALUE!</v>
      </c>
      <c r="P398" s="27">
        <f>IF(AND(ISBLANK(TableauCB[[#This Row],[Débit]]),ISBLANK(TableauCB[[#This Row],[Crédit]])),"",P397+TableauCB[[#This Row],[Crédit]]-TableauCB[[#This Row],[Débit]])</f>
        <v>7796.8360000000021</v>
      </c>
      <c r="Q398" s="26"/>
      <c r="T398" s="11"/>
      <c r="U398" s="11"/>
      <c r="V398" s="56"/>
      <c r="W398" s="57"/>
      <c r="X398" s="56"/>
      <c r="Y398" s="7"/>
      <c r="Z398" s="7"/>
      <c r="AA398" s="55"/>
      <c r="AB398" s="54"/>
    </row>
    <row r="399" spans="2:28" ht="30" hidden="1" customHeight="1">
      <c r="B399" s="46"/>
      <c r="C399" s="11" t="s">
        <v>33</v>
      </c>
      <c r="D399" s="11" t="s">
        <v>17</v>
      </c>
      <c r="E399" s="11"/>
      <c r="F399" s="34">
        <v>42115</v>
      </c>
      <c r="G399"/>
      <c r="H399"/>
      <c r="I399" s="32"/>
      <c r="J399"/>
      <c r="K399" s="31"/>
      <c r="L399" s="30">
        <v>41.4</v>
      </c>
      <c r="M399" s="29"/>
      <c r="N399" s="28">
        <f>IF(OR(TableauCB[[#This Row],[Etat]]="",TableauCB[[#This Row],[Etat]]="c"),IF(TableauCB[[#This Row],[Solde]]="","",N398),N398-TableauCB[[#This Row],[Débit]]+TableauCB[[#This Row],[Crédit]])</f>
        <v>8901.4360000000033</v>
      </c>
      <c r="O399" s="27" t="e">
        <f>IF(TableauCB[[#This Row],[Etat]]="xc",O398-TableauCB[[#This Row],[Débit]]+TableauCB[[#This Row],[Crédit]],O398-TableauCB[[#This Row],[Débit]])</f>
        <v>#VALUE!</v>
      </c>
      <c r="P399" s="27">
        <f>IF(AND(ISBLANK(TableauCB[[#This Row],[Débit]]),ISBLANK(TableauCB[[#This Row],[Crédit]])),"",P398+TableauCB[[#This Row],[Crédit]]-TableauCB[[#This Row],[Débit]])</f>
        <v>7755.4360000000024</v>
      </c>
      <c r="Q399" s="26"/>
      <c r="T399" s="11"/>
      <c r="U399" s="11"/>
      <c r="V399" s="56"/>
      <c r="W399" s="57"/>
      <c r="X399" s="56"/>
      <c r="Y399" s="7"/>
      <c r="Z399" s="7"/>
      <c r="AA399" s="55"/>
      <c r="AB399" s="54"/>
    </row>
    <row r="400" spans="2:28" ht="30" hidden="1" customHeight="1">
      <c r="B400" s="46"/>
      <c r="C400" s="11" t="s">
        <v>33</v>
      </c>
      <c r="D400" s="11" t="s">
        <v>11</v>
      </c>
      <c r="E400" s="11"/>
      <c r="F400" s="34">
        <v>42124</v>
      </c>
      <c r="G400"/>
      <c r="H400"/>
      <c r="I400" s="32">
        <v>42157</v>
      </c>
      <c r="J400"/>
      <c r="K400" s="31"/>
      <c r="L400" s="30"/>
      <c r="M400" s="29">
        <v>108</v>
      </c>
      <c r="N400" s="28">
        <f>IF(OR(TableauCB[[#This Row],[Etat]]="",TableauCB[[#This Row],[Etat]]="c"),IF(TableauCB[[#This Row],[Solde]]="","",N399),N399-TableauCB[[#This Row],[Débit]]+TableauCB[[#This Row],[Crédit]])</f>
        <v>9009.4360000000033</v>
      </c>
      <c r="O400" s="27" t="e">
        <f>IF(TableauCB[[#This Row],[Etat]]="xc",O399-TableauCB[[#This Row],[Débit]]+TableauCB[[#This Row],[Crédit]],O399-TableauCB[[#This Row],[Débit]])</f>
        <v>#VALUE!</v>
      </c>
      <c r="P400" s="27">
        <f>IF(AND(ISBLANK(TableauCB[[#This Row],[Débit]]),ISBLANK(TableauCB[[#This Row],[Crédit]])),"",P399+TableauCB[[#This Row],[Crédit]]-TableauCB[[#This Row],[Débit]])</f>
        <v>7863.4360000000024</v>
      </c>
      <c r="Q400" s="26"/>
      <c r="T400" s="11"/>
      <c r="U400" s="11"/>
      <c r="V400" s="56"/>
      <c r="W400" s="57"/>
      <c r="X400" s="56"/>
      <c r="Y400" s="7"/>
      <c r="Z400" s="7"/>
      <c r="AA400" s="55"/>
      <c r="AB400" s="54"/>
    </row>
    <row r="401" spans="2:28" ht="30" hidden="1" customHeight="1">
      <c r="B401" s="46"/>
      <c r="C401" s="11" t="s">
        <v>33</v>
      </c>
      <c r="D401" s="11" t="s">
        <v>11</v>
      </c>
      <c r="E401" s="11"/>
      <c r="F401" s="34">
        <v>42124</v>
      </c>
      <c r="G401"/>
      <c r="H401"/>
      <c r="I401" s="32">
        <v>42163</v>
      </c>
      <c r="J401"/>
      <c r="K401" s="31"/>
      <c r="L401" s="30"/>
      <c r="M401" s="29">
        <v>152.46</v>
      </c>
      <c r="N401" s="28">
        <f>IF(OR(TableauCB[[#This Row],[Etat]]="",TableauCB[[#This Row],[Etat]]="c"),IF(TableauCB[[#This Row],[Solde]]="","",N400),N400-TableauCB[[#This Row],[Débit]]+TableauCB[[#This Row],[Crédit]])</f>
        <v>9161.8960000000025</v>
      </c>
      <c r="O401" s="27" t="e">
        <f>IF(TableauCB[[#This Row],[Etat]]="xc",O400-TableauCB[[#This Row],[Débit]]+TableauCB[[#This Row],[Crédit]],O400-TableauCB[[#This Row],[Débit]])</f>
        <v>#VALUE!</v>
      </c>
      <c r="P401" s="27">
        <f>IF(AND(ISBLANK(TableauCB[[#This Row],[Débit]]),ISBLANK(TableauCB[[#This Row],[Crédit]])),"",P400+TableauCB[[#This Row],[Crédit]]-TableauCB[[#This Row],[Débit]])</f>
        <v>8015.8960000000025</v>
      </c>
      <c r="Q401" s="26"/>
      <c r="T401" s="11"/>
      <c r="U401" s="11"/>
      <c r="V401" s="56"/>
      <c r="W401" s="57"/>
      <c r="X401" s="56"/>
      <c r="Y401" s="7"/>
      <c r="Z401" s="7"/>
      <c r="AA401" s="55"/>
      <c r="AB401" s="54"/>
    </row>
    <row r="402" spans="2:28" ht="30" hidden="1" customHeight="1">
      <c r="B402" s="46"/>
      <c r="C402" s="11" t="s">
        <v>33</v>
      </c>
      <c r="D402" s="11" t="s">
        <v>11</v>
      </c>
      <c r="E402" s="11"/>
      <c r="F402" s="34">
        <v>42124</v>
      </c>
      <c r="G402"/>
      <c r="H402"/>
      <c r="I402" s="32">
        <v>42147</v>
      </c>
      <c r="J402"/>
      <c r="K402" s="31"/>
      <c r="L402" s="30"/>
      <c r="M402" s="29">
        <v>25.2</v>
      </c>
      <c r="N402" s="28">
        <f>IF(OR(TableauCB[[#This Row],[Etat]]="",TableauCB[[#This Row],[Etat]]="c"),IF(TableauCB[[#This Row],[Solde]]="","",N401),N401-TableauCB[[#This Row],[Débit]]+TableauCB[[#This Row],[Crédit]])</f>
        <v>9187.0960000000032</v>
      </c>
      <c r="O402" s="27" t="e">
        <f>IF(TableauCB[[#This Row],[Etat]]="xc",O401-TableauCB[[#This Row],[Débit]]+TableauCB[[#This Row],[Crédit]],O401-TableauCB[[#This Row],[Débit]])</f>
        <v>#VALUE!</v>
      </c>
      <c r="P402" s="27">
        <f>IF(AND(ISBLANK(TableauCB[[#This Row],[Débit]]),ISBLANK(TableauCB[[#This Row],[Crédit]])),"",P401+TableauCB[[#This Row],[Crédit]]-TableauCB[[#This Row],[Débit]])</f>
        <v>8041.0960000000023</v>
      </c>
      <c r="Q402" s="26"/>
      <c r="T402" s="11"/>
      <c r="U402" s="11"/>
      <c r="V402" s="56"/>
      <c r="W402" s="57"/>
      <c r="X402" s="56"/>
      <c r="Y402" s="7"/>
      <c r="Z402" s="7"/>
      <c r="AA402" s="55"/>
      <c r="AB402" s="54"/>
    </row>
    <row r="403" spans="2:28" ht="30" hidden="1" customHeight="1">
      <c r="B403" s="46"/>
      <c r="C403" s="11" t="s">
        <v>33</v>
      </c>
      <c r="D403" s="11" t="s">
        <v>11</v>
      </c>
      <c r="E403" s="11"/>
      <c r="F403" s="34">
        <v>42124</v>
      </c>
      <c r="G403"/>
      <c r="H403"/>
      <c r="I403" s="32">
        <v>42198</v>
      </c>
      <c r="J403"/>
      <c r="K403" s="31"/>
      <c r="L403" s="30"/>
      <c r="M403" s="29">
        <v>151.80000000000001</v>
      </c>
      <c r="N403" s="28">
        <f>IF(OR(TableauCB[[#This Row],[Etat]]="",TableauCB[[#This Row],[Etat]]="c"),IF(TableauCB[[#This Row],[Solde]]="","",N402),N402-TableauCB[[#This Row],[Débit]]+TableauCB[[#This Row],[Crédit]])</f>
        <v>9338.8960000000025</v>
      </c>
      <c r="O403" s="27" t="e">
        <f>IF(TableauCB[[#This Row],[Etat]]="xc",O402-TableauCB[[#This Row],[Débit]]+TableauCB[[#This Row],[Crédit]],O402-TableauCB[[#This Row],[Débit]])</f>
        <v>#VALUE!</v>
      </c>
      <c r="P403" s="27">
        <f>IF(AND(ISBLANK(TableauCB[[#This Row],[Débit]]),ISBLANK(TableauCB[[#This Row],[Crédit]])),"",P402+TableauCB[[#This Row],[Crédit]]-TableauCB[[#This Row],[Débit]])</f>
        <v>8192.8960000000025</v>
      </c>
      <c r="Q403" s="26"/>
      <c r="R403" s="25"/>
      <c r="S403" s="25"/>
      <c r="T403" s="11"/>
      <c r="U403" s="11"/>
      <c r="V403" s="56"/>
      <c r="W403" s="57"/>
      <c r="X403" s="56"/>
      <c r="Y403" s="7"/>
      <c r="Z403" s="7"/>
      <c r="AA403" s="55"/>
      <c r="AB403" s="54"/>
    </row>
    <row r="404" spans="2:28" ht="30" hidden="1" customHeight="1">
      <c r="B404" s="46"/>
      <c r="C404" s="11" t="s">
        <v>33</v>
      </c>
      <c r="D404" s="11" t="s">
        <v>32</v>
      </c>
      <c r="E404" s="11"/>
      <c r="F404" s="34">
        <v>42124</v>
      </c>
      <c r="G404"/>
      <c r="H404"/>
      <c r="I404" s="32">
        <v>42151</v>
      </c>
      <c r="J404"/>
      <c r="K404" s="31"/>
      <c r="L404" s="30"/>
      <c r="M404" s="29">
        <v>444</v>
      </c>
      <c r="N404" s="28">
        <f>IF(OR(TableauCB[[#This Row],[Etat]]="",TableauCB[[#This Row],[Etat]]="c"),IF(TableauCB[[#This Row],[Solde]]="","",N403),N403-TableauCB[[#This Row],[Débit]]+TableauCB[[#This Row],[Crédit]])</f>
        <v>9782.8960000000025</v>
      </c>
      <c r="O404" s="27" t="e">
        <f>IF(TableauCB[[#This Row],[Etat]]="xc",O403-TableauCB[[#This Row],[Débit]]+TableauCB[[#This Row],[Crédit]],O403-TableauCB[[#This Row],[Débit]])</f>
        <v>#VALUE!</v>
      </c>
      <c r="P404" s="27">
        <f>IF(AND(ISBLANK(TableauCB[[#This Row],[Débit]]),ISBLANK(TableauCB[[#This Row],[Crédit]])),"",P403+TableauCB[[#This Row],[Crédit]]-TableauCB[[#This Row],[Débit]])</f>
        <v>8636.8960000000025</v>
      </c>
      <c r="Q404" s="26"/>
      <c r="R404" s="25"/>
      <c r="S404" s="25"/>
      <c r="T404" s="11"/>
      <c r="U404" s="11"/>
      <c r="V404" s="56"/>
      <c r="W404" s="57"/>
      <c r="X404" s="56"/>
      <c r="Y404" s="7"/>
      <c r="Z404" s="7"/>
      <c r="AA404" s="55"/>
      <c r="AB404" s="54"/>
    </row>
    <row r="405" spans="2:28" ht="30" hidden="1" customHeight="1">
      <c r="B405" s="46"/>
      <c r="C405" s="11" t="s">
        <v>33</v>
      </c>
      <c r="D405" s="11" t="s">
        <v>11</v>
      </c>
      <c r="E405" s="11"/>
      <c r="F405" s="34">
        <v>42124</v>
      </c>
      <c r="G405"/>
      <c r="H405"/>
      <c r="I405" s="32">
        <v>42173</v>
      </c>
      <c r="J405"/>
      <c r="K405" s="31"/>
      <c r="L405" s="30"/>
      <c r="M405" s="29">
        <v>522</v>
      </c>
      <c r="N405" s="28">
        <f>IF(OR(TableauCB[[#This Row],[Etat]]="",TableauCB[[#This Row],[Etat]]="c"),IF(TableauCB[[#This Row],[Solde]]="","",N404),N404-TableauCB[[#This Row],[Débit]]+TableauCB[[#This Row],[Crédit]])</f>
        <v>10304.896000000002</v>
      </c>
      <c r="O405" s="27" t="e">
        <f>IF(TableauCB[[#This Row],[Etat]]="xc",O404-TableauCB[[#This Row],[Débit]]+TableauCB[[#This Row],[Crédit]],O404-TableauCB[[#This Row],[Débit]])</f>
        <v>#VALUE!</v>
      </c>
      <c r="P405" s="27">
        <f>IF(AND(ISBLANK(TableauCB[[#This Row],[Débit]]),ISBLANK(TableauCB[[#This Row],[Crédit]])),"",P404+TableauCB[[#This Row],[Crédit]]-TableauCB[[#This Row],[Débit]])</f>
        <v>9158.8960000000025</v>
      </c>
      <c r="Q405" s="26"/>
      <c r="R405" s="25"/>
      <c r="S405" s="25"/>
      <c r="T405" s="11"/>
      <c r="U405" s="11"/>
      <c r="V405" s="56"/>
      <c r="W405" s="57"/>
      <c r="X405" s="56"/>
      <c r="Y405" s="7"/>
      <c r="Z405" s="7"/>
      <c r="AA405" s="55"/>
      <c r="AB405" s="54"/>
    </row>
    <row r="406" spans="2:28" ht="30" hidden="1" customHeight="1">
      <c r="B406" s="46"/>
      <c r="C406" s="11" t="s">
        <v>33</v>
      </c>
      <c r="D406" s="11" t="s">
        <v>11</v>
      </c>
      <c r="E406" s="11"/>
      <c r="F406" s="34">
        <v>42124</v>
      </c>
      <c r="G406"/>
      <c r="H406"/>
      <c r="I406" s="32">
        <v>42159</v>
      </c>
      <c r="J406"/>
      <c r="K406" s="31"/>
      <c r="L406" s="30"/>
      <c r="M406" s="29">
        <v>288</v>
      </c>
      <c r="N406" s="28">
        <f>IF(OR(TableauCB[[#This Row],[Etat]]="",TableauCB[[#This Row],[Etat]]="c"),IF(TableauCB[[#This Row],[Solde]]="","",N405),N405-TableauCB[[#This Row],[Débit]]+TableauCB[[#This Row],[Crédit]])</f>
        <v>10592.896000000002</v>
      </c>
      <c r="O406" s="27" t="e">
        <f>IF(TableauCB[[#This Row],[Etat]]="xc",O405-TableauCB[[#This Row],[Débit]]+TableauCB[[#This Row],[Crédit]],O405-TableauCB[[#This Row],[Débit]])</f>
        <v>#VALUE!</v>
      </c>
      <c r="P406" s="27">
        <f>IF(AND(ISBLANK(TableauCB[[#This Row],[Débit]]),ISBLANK(TableauCB[[#This Row],[Crédit]])),"",P405+TableauCB[[#This Row],[Crédit]]-TableauCB[[#This Row],[Débit]])</f>
        <v>9446.8960000000025</v>
      </c>
      <c r="Q406" s="26"/>
      <c r="R406" s="25"/>
      <c r="S406" s="25"/>
      <c r="T406" s="11"/>
      <c r="U406" s="11"/>
      <c r="V406" s="56"/>
      <c r="W406" s="57"/>
      <c r="X406" s="56"/>
      <c r="Y406" s="7"/>
      <c r="Z406" s="7"/>
      <c r="AA406" s="55"/>
      <c r="AB406" s="54"/>
    </row>
    <row r="407" spans="2:28" ht="30" hidden="1" customHeight="1">
      <c r="B407" s="46"/>
      <c r="C407" s="11" t="s">
        <v>33</v>
      </c>
      <c r="D407" s="11" t="s">
        <v>11</v>
      </c>
      <c r="E407" s="11"/>
      <c r="F407" s="34">
        <v>42124</v>
      </c>
      <c r="G407"/>
      <c r="H407"/>
      <c r="I407" s="32"/>
      <c r="J407"/>
      <c r="K407" s="31"/>
      <c r="L407" s="30"/>
      <c r="M407" s="29">
        <v>624</v>
      </c>
      <c r="N407" s="28">
        <f>IF(OR(TableauCB[[#This Row],[Etat]]="",TableauCB[[#This Row],[Etat]]="c"),IF(TableauCB[[#This Row],[Solde]]="","",N406),N406-TableauCB[[#This Row],[Débit]]+TableauCB[[#This Row],[Crédit]])</f>
        <v>11216.896000000002</v>
      </c>
      <c r="O407" s="27" t="e">
        <f>IF(TableauCB[[#This Row],[Etat]]="xc",O406-TableauCB[[#This Row],[Débit]]+TableauCB[[#This Row],[Crédit]],O406-TableauCB[[#This Row],[Débit]])</f>
        <v>#VALUE!</v>
      </c>
      <c r="P407" s="27">
        <f>IF(AND(ISBLANK(TableauCB[[#This Row],[Débit]]),ISBLANK(TableauCB[[#This Row],[Crédit]])),"",P406+TableauCB[[#This Row],[Crédit]]-TableauCB[[#This Row],[Débit]])</f>
        <v>10070.896000000002</v>
      </c>
      <c r="Q407" s="26"/>
      <c r="R407" s="25"/>
      <c r="S407" s="25"/>
      <c r="T407" s="11"/>
      <c r="U407" s="11"/>
      <c r="V407" s="56"/>
      <c r="W407" s="57"/>
      <c r="X407" s="56"/>
      <c r="Y407" s="7"/>
      <c r="Z407" s="7"/>
      <c r="AA407" s="55"/>
      <c r="AB407" s="54"/>
    </row>
    <row r="408" spans="2:28" ht="30" hidden="1" customHeight="1">
      <c r="B408" s="46"/>
      <c r="C408" s="11" t="s">
        <v>33</v>
      </c>
      <c r="D408" s="11" t="s">
        <v>11</v>
      </c>
      <c r="E408" s="11"/>
      <c r="F408" s="34">
        <v>42124</v>
      </c>
      <c r="G408"/>
      <c r="H408"/>
      <c r="I408" s="32">
        <v>42143</v>
      </c>
      <c r="J408"/>
      <c r="K408" s="31"/>
      <c r="L408" s="30"/>
      <c r="M408" s="29">
        <v>115.2</v>
      </c>
      <c r="N408" s="28">
        <f>IF(OR(TableauCB[[#This Row],[Etat]]="",TableauCB[[#This Row],[Etat]]="c"),IF(TableauCB[[#This Row],[Solde]]="","",N407),N407-TableauCB[[#This Row],[Débit]]+TableauCB[[#This Row],[Crédit]])</f>
        <v>11332.096000000003</v>
      </c>
      <c r="O408" s="27" t="e">
        <f>IF(TableauCB[[#This Row],[Etat]]="xc",O407-TableauCB[[#This Row],[Débit]]+TableauCB[[#This Row],[Crédit]],O407-TableauCB[[#This Row],[Débit]])</f>
        <v>#VALUE!</v>
      </c>
      <c r="P408" s="27">
        <f>IF(AND(ISBLANK(TableauCB[[#This Row],[Débit]]),ISBLANK(TableauCB[[#This Row],[Crédit]])),"",P407+TableauCB[[#This Row],[Crédit]]-TableauCB[[#This Row],[Débit]])</f>
        <v>10186.096000000003</v>
      </c>
      <c r="Q408" s="26"/>
      <c r="R408" s="25"/>
      <c r="S408" s="25"/>
      <c r="T408" s="11"/>
      <c r="U408" s="11"/>
      <c r="V408" s="56"/>
      <c r="W408" s="57"/>
      <c r="X408" s="56"/>
      <c r="Y408" s="7"/>
      <c r="Z408" s="7"/>
      <c r="AA408" s="55"/>
      <c r="AB408" s="54"/>
    </row>
    <row r="409" spans="2:28" ht="30" hidden="1" customHeight="1">
      <c r="B409" s="46"/>
      <c r="C409" s="11" t="s">
        <v>33</v>
      </c>
      <c r="D409" s="11" t="s">
        <v>11</v>
      </c>
      <c r="E409" s="11"/>
      <c r="F409" s="34">
        <v>42124</v>
      </c>
      <c r="G409"/>
      <c r="H409"/>
      <c r="I409" s="32">
        <v>42151</v>
      </c>
      <c r="J409"/>
      <c r="K409" s="31"/>
      <c r="L409" s="30"/>
      <c r="M409" s="29">
        <v>120</v>
      </c>
      <c r="N409" s="28">
        <f>IF(OR(TableauCB[[#This Row],[Etat]]="",TableauCB[[#This Row],[Etat]]="c"),IF(TableauCB[[#This Row],[Solde]]="","",N408),N408-TableauCB[[#This Row],[Débit]]+TableauCB[[#This Row],[Crédit]])</f>
        <v>11452.096000000003</v>
      </c>
      <c r="O409" s="27" t="e">
        <f>IF(TableauCB[[#This Row],[Etat]]="xc",O408-TableauCB[[#This Row],[Débit]]+TableauCB[[#This Row],[Crédit]],O408-TableauCB[[#This Row],[Débit]])</f>
        <v>#VALUE!</v>
      </c>
      <c r="P409" s="27">
        <f>IF(AND(ISBLANK(TableauCB[[#This Row],[Débit]]),ISBLANK(TableauCB[[#This Row],[Crédit]])),"",P408+TableauCB[[#This Row],[Crédit]]-TableauCB[[#This Row],[Débit]])</f>
        <v>10306.096000000003</v>
      </c>
      <c r="Q409" s="26"/>
      <c r="R409" s="25"/>
      <c r="S409" s="25"/>
      <c r="T409" s="11"/>
      <c r="U409" s="11"/>
      <c r="V409" s="56"/>
      <c r="W409" s="57"/>
      <c r="X409" s="56"/>
      <c r="Y409" s="7"/>
      <c r="Z409" s="7"/>
      <c r="AA409" s="55"/>
      <c r="AB409" s="54"/>
    </row>
    <row r="410" spans="2:28" ht="30" hidden="1" customHeight="1" thickBot="1">
      <c r="B410" s="46"/>
      <c r="C410" s="11" t="s">
        <v>33</v>
      </c>
      <c r="D410" s="11" t="s">
        <v>9</v>
      </c>
      <c r="E410" s="11"/>
      <c r="F410" s="34">
        <v>42124</v>
      </c>
      <c r="G410"/>
      <c r="H410"/>
      <c r="I410" s="32"/>
      <c r="J410"/>
      <c r="K410" s="31"/>
      <c r="L410" s="30">
        <v>240</v>
      </c>
      <c r="M410" s="29"/>
      <c r="N410" s="28">
        <f>IF(OR(TableauCB[[#This Row],[Etat]]="",TableauCB[[#This Row],[Etat]]="c"),IF(TableauCB[[#This Row],[Solde]]="","",N409),N409-TableauCB[[#This Row],[Débit]]+TableauCB[[#This Row],[Crédit]])</f>
        <v>11212.096000000003</v>
      </c>
      <c r="O410" s="27" t="e">
        <f>IF(TableauCB[[#This Row],[Etat]]="xc",O409-TableauCB[[#This Row],[Débit]]+TableauCB[[#This Row],[Crédit]],O409-TableauCB[[#This Row],[Débit]])</f>
        <v>#VALUE!</v>
      </c>
      <c r="P410" s="27">
        <f>IF(AND(ISBLANK(TableauCB[[#This Row],[Débit]]),ISBLANK(TableauCB[[#This Row],[Crédit]])),"",P409+TableauCB[[#This Row],[Crédit]]-TableauCB[[#This Row],[Débit]])</f>
        <v>10066.096000000003</v>
      </c>
      <c r="Q410" s="26"/>
      <c r="R410" s="47" t="s">
        <v>54</v>
      </c>
      <c r="S410" s="47" t="s">
        <v>53</v>
      </c>
      <c r="T410" s="11"/>
      <c r="U410" s="11"/>
      <c r="V410" s="56"/>
      <c r="W410" s="57"/>
      <c r="X410" s="56"/>
      <c r="Y410" s="7"/>
      <c r="Z410" s="7"/>
      <c r="AA410" s="55"/>
      <c r="AB410" s="54"/>
    </row>
    <row r="411" spans="2:28" ht="30" hidden="1" customHeight="1" thickBot="1">
      <c r="B411" s="53"/>
      <c r="C411" s="11" t="s">
        <v>33</v>
      </c>
      <c r="D411" s="11" t="s">
        <v>5</v>
      </c>
      <c r="E411" s="11"/>
      <c r="F411" s="34">
        <v>42124</v>
      </c>
      <c r="G411"/>
      <c r="H411"/>
      <c r="I411" s="32">
        <v>42144</v>
      </c>
      <c r="J411"/>
      <c r="K411" s="31"/>
      <c r="L411" s="30">
        <v>386.73</v>
      </c>
      <c r="M411" s="29"/>
      <c r="N411" s="28">
        <f>IF(OR(TableauCB[[#This Row],[Etat]]="",TableauCB[[#This Row],[Etat]]="c"),IF(TableauCB[[#This Row],[Solde]]="","",N410),N410-TableauCB[[#This Row],[Débit]]+TableauCB[[#This Row],[Crédit]])</f>
        <v>10825.366000000004</v>
      </c>
      <c r="O411" s="27" t="e">
        <f>IF(TableauCB[[#This Row],[Etat]]="xc",O410-TableauCB[[#This Row],[Débit]]+TableauCB[[#This Row],[Crédit]],O410-TableauCB[[#This Row],[Débit]])</f>
        <v>#VALUE!</v>
      </c>
      <c r="P411" s="27">
        <f>IF(AND(ISBLANK(TableauCB[[#This Row],[Débit]]),ISBLANK(TableauCB[[#This Row],[Crédit]])),"",P410+TableauCB[[#This Row],[Crédit]]-TableauCB[[#This Row],[Débit]])</f>
        <v>9679.3660000000036</v>
      </c>
      <c r="Q411" s="26"/>
      <c r="R411" s="25">
        <f>SUM(M386:M411)-SUM(L386:L411)</f>
        <v>-927.75000000000045</v>
      </c>
      <c r="S411" s="25">
        <f>R411/1.2</f>
        <v>-773.12500000000045</v>
      </c>
      <c r="T411" s="24"/>
      <c r="U411" s="11"/>
      <c r="V411" s="56"/>
      <c r="W411" s="57"/>
      <c r="X411" s="56"/>
      <c r="Y411" s="7"/>
      <c r="Z411" s="7"/>
      <c r="AA411" s="55"/>
      <c r="AB411" s="54"/>
    </row>
    <row r="412" spans="2:28" ht="30" hidden="1" customHeight="1">
      <c r="B412" s="52" t="s">
        <v>68</v>
      </c>
      <c r="C412" s="11" t="s">
        <v>33</v>
      </c>
      <c r="D412" s="11" t="s">
        <v>37</v>
      </c>
      <c r="E412" s="11"/>
      <c r="F412" s="34">
        <v>42126</v>
      </c>
      <c r="G412"/>
      <c r="H412"/>
      <c r="I412" s="32"/>
      <c r="J412"/>
      <c r="K412" s="31"/>
      <c r="L412" s="30">
        <v>45.4</v>
      </c>
      <c r="M412" s="29"/>
      <c r="N412" s="28">
        <f>IF(OR(TableauCB[[#This Row],[Etat]]="",TableauCB[[#This Row],[Etat]]="c"),IF(TableauCB[[#This Row],[Solde]]="","",N411),N411-TableauCB[[#This Row],[Débit]]+TableauCB[[#This Row],[Crédit]])</f>
        <v>10779.966000000004</v>
      </c>
      <c r="O412" s="27" t="e">
        <f>IF(TableauCB[[#This Row],[Etat]]="xc",O411-TableauCB[[#This Row],[Débit]]+TableauCB[[#This Row],[Crédit]],O411-TableauCB[[#This Row],[Débit]])</f>
        <v>#VALUE!</v>
      </c>
      <c r="P412" s="27">
        <f>IF(AND(ISBLANK(TableauCB[[#This Row],[Débit]]),ISBLANK(TableauCB[[#This Row],[Crédit]])),"",P411+TableauCB[[#This Row],[Crédit]]-TableauCB[[#This Row],[Débit]])</f>
        <v>9633.966000000004</v>
      </c>
      <c r="Q412" s="26"/>
      <c r="R412" s="25"/>
      <c r="S412" s="25"/>
      <c r="T412" s="11"/>
      <c r="U412" s="11"/>
      <c r="V412" s="56"/>
      <c r="W412" s="57"/>
      <c r="X412" s="56"/>
      <c r="Y412" s="7"/>
      <c r="Z412" s="7"/>
      <c r="AA412" s="55"/>
      <c r="AB412" s="54"/>
    </row>
    <row r="413" spans="2:28" ht="30" hidden="1" customHeight="1">
      <c r="B413" s="46"/>
      <c r="C413" s="11" t="s">
        <v>33</v>
      </c>
      <c r="D413" s="11" t="s">
        <v>17</v>
      </c>
      <c r="E413" s="11"/>
      <c r="F413" s="34">
        <v>42128</v>
      </c>
      <c r="G413"/>
      <c r="H413"/>
      <c r="I413" s="32"/>
      <c r="J413"/>
      <c r="K413" s="31"/>
      <c r="L413" s="30">
        <v>1.34</v>
      </c>
      <c r="M413" s="29"/>
      <c r="N413" s="28">
        <f>IF(OR(TableauCB[[#This Row],[Etat]]="",TableauCB[[#This Row],[Etat]]="c"),IF(TableauCB[[#This Row],[Solde]]="","",N412),N412-TableauCB[[#This Row],[Débit]]+TableauCB[[#This Row],[Crédit]])</f>
        <v>10778.626000000004</v>
      </c>
      <c r="O413" s="27" t="e">
        <f>IF(TableauCB[[#This Row],[Etat]]="xc",O412-TableauCB[[#This Row],[Débit]]+TableauCB[[#This Row],[Crédit]],O412-TableauCB[[#This Row],[Débit]])</f>
        <v>#VALUE!</v>
      </c>
      <c r="P413" s="27">
        <f>IF(AND(ISBLANK(TableauCB[[#This Row],[Débit]]),ISBLANK(TableauCB[[#This Row],[Crédit]])),"",P412+TableauCB[[#This Row],[Crédit]]-TableauCB[[#This Row],[Débit]])</f>
        <v>9632.6260000000038</v>
      </c>
      <c r="Q413" s="26"/>
      <c r="R413" s="25"/>
      <c r="S413" s="25"/>
      <c r="T413" s="11"/>
      <c r="U413" s="11"/>
      <c r="V413" s="56"/>
      <c r="W413" s="57"/>
      <c r="X413" s="56"/>
      <c r="Y413" s="7"/>
      <c r="Z413" s="7"/>
      <c r="AA413" s="55"/>
      <c r="AB413" s="54"/>
    </row>
    <row r="414" spans="2:28" ht="30" hidden="1" customHeight="1">
      <c r="B414" s="46"/>
      <c r="C414" s="11" t="s">
        <v>33</v>
      </c>
      <c r="D414" s="11" t="s">
        <v>41</v>
      </c>
      <c r="E414" s="11"/>
      <c r="F414" s="34">
        <v>42129</v>
      </c>
      <c r="G414"/>
      <c r="H414"/>
      <c r="I414" s="32"/>
      <c r="J414"/>
      <c r="K414" s="31"/>
      <c r="L414" s="30">
        <v>80.36</v>
      </c>
      <c r="M414" s="29"/>
      <c r="N414" s="28">
        <f>IF(OR(TableauCB[[#This Row],[Etat]]="",TableauCB[[#This Row],[Etat]]="c"),IF(TableauCB[[#This Row],[Solde]]="","",N413),N413-TableauCB[[#This Row],[Débit]]+TableauCB[[#This Row],[Crédit]])</f>
        <v>10698.266000000003</v>
      </c>
      <c r="O414" s="27" t="e">
        <f>IF(TableauCB[[#This Row],[Etat]]="xc",O413-TableauCB[[#This Row],[Débit]]+TableauCB[[#This Row],[Crédit]],O413-TableauCB[[#This Row],[Débit]])</f>
        <v>#VALUE!</v>
      </c>
      <c r="P414" s="27">
        <f>IF(AND(ISBLANK(TableauCB[[#This Row],[Débit]]),ISBLANK(TableauCB[[#This Row],[Crédit]])),"",P413+TableauCB[[#This Row],[Crédit]]-TableauCB[[#This Row],[Débit]])</f>
        <v>9552.2660000000033</v>
      </c>
      <c r="Q414" s="26"/>
      <c r="R414" s="25"/>
      <c r="S414" s="25"/>
      <c r="T414" s="11"/>
      <c r="U414" s="11"/>
      <c r="V414" s="56"/>
      <c r="W414" s="57"/>
      <c r="X414" s="56"/>
      <c r="Y414" s="7"/>
      <c r="Z414" s="7"/>
      <c r="AA414" s="55"/>
      <c r="AB414" s="54"/>
    </row>
    <row r="415" spans="2:28" ht="30" hidden="1" customHeight="1">
      <c r="B415" s="46"/>
      <c r="C415" s="11" t="s">
        <v>33</v>
      </c>
      <c r="D415" s="11" t="s">
        <v>15</v>
      </c>
      <c r="E415" s="11"/>
      <c r="F415" s="34">
        <v>42129</v>
      </c>
      <c r="G415"/>
      <c r="H415"/>
      <c r="I415" s="32">
        <v>42145</v>
      </c>
      <c r="J415"/>
      <c r="K415" s="31"/>
      <c r="L415" s="30">
        <v>2847</v>
      </c>
      <c r="M415" s="29"/>
      <c r="N415" s="28">
        <f>IF(OR(TableauCB[[#This Row],[Etat]]="",TableauCB[[#This Row],[Etat]]="c"),IF(TableauCB[[#This Row],[Solde]]="","",N414),N414-TableauCB[[#This Row],[Débit]]+TableauCB[[#This Row],[Crédit]])</f>
        <v>7851.2660000000033</v>
      </c>
      <c r="O415" s="27" t="e">
        <f>IF(TableauCB[[#This Row],[Etat]]="xc",O414-TableauCB[[#This Row],[Débit]]+TableauCB[[#This Row],[Crédit]],O414-TableauCB[[#This Row],[Débit]])</f>
        <v>#VALUE!</v>
      </c>
      <c r="P415" s="27">
        <f>IF(AND(ISBLANK(TableauCB[[#This Row],[Débit]]),ISBLANK(TableauCB[[#This Row],[Crédit]])),"",P414+TableauCB[[#This Row],[Crédit]]-TableauCB[[#This Row],[Débit]])</f>
        <v>6705.2660000000033</v>
      </c>
      <c r="Q415" s="26"/>
      <c r="R415" s="25"/>
      <c r="S415" s="25"/>
      <c r="T415" s="11"/>
      <c r="U415" s="11"/>
      <c r="V415" s="56"/>
      <c r="W415" s="57"/>
      <c r="X415" s="56"/>
      <c r="Y415" s="7"/>
      <c r="Z415" s="7"/>
      <c r="AA415" s="55"/>
      <c r="AB415" s="54"/>
    </row>
    <row r="416" spans="2:28" ht="30" hidden="1" customHeight="1">
      <c r="B416" s="46"/>
      <c r="C416" s="11" t="s">
        <v>33</v>
      </c>
      <c r="D416" s="11" t="s">
        <v>21</v>
      </c>
      <c r="E416" s="11"/>
      <c r="F416" s="34">
        <v>42129</v>
      </c>
      <c r="G416"/>
      <c r="H416"/>
      <c r="I416" s="32"/>
      <c r="J416"/>
      <c r="K416" s="31"/>
      <c r="L416" s="30">
        <v>21.9</v>
      </c>
      <c r="M416" s="29"/>
      <c r="N416" s="28">
        <f>IF(OR(TableauCB[[#This Row],[Etat]]="",TableauCB[[#This Row],[Etat]]="c"),IF(TableauCB[[#This Row],[Solde]]="","",N415),N415-TableauCB[[#This Row],[Débit]]+TableauCB[[#This Row],[Crédit]])</f>
        <v>7829.3660000000036</v>
      </c>
      <c r="O416" s="27" t="e">
        <f>IF(TableauCB[[#This Row],[Etat]]="xc",O415-TableauCB[[#This Row],[Débit]]+TableauCB[[#This Row],[Crédit]],O415-TableauCB[[#This Row],[Débit]])</f>
        <v>#VALUE!</v>
      </c>
      <c r="P416" s="27">
        <f>IF(AND(ISBLANK(TableauCB[[#This Row],[Débit]]),ISBLANK(TableauCB[[#This Row],[Crédit]])),"",P415+TableauCB[[#This Row],[Crédit]]-TableauCB[[#This Row],[Débit]])</f>
        <v>6683.3660000000036</v>
      </c>
      <c r="Q416" s="26"/>
      <c r="R416" s="25"/>
      <c r="S416" s="25"/>
      <c r="T416" s="11"/>
      <c r="U416" s="11"/>
      <c r="V416" s="56"/>
      <c r="W416" s="57"/>
      <c r="X416" s="56"/>
      <c r="Y416" s="7"/>
      <c r="Z416" s="7"/>
      <c r="AA416" s="55"/>
      <c r="AB416" s="54"/>
    </row>
    <row r="417" spans="2:28" ht="30" hidden="1" customHeight="1">
      <c r="B417" s="46"/>
      <c r="C417" s="11" t="s">
        <v>33</v>
      </c>
      <c r="D417" s="11" t="s">
        <v>30</v>
      </c>
      <c r="E417" s="11"/>
      <c r="F417" s="34">
        <v>42133</v>
      </c>
      <c r="G417"/>
      <c r="H417"/>
      <c r="I417" s="32"/>
      <c r="J417"/>
      <c r="K417" s="31"/>
      <c r="L417" s="30">
        <v>12.78</v>
      </c>
      <c r="M417" s="29"/>
      <c r="N417" s="28">
        <f>IF(OR(TableauCB[[#This Row],[Etat]]="",TableauCB[[#This Row],[Etat]]="c"),IF(TableauCB[[#This Row],[Solde]]="","",N416),N416-TableauCB[[#This Row],[Débit]]+TableauCB[[#This Row],[Crédit]])</f>
        <v>7816.5860000000039</v>
      </c>
      <c r="O417" s="27" t="e">
        <f>IF(TableauCB[[#This Row],[Etat]]="xc",O416-TableauCB[[#This Row],[Débit]]+TableauCB[[#This Row],[Crédit]],O416-TableauCB[[#This Row],[Débit]])</f>
        <v>#VALUE!</v>
      </c>
      <c r="P417" s="27">
        <f>IF(AND(ISBLANK(TableauCB[[#This Row],[Débit]]),ISBLANK(TableauCB[[#This Row],[Crédit]])),"",P416+TableauCB[[#This Row],[Crédit]]-TableauCB[[#This Row],[Débit]])</f>
        <v>6670.5860000000039</v>
      </c>
      <c r="Q417" s="26"/>
      <c r="R417" s="25"/>
      <c r="S417" s="25"/>
      <c r="T417" s="11"/>
      <c r="U417" s="11"/>
      <c r="V417" s="56"/>
      <c r="W417" s="57"/>
      <c r="X417" s="56"/>
      <c r="Y417" s="7"/>
      <c r="Z417" s="7"/>
      <c r="AA417" s="55"/>
      <c r="AB417" s="54"/>
    </row>
    <row r="418" spans="2:28" ht="30" hidden="1" customHeight="1">
      <c r="B418" s="46"/>
      <c r="C418" s="11" t="s">
        <v>33</v>
      </c>
      <c r="D418" s="11" t="s">
        <v>30</v>
      </c>
      <c r="E418" s="11"/>
      <c r="F418" s="34">
        <v>42136</v>
      </c>
      <c r="G418"/>
      <c r="H418"/>
      <c r="I418" s="32">
        <v>42138</v>
      </c>
      <c r="J418"/>
      <c r="K418" s="31"/>
      <c r="L418" s="30">
        <v>6.3</v>
      </c>
      <c r="M418" s="29"/>
      <c r="N418" s="28">
        <f>IF(OR(TableauCB[[#This Row],[Etat]]="",TableauCB[[#This Row],[Etat]]="c"),IF(TableauCB[[#This Row],[Solde]]="","",N417),N417-TableauCB[[#This Row],[Débit]]+TableauCB[[#This Row],[Crédit]])</f>
        <v>7810.2860000000037</v>
      </c>
      <c r="O418" s="27" t="e">
        <f>IF(TableauCB[[#This Row],[Etat]]="xc",O417-TableauCB[[#This Row],[Débit]]+TableauCB[[#This Row],[Crédit]],O417-TableauCB[[#This Row],[Débit]])</f>
        <v>#VALUE!</v>
      </c>
      <c r="P418" s="27">
        <f>IF(AND(ISBLANK(TableauCB[[#This Row],[Débit]]),ISBLANK(TableauCB[[#This Row],[Crédit]])),"",P417+TableauCB[[#This Row],[Crédit]]-TableauCB[[#This Row],[Débit]])</f>
        <v>6664.2860000000037</v>
      </c>
      <c r="Q418" s="26"/>
      <c r="R418" s="25"/>
      <c r="S418" s="25"/>
      <c r="T418" s="11"/>
      <c r="U418" s="11"/>
      <c r="V418" s="56"/>
      <c r="W418" s="57"/>
      <c r="X418" s="56"/>
      <c r="Y418" s="7"/>
      <c r="Z418" s="7"/>
      <c r="AA418" s="55"/>
      <c r="AB418" s="54"/>
    </row>
    <row r="419" spans="2:28" ht="30" hidden="1" customHeight="1">
      <c r="B419" s="46"/>
      <c r="C419" s="11" t="s">
        <v>33</v>
      </c>
      <c r="D419" s="11" t="s">
        <v>58</v>
      </c>
      <c r="E419" s="11"/>
      <c r="F419" s="34">
        <v>42137</v>
      </c>
      <c r="G419"/>
      <c r="H419"/>
      <c r="I419" s="32">
        <v>42140</v>
      </c>
      <c r="J419"/>
      <c r="K419" s="31"/>
      <c r="L419" s="30">
        <v>47</v>
      </c>
      <c r="M419" s="29"/>
      <c r="N419" s="28">
        <f>IF(OR(TableauCB[[#This Row],[Etat]]="",TableauCB[[#This Row],[Etat]]="c"),IF(TableauCB[[#This Row],[Solde]]="","",N418),N418-TableauCB[[#This Row],[Débit]]+TableauCB[[#This Row],[Crédit]])</f>
        <v>7763.2860000000037</v>
      </c>
      <c r="O419" s="27" t="e">
        <f>IF(TableauCB[[#This Row],[Etat]]="xc",O418-TableauCB[[#This Row],[Débit]]+TableauCB[[#This Row],[Crédit]],O418-TableauCB[[#This Row],[Débit]])</f>
        <v>#VALUE!</v>
      </c>
      <c r="P419" s="27">
        <f>IF(AND(ISBLANK(TableauCB[[#This Row],[Débit]]),ISBLANK(TableauCB[[#This Row],[Crédit]])),"",P418+TableauCB[[#This Row],[Crédit]]-TableauCB[[#This Row],[Débit]])</f>
        <v>6617.2860000000037</v>
      </c>
      <c r="Q419" s="26"/>
      <c r="R419" s="25"/>
      <c r="S419" s="25"/>
      <c r="T419" s="11"/>
      <c r="U419" s="11"/>
      <c r="V419" s="56"/>
      <c r="W419" s="57"/>
      <c r="X419" s="56"/>
      <c r="Y419" s="7"/>
      <c r="Z419" s="7"/>
      <c r="AA419" s="55"/>
      <c r="AB419" s="54"/>
    </row>
    <row r="420" spans="2:28" ht="30" hidden="1" customHeight="1">
      <c r="B420" s="46"/>
      <c r="C420" s="11" t="s">
        <v>33</v>
      </c>
      <c r="D420" s="11" t="s">
        <v>15</v>
      </c>
      <c r="E420" s="11"/>
      <c r="F420" s="34">
        <v>42139</v>
      </c>
      <c r="G420"/>
      <c r="H420"/>
      <c r="I420" s="32">
        <v>42143</v>
      </c>
      <c r="J420"/>
      <c r="K420" s="31"/>
      <c r="L420" s="30">
        <v>38</v>
      </c>
      <c r="M420" s="29"/>
      <c r="N420" s="28">
        <f>IF(OR(TableauCB[[#This Row],[Etat]]="",TableauCB[[#This Row],[Etat]]="c"),IF(TableauCB[[#This Row],[Solde]]="","",N419),N419-TableauCB[[#This Row],[Débit]]+TableauCB[[#This Row],[Crédit]])</f>
        <v>7725.2860000000037</v>
      </c>
      <c r="O420" s="27" t="e">
        <f>IF(TableauCB[[#This Row],[Etat]]="xc",O419-TableauCB[[#This Row],[Débit]]+TableauCB[[#This Row],[Crédit]],O419-TableauCB[[#This Row],[Débit]])</f>
        <v>#VALUE!</v>
      </c>
      <c r="P420" s="27">
        <f>IF(AND(ISBLANK(TableauCB[[#This Row],[Débit]]),ISBLANK(TableauCB[[#This Row],[Crédit]])),"",P419+TableauCB[[#This Row],[Crédit]]-TableauCB[[#This Row],[Débit]])</f>
        <v>6579.2860000000037</v>
      </c>
      <c r="Q420" s="26"/>
      <c r="R420" s="25"/>
      <c r="S420" s="25"/>
      <c r="T420" s="11"/>
      <c r="U420" s="11"/>
      <c r="V420" s="56"/>
      <c r="W420" s="57"/>
      <c r="X420" s="56"/>
      <c r="Y420" s="7"/>
      <c r="Z420" s="7"/>
      <c r="AA420" s="55"/>
      <c r="AB420" s="54"/>
    </row>
    <row r="421" spans="2:28" ht="30" hidden="1" customHeight="1">
      <c r="B421" s="46"/>
      <c r="C421" s="11" t="s">
        <v>33</v>
      </c>
      <c r="D421" s="11" t="s">
        <v>17</v>
      </c>
      <c r="E421" s="11"/>
      <c r="F421" s="34">
        <v>42145</v>
      </c>
      <c r="G421"/>
      <c r="H421"/>
      <c r="I421" s="32">
        <v>42144</v>
      </c>
      <c r="J421"/>
      <c r="K421" s="31"/>
      <c r="L421" s="30">
        <v>41.4</v>
      </c>
      <c r="M421" s="29"/>
      <c r="N421" s="28">
        <f>IF(OR(TableauCB[[#This Row],[Etat]]="",TableauCB[[#This Row],[Etat]]="c"),IF(TableauCB[[#This Row],[Solde]]="","",N420),N420-TableauCB[[#This Row],[Débit]]+TableauCB[[#This Row],[Crédit]])</f>
        <v>7683.8860000000041</v>
      </c>
      <c r="O421" s="27" t="e">
        <f>IF(TableauCB[[#This Row],[Etat]]="xc",O420-TableauCB[[#This Row],[Débit]]+TableauCB[[#This Row],[Crédit]],O420-TableauCB[[#This Row],[Débit]])</f>
        <v>#VALUE!</v>
      </c>
      <c r="P421" s="27">
        <f>IF(AND(ISBLANK(TableauCB[[#This Row],[Débit]]),ISBLANK(TableauCB[[#This Row],[Crédit]])),"",P420+TableauCB[[#This Row],[Crédit]]-TableauCB[[#This Row],[Débit]])</f>
        <v>6537.8860000000041</v>
      </c>
      <c r="Q421" s="26"/>
      <c r="R421" s="25"/>
      <c r="S421" s="25"/>
      <c r="T421" s="11"/>
      <c r="U421" s="11"/>
      <c r="V421" s="56"/>
      <c r="W421" s="57"/>
      <c r="X421" s="56"/>
      <c r="Y421" s="7"/>
      <c r="Z421" s="7"/>
      <c r="AA421" s="55"/>
      <c r="AB421" s="54"/>
    </row>
    <row r="422" spans="2:28" ht="30" hidden="1" customHeight="1">
      <c r="B422" s="46"/>
      <c r="C422" s="11" t="s">
        <v>33</v>
      </c>
      <c r="D422" s="11" t="s">
        <v>58</v>
      </c>
      <c r="E422" s="11"/>
      <c r="F422" s="34">
        <v>42147</v>
      </c>
      <c r="G422"/>
      <c r="H422"/>
      <c r="I422" s="32">
        <v>42149</v>
      </c>
      <c r="J422"/>
      <c r="K422" s="31"/>
      <c r="L422" s="30">
        <v>55.95</v>
      </c>
      <c r="M422" s="29"/>
      <c r="N422" s="28">
        <f>IF(OR(TableauCB[[#This Row],[Etat]]="",TableauCB[[#This Row],[Etat]]="c"),IF(TableauCB[[#This Row],[Solde]]="","",N421),N421-TableauCB[[#This Row],[Débit]]+TableauCB[[#This Row],[Crédit]])</f>
        <v>7627.9360000000042</v>
      </c>
      <c r="O422" s="27" t="e">
        <f>IF(TableauCB[[#This Row],[Etat]]="xc",O421-TableauCB[[#This Row],[Débit]]+TableauCB[[#This Row],[Crédit]],O421-TableauCB[[#This Row],[Débit]])</f>
        <v>#VALUE!</v>
      </c>
      <c r="P422" s="27">
        <f>IF(AND(ISBLANK(TableauCB[[#This Row],[Débit]]),ISBLANK(TableauCB[[#This Row],[Crédit]])),"",P421+TableauCB[[#This Row],[Crédit]]-TableauCB[[#This Row],[Débit]])</f>
        <v>6481.9360000000042</v>
      </c>
      <c r="Q422" s="26"/>
      <c r="R422" s="25"/>
      <c r="S422" s="25"/>
      <c r="T422" s="11"/>
      <c r="U422" s="11"/>
      <c r="V422" s="56"/>
      <c r="W422" s="57"/>
      <c r="X422" s="56"/>
      <c r="Y422" s="7"/>
      <c r="Z422" s="7"/>
      <c r="AA422" s="55"/>
      <c r="AB422" s="54"/>
    </row>
    <row r="423" spans="2:28" ht="30" hidden="1" customHeight="1">
      <c r="B423" s="46"/>
      <c r="C423" s="11" t="s">
        <v>33</v>
      </c>
      <c r="D423" s="11" t="s">
        <v>45</v>
      </c>
      <c r="E423" s="11"/>
      <c r="F423" s="34">
        <v>42152</v>
      </c>
      <c r="G423"/>
      <c r="H423"/>
      <c r="I423" s="32">
        <v>42165</v>
      </c>
      <c r="J423"/>
      <c r="K423" s="31"/>
      <c r="L423" s="30"/>
      <c r="M423" s="29">
        <v>324</v>
      </c>
      <c r="N423" s="28">
        <f>IF(OR(TableauCB[[#This Row],[Etat]]="",TableauCB[[#This Row],[Etat]]="c"),IF(TableauCB[[#This Row],[Solde]]="","",N422),N422-TableauCB[[#This Row],[Débit]]+TableauCB[[#This Row],[Crédit]])</f>
        <v>7951.9360000000042</v>
      </c>
      <c r="O423" s="27" t="e">
        <f>IF(TableauCB[[#This Row],[Etat]]="xc",O422-TableauCB[[#This Row],[Débit]]+TableauCB[[#This Row],[Crédit]],O422-TableauCB[[#This Row],[Débit]])</f>
        <v>#VALUE!</v>
      </c>
      <c r="P423" s="27">
        <f>IF(AND(ISBLANK(TableauCB[[#This Row],[Débit]]),ISBLANK(TableauCB[[#This Row],[Crédit]])),"",P422+TableauCB[[#This Row],[Crédit]]-TableauCB[[#This Row],[Débit]])</f>
        <v>6805.9360000000042</v>
      </c>
      <c r="Q423" s="26"/>
      <c r="R423" s="25"/>
      <c r="S423" s="25"/>
      <c r="T423" s="11"/>
      <c r="U423" s="11"/>
      <c r="V423" s="56"/>
      <c r="W423" s="57"/>
      <c r="X423" s="56"/>
      <c r="Y423" s="7"/>
      <c r="Z423" s="7"/>
      <c r="AA423" s="55"/>
      <c r="AB423" s="54"/>
    </row>
    <row r="424" spans="2:28" ht="30" hidden="1" customHeight="1">
      <c r="B424" s="46"/>
      <c r="C424" s="11" t="s">
        <v>33</v>
      </c>
      <c r="D424" s="11" t="s">
        <v>32</v>
      </c>
      <c r="E424" s="11"/>
      <c r="F424" s="34">
        <v>42154</v>
      </c>
      <c r="G424"/>
      <c r="H424"/>
      <c r="I424" s="32">
        <v>42156</v>
      </c>
      <c r="J424"/>
      <c r="K424" s="31"/>
      <c r="L424" s="30"/>
      <c r="M424" s="29">
        <v>144</v>
      </c>
      <c r="N424" s="28">
        <f>IF(OR(TableauCB[[#This Row],[Etat]]="",TableauCB[[#This Row],[Etat]]="c"),IF(TableauCB[[#This Row],[Solde]]="","",N423),N423-TableauCB[[#This Row],[Débit]]+TableauCB[[#This Row],[Crédit]])</f>
        <v>8095.9360000000042</v>
      </c>
      <c r="O424" s="27" t="e">
        <f>IF(TableauCB[[#This Row],[Etat]]="xc",O423-TableauCB[[#This Row],[Débit]]+TableauCB[[#This Row],[Crédit]],O423-TableauCB[[#This Row],[Débit]])</f>
        <v>#VALUE!</v>
      </c>
      <c r="P424" s="27">
        <f>IF(AND(ISBLANK(TableauCB[[#This Row],[Débit]]),ISBLANK(TableauCB[[#This Row],[Crédit]])),"",P423+TableauCB[[#This Row],[Crédit]]-TableauCB[[#This Row],[Débit]])</f>
        <v>6949.9360000000042</v>
      </c>
      <c r="Q424" s="26"/>
      <c r="R424" s="25"/>
      <c r="S424" s="25"/>
      <c r="T424" s="11"/>
      <c r="U424" s="11"/>
      <c r="V424" s="56"/>
      <c r="W424" s="57"/>
      <c r="X424" s="56"/>
      <c r="Y424" s="7"/>
      <c r="Z424" s="7"/>
      <c r="AA424" s="55"/>
      <c r="AB424" s="54"/>
    </row>
    <row r="425" spans="2:28" ht="30" hidden="1" customHeight="1">
      <c r="B425" s="46"/>
      <c r="C425" s="11" t="s">
        <v>33</v>
      </c>
      <c r="D425" s="11" t="s">
        <v>11</v>
      </c>
      <c r="E425" s="11"/>
      <c r="F425" s="34">
        <v>42154</v>
      </c>
      <c r="G425"/>
      <c r="H425"/>
      <c r="I425" s="32">
        <v>42186</v>
      </c>
      <c r="J425"/>
      <c r="K425" s="31"/>
      <c r="L425" s="30"/>
      <c r="M425" s="29">
        <v>108</v>
      </c>
      <c r="N425" s="28">
        <f>IF(OR(TableauCB[[#This Row],[Etat]]="",TableauCB[[#This Row],[Etat]]="c"),IF(TableauCB[[#This Row],[Solde]]="","",N424),N424-TableauCB[[#This Row],[Débit]]+TableauCB[[#This Row],[Crédit]])</f>
        <v>8203.9360000000052</v>
      </c>
      <c r="O425" s="27" t="e">
        <f>IF(TableauCB[[#This Row],[Etat]]="xc",O424-TableauCB[[#This Row],[Débit]]+TableauCB[[#This Row],[Crédit]],O424-TableauCB[[#This Row],[Débit]])</f>
        <v>#VALUE!</v>
      </c>
      <c r="P425" s="27">
        <f>IF(AND(ISBLANK(TableauCB[[#This Row],[Débit]]),ISBLANK(TableauCB[[#This Row],[Crédit]])),"",P424+TableauCB[[#This Row],[Crédit]]-TableauCB[[#This Row],[Débit]])</f>
        <v>7057.9360000000042</v>
      </c>
      <c r="Q425" s="26"/>
      <c r="R425" s="25"/>
      <c r="S425" s="25"/>
      <c r="T425" s="11"/>
      <c r="U425" s="11"/>
      <c r="V425" s="56"/>
      <c r="W425" s="57"/>
      <c r="X425" s="56"/>
      <c r="Y425" s="7"/>
      <c r="Z425" s="7"/>
      <c r="AA425" s="55"/>
      <c r="AB425" s="54"/>
    </row>
    <row r="426" spans="2:28" ht="30" hidden="1" customHeight="1">
      <c r="B426" s="46"/>
      <c r="C426" s="11" t="s">
        <v>33</v>
      </c>
      <c r="D426" s="11" t="s">
        <v>11</v>
      </c>
      <c r="E426" s="11"/>
      <c r="F426" s="34">
        <v>42154</v>
      </c>
      <c r="G426"/>
      <c r="H426"/>
      <c r="I426" s="32">
        <v>42163</v>
      </c>
      <c r="J426"/>
      <c r="K426" s="31"/>
      <c r="L426" s="30"/>
      <c r="M426" s="29">
        <v>198</v>
      </c>
      <c r="N426" s="28">
        <f>IF(OR(TableauCB[[#This Row],[Etat]]="",TableauCB[[#This Row],[Etat]]="c"),IF(TableauCB[[#This Row],[Solde]]="","",N425),N425-TableauCB[[#This Row],[Débit]]+TableauCB[[#This Row],[Crédit]])</f>
        <v>8401.9360000000052</v>
      </c>
      <c r="O426" s="27" t="e">
        <f>IF(TableauCB[[#This Row],[Etat]]="xc",O425-TableauCB[[#This Row],[Débit]]+TableauCB[[#This Row],[Crédit]],O425-TableauCB[[#This Row],[Débit]])</f>
        <v>#VALUE!</v>
      </c>
      <c r="P426" s="27">
        <f>IF(AND(ISBLANK(TableauCB[[#This Row],[Débit]]),ISBLANK(TableauCB[[#This Row],[Crédit]])),"",P425+TableauCB[[#This Row],[Crédit]]-TableauCB[[#This Row],[Débit]])</f>
        <v>7255.9360000000042</v>
      </c>
      <c r="Q426" s="26"/>
      <c r="R426" s="25"/>
      <c r="S426" s="25"/>
      <c r="T426" s="11"/>
      <c r="U426" s="11"/>
      <c r="V426" s="56"/>
      <c r="W426" s="57"/>
      <c r="X426" s="56"/>
      <c r="Y426" s="7"/>
      <c r="Z426" s="7"/>
      <c r="AA426" s="55"/>
      <c r="AB426" s="54"/>
    </row>
    <row r="427" spans="2:28" ht="30" hidden="1" customHeight="1">
      <c r="B427" s="46"/>
      <c r="C427" s="11" t="s">
        <v>33</v>
      </c>
      <c r="D427" s="11" t="s">
        <v>11</v>
      </c>
      <c r="E427" s="11"/>
      <c r="F427" s="34">
        <v>42154</v>
      </c>
      <c r="G427"/>
      <c r="H427"/>
      <c r="I427" s="32">
        <v>42172</v>
      </c>
      <c r="J427"/>
      <c r="K427" s="31"/>
      <c r="L427" s="30"/>
      <c r="M427" s="29">
        <v>50.4</v>
      </c>
      <c r="N427" s="28">
        <f>IF(OR(TableauCB[[#This Row],[Etat]]="",TableauCB[[#This Row],[Etat]]="c"),IF(TableauCB[[#This Row],[Solde]]="","",N426),N426-TableauCB[[#This Row],[Débit]]+TableauCB[[#This Row],[Crédit]])</f>
        <v>8452.3360000000048</v>
      </c>
      <c r="O427" s="27" t="e">
        <f>IF(TableauCB[[#This Row],[Etat]]="xc",O426-TableauCB[[#This Row],[Débit]]+TableauCB[[#This Row],[Crédit]],O426-TableauCB[[#This Row],[Débit]])</f>
        <v>#VALUE!</v>
      </c>
      <c r="P427" s="27">
        <f>IF(AND(ISBLANK(TableauCB[[#This Row],[Débit]]),ISBLANK(TableauCB[[#This Row],[Crédit]])),"",P426+TableauCB[[#This Row],[Crédit]]-TableauCB[[#This Row],[Débit]])</f>
        <v>7306.3360000000039</v>
      </c>
      <c r="Q427" s="26"/>
      <c r="R427" s="25"/>
      <c r="S427" s="25"/>
      <c r="T427" s="11"/>
      <c r="U427" s="11"/>
      <c r="V427" s="56"/>
      <c r="W427" s="57"/>
      <c r="X427" s="56"/>
      <c r="Y427" s="7"/>
      <c r="Z427" s="7"/>
      <c r="AA427" s="55"/>
      <c r="AB427" s="54"/>
    </row>
    <row r="428" spans="2:28" ht="30" hidden="1" customHeight="1">
      <c r="B428" s="46"/>
      <c r="C428" s="11" t="s">
        <v>33</v>
      </c>
      <c r="D428" s="11" t="s">
        <v>11</v>
      </c>
      <c r="E428" s="11"/>
      <c r="F428" s="34">
        <v>42154</v>
      </c>
      <c r="G428"/>
      <c r="H428"/>
      <c r="I428" s="32">
        <v>42198</v>
      </c>
      <c r="J428"/>
      <c r="K428" s="31"/>
      <c r="L428" s="30"/>
      <c r="M428" s="29">
        <v>151.80000000000001</v>
      </c>
      <c r="N428" s="28">
        <f>IF(OR(TableauCB[[#This Row],[Etat]]="",TableauCB[[#This Row],[Etat]]="c"),IF(TableauCB[[#This Row],[Solde]]="","",N427),N427-TableauCB[[#This Row],[Débit]]+TableauCB[[#This Row],[Crédit]])</f>
        <v>8604.1360000000041</v>
      </c>
      <c r="O428" s="27" t="e">
        <f>IF(TableauCB[[#This Row],[Etat]]="xc",O427-TableauCB[[#This Row],[Débit]]+TableauCB[[#This Row],[Crédit]],O427-TableauCB[[#This Row],[Débit]])</f>
        <v>#VALUE!</v>
      </c>
      <c r="P428" s="27">
        <f>IF(AND(ISBLANK(TableauCB[[#This Row],[Débit]]),ISBLANK(TableauCB[[#This Row],[Crédit]])),"",P427+TableauCB[[#This Row],[Crédit]]-TableauCB[[#This Row],[Débit]])</f>
        <v>7458.1360000000041</v>
      </c>
      <c r="Q428" s="26"/>
      <c r="R428" s="25"/>
      <c r="S428" s="25"/>
      <c r="T428" s="11"/>
      <c r="U428" s="11"/>
      <c r="V428" s="56"/>
      <c r="W428" s="57"/>
      <c r="X428" s="56"/>
      <c r="Y428" s="7"/>
      <c r="Z428" s="7"/>
      <c r="AA428" s="55"/>
      <c r="AB428" s="54"/>
    </row>
    <row r="429" spans="2:28" ht="30" hidden="1" customHeight="1">
      <c r="B429" s="46"/>
      <c r="C429" s="11" t="s">
        <v>33</v>
      </c>
      <c r="D429" s="11" t="s">
        <v>11</v>
      </c>
      <c r="E429" s="11"/>
      <c r="F429" s="34">
        <v>42154</v>
      </c>
      <c r="G429"/>
      <c r="H429"/>
      <c r="I429" s="32">
        <v>42198</v>
      </c>
      <c r="J429"/>
      <c r="K429" s="31"/>
      <c r="L429" s="30"/>
      <c r="M429" s="29">
        <v>522</v>
      </c>
      <c r="N429" s="28">
        <f>IF(OR(TableauCB[[#This Row],[Etat]]="",TableauCB[[#This Row],[Etat]]="c"),IF(TableauCB[[#This Row],[Solde]]="","",N428),N428-TableauCB[[#This Row],[Débit]]+TableauCB[[#This Row],[Crédit]])</f>
        <v>9126.1360000000041</v>
      </c>
      <c r="O429" s="27" t="e">
        <f>IF(TableauCB[[#This Row],[Etat]]="xc",O428-TableauCB[[#This Row],[Débit]]+TableauCB[[#This Row],[Crédit]],O428-TableauCB[[#This Row],[Débit]])</f>
        <v>#VALUE!</v>
      </c>
      <c r="P429" s="27">
        <f>IF(AND(ISBLANK(TableauCB[[#This Row],[Débit]]),ISBLANK(TableauCB[[#This Row],[Crédit]])),"",P428+TableauCB[[#This Row],[Crédit]]-TableauCB[[#This Row],[Débit]])</f>
        <v>7980.1360000000041</v>
      </c>
      <c r="Q429" s="26"/>
      <c r="R429" s="25"/>
      <c r="S429" s="25"/>
      <c r="T429" s="11"/>
      <c r="U429" s="11"/>
      <c r="V429" s="56"/>
      <c r="W429" s="57"/>
      <c r="X429" s="56"/>
      <c r="Y429" s="7"/>
      <c r="Z429" s="7"/>
      <c r="AA429" s="55"/>
      <c r="AB429" s="54"/>
    </row>
    <row r="430" spans="2:28" ht="30" hidden="1" customHeight="1">
      <c r="B430" s="46"/>
      <c r="C430" s="11" t="s">
        <v>33</v>
      </c>
      <c r="D430" s="11" t="s">
        <v>11</v>
      </c>
      <c r="E430" s="11"/>
      <c r="F430" s="34">
        <v>42154</v>
      </c>
      <c r="G430"/>
      <c r="H430"/>
      <c r="I430" s="32">
        <v>42187</v>
      </c>
      <c r="J430"/>
      <c r="K430" s="31"/>
      <c r="L430" s="30"/>
      <c r="M430" s="29">
        <v>288</v>
      </c>
      <c r="N430" s="28">
        <f>IF(OR(TableauCB[[#This Row],[Etat]]="",TableauCB[[#This Row],[Etat]]="c"),IF(TableauCB[[#This Row],[Solde]]="","",N429),N429-TableauCB[[#This Row],[Débit]]+TableauCB[[#This Row],[Crédit]])</f>
        <v>9414.1360000000041</v>
      </c>
      <c r="O430" s="27" t="e">
        <f>IF(TableauCB[[#This Row],[Etat]]="xc",O429-TableauCB[[#This Row],[Débit]]+TableauCB[[#This Row],[Crédit]],O429-TableauCB[[#This Row],[Débit]])</f>
        <v>#VALUE!</v>
      </c>
      <c r="P430" s="27">
        <f>IF(AND(ISBLANK(TableauCB[[#This Row],[Débit]]),ISBLANK(TableauCB[[#This Row],[Crédit]])),"",P429+TableauCB[[#This Row],[Crédit]]-TableauCB[[#This Row],[Débit]])</f>
        <v>8268.1360000000041</v>
      </c>
      <c r="Q430" s="26"/>
      <c r="R430" s="25"/>
      <c r="S430" s="25"/>
      <c r="T430" s="11"/>
      <c r="U430" s="11"/>
      <c r="V430" s="56"/>
      <c r="W430" s="57"/>
      <c r="X430" s="56"/>
      <c r="Y430" s="7"/>
      <c r="Z430" s="7"/>
      <c r="AA430" s="55"/>
      <c r="AB430" s="54"/>
    </row>
    <row r="431" spans="2:28" ht="30" hidden="1" customHeight="1">
      <c r="B431" s="46"/>
      <c r="C431" s="11" t="s">
        <v>33</v>
      </c>
      <c r="D431" s="11" t="s">
        <v>11</v>
      </c>
      <c r="E431" s="11"/>
      <c r="F431" s="34">
        <v>42154</v>
      </c>
      <c r="G431"/>
      <c r="H431"/>
      <c r="I431" s="32">
        <v>42186</v>
      </c>
      <c r="J431"/>
      <c r="K431" s="31"/>
      <c r="L431" s="30"/>
      <c r="M431" s="29">
        <v>624</v>
      </c>
      <c r="N431" s="28">
        <f>IF(OR(TableauCB[[#This Row],[Etat]]="",TableauCB[[#This Row],[Etat]]="c"),IF(TableauCB[[#This Row],[Solde]]="","",N430),N430-TableauCB[[#This Row],[Débit]]+TableauCB[[#This Row],[Crédit]])</f>
        <v>10038.136000000004</v>
      </c>
      <c r="O431" s="27" t="e">
        <f>IF(TableauCB[[#This Row],[Etat]]="xc",O430-TableauCB[[#This Row],[Débit]]+TableauCB[[#This Row],[Crédit]],O430-TableauCB[[#This Row],[Débit]])</f>
        <v>#VALUE!</v>
      </c>
      <c r="P431" s="27">
        <f>IF(AND(ISBLANK(TableauCB[[#This Row],[Débit]]),ISBLANK(TableauCB[[#This Row],[Crédit]])),"",P430+TableauCB[[#This Row],[Crédit]]-TableauCB[[#This Row],[Débit]])</f>
        <v>8892.1360000000041</v>
      </c>
      <c r="Q431" s="26"/>
      <c r="R431" s="25"/>
      <c r="S431" s="25"/>
      <c r="T431" s="11"/>
      <c r="U431" s="11"/>
      <c r="V431" s="56"/>
      <c r="W431" s="57"/>
      <c r="X431" s="56"/>
      <c r="Y431" s="7"/>
      <c r="Z431" s="7"/>
      <c r="AA431" s="55"/>
      <c r="AB431" s="54"/>
    </row>
    <row r="432" spans="2:28" ht="30" hidden="1" customHeight="1">
      <c r="B432" s="46"/>
      <c r="C432" s="11" t="s">
        <v>33</v>
      </c>
      <c r="D432" s="11" t="s">
        <v>11</v>
      </c>
      <c r="E432" s="11"/>
      <c r="F432" s="34">
        <v>42154</v>
      </c>
      <c r="G432"/>
      <c r="H432"/>
      <c r="I432" s="32">
        <v>42163</v>
      </c>
      <c r="J432"/>
      <c r="K432" s="31"/>
      <c r="L432" s="30"/>
      <c r="M432" s="29">
        <v>115.2</v>
      </c>
      <c r="N432" s="28">
        <f>IF(OR(TableauCB[[#This Row],[Etat]]="",TableauCB[[#This Row],[Etat]]="c"),IF(TableauCB[[#This Row],[Solde]]="","",N431),N431-TableauCB[[#This Row],[Débit]]+TableauCB[[#This Row],[Crédit]])</f>
        <v>10153.336000000005</v>
      </c>
      <c r="O432" s="27" t="e">
        <f>IF(TableauCB[[#This Row],[Etat]]="xc",O431-TableauCB[[#This Row],[Débit]]+TableauCB[[#This Row],[Crédit]],O431-TableauCB[[#This Row],[Débit]])</f>
        <v>#VALUE!</v>
      </c>
      <c r="P432" s="27">
        <f>IF(AND(ISBLANK(TableauCB[[#This Row],[Débit]]),ISBLANK(TableauCB[[#This Row],[Crédit]])),"",P431+TableauCB[[#This Row],[Crédit]]-TableauCB[[#This Row],[Débit]])</f>
        <v>9007.3360000000048</v>
      </c>
      <c r="Q432" s="26"/>
      <c r="R432" s="25"/>
      <c r="S432" s="25"/>
      <c r="T432" s="11"/>
      <c r="U432" s="11"/>
      <c r="V432" s="56"/>
      <c r="W432" s="57"/>
      <c r="X432" s="56"/>
      <c r="Y432" s="7"/>
      <c r="Z432" s="7"/>
      <c r="AA432" s="55"/>
      <c r="AB432" s="54"/>
    </row>
    <row r="433" spans="2:28" ht="30" hidden="1" customHeight="1">
      <c r="B433" s="46"/>
      <c r="C433" s="11" t="s">
        <v>33</v>
      </c>
      <c r="D433" s="11" t="s">
        <v>11</v>
      </c>
      <c r="E433" s="11"/>
      <c r="F433" s="34">
        <v>42154</v>
      </c>
      <c r="G433"/>
      <c r="H433"/>
      <c r="I433" s="32">
        <v>42193</v>
      </c>
      <c r="J433"/>
      <c r="K433" s="31"/>
      <c r="L433" s="30"/>
      <c r="M433" s="29">
        <v>120</v>
      </c>
      <c r="N433" s="28">
        <f>IF(OR(TableauCB[[#This Row],[Etat]]="",TableauCB[[#This Row],[Etat]]="c"),IF(TableauCB[[#This Row],[Solde]]="","",N432),N432-TableauCB[[#This Row],[Débit]]+TableauCB[[#This Row],[Crédit]])</f>
        <v>10273.336000000005</v>
      </c>
      <c r="O433" s="27" t="e">
        <f>IF(TableauCB[[#This Row],[Etat]]="xc",O432-TableauCB[[#This Row],[Débit]]+TableauCB[[#This Row],[Crédit]],O432-TableauCB[[#This Row],[Débit]])</f>
        <v>#VALUE!</v>
      </c>
      <c r="P433" s="27">
        <f>IF(AND(ISBLANK(TableauCB[[#This Row],[Débit]]),ISBLANK(TableauCB[[#This Row],[Crédit]])),"",P432+TableauCB[[#This Row],[Crédit]]-TableauCB[[#This Row],[Débit]])</f>
        <v>9127.3360000000048</v>
      </c>
      <c r="Q433" s="26"/>
      <c r="R433" s="25"/>
      <c r="S433" s="25"/>
      <c r="T433" s="11"/>
      <c r="U433" s="11"/>
      <c r="V433" s="56"/>
      <c r="W433" s="57"/>
      <c r="X433" s="56"/>
      <c r="Y433" s="7"/>
      <c r="Z433" s="7"/>
      <c r="AA433" s="55"/>
      <c r="AB433" s="54"/>
    </row>
    <row r="434" spans="2:28" ht="30" hidden="1" customHeight="1" thickBot="1">
      <c r="B434" s="46"/>
      <c r="C434" s="11" t="s">
        <v>33</v>
      </c>
      <c r="D434" s="11" t="s">
        <v>9</v>
      </c>
      <c r="E434" s="11"/>
      <c r="F434" s="34">
        <v>42154</v>
      </c>
      <c r="G434"/>
      <c r="H434"/>
      <c r="I434" s="32">
        <v>42156</v>
      </c>
      <c r="J434"/>
      <c r="K434" s="31"/>
      <c r="L434" s="30">
        <v>240</v>
      </c>
      <c r="M434" s="29"/>
      <c r="N434" s="28">
        <f>IF(OR(TableauCB[[#This Row],[Etat]]="",TableauCB[[#This Row],[Etat]]="c"),IF(TableauCB[[#This Row],[Solde]]="","",N433),N433-TableauCB[[#This Row],[Débit]]+TableauCB[[#This Row],[Crédit]])</f>
        <v>10033.336000000005</v>
      </c>
      <c r="O434" s="27" t="e">
        <f>IF(TableauCB[[#This Row],[Etat]]="xc",O433-TableauCB[[#This Row],[Débit]]+TableauCB[[#This Row],[Crédit]],O433-TableauCB[[#This Row],[Débit]])</f>
        <v>#VALUE!</v>
      </c>
      <c r="P434" s="27">
        <f>IF(AND(ISBLANK(TableauCB[[#This Row],[Débit]]),ISBLANK(TableauCB[[#This Row],[Crédit]])),"",P433+TableauCB[[#This Row],[Crédit]]-TableauCB[[#This Row],[Débit]])</f>
        <v>8887.3360000000048</v>
      </c>
      <c r="Q434" s="26"/>
      <c r="R434" s="47" t="s">
        <v>54</v>
      </c>
      <c r="S434" s="47" t="s">
        <v>53</v>
      </c>
      <c r="T434" s="11"/>
      <c r="U434" s="11"/>
      <c r="V434" s="56"/>
      <c r="W434" s="57"/>
      <c r="X434" s="56"/>
      <c r="Y434" s="7"/>
      <c r="Z434" s="7"/>
      <c r="AA434" s="55"/>
      <c r="AB434" s="54"/>
    </row>
    <row r="435" spans="2:28" ht="30" hidden="1" customHeight="1" thickBot="1">
      <c r="B435" s="53"/>
      <c r="C435" s="11" t="s">
        <v>33</v>
      </c>
      <c r="D435" s="11" t="s">
        <v>5</v>
      </c>
      <c r="E435" s="11"/>
      <c r="F435" s="34">
        <v>42154</v>
      </c>
      <c r="G435"/>
      <c r="H435"/>
      <c r="I435" s="32">
        <v>42158</v>
      </c>
      <c r="J435"/>
      <c r="K435" s="31"/>
      <c r="L435" s="30">
        <v>590.67999999999995</v>
      </c>
      <c r="M435" s="29"/>
      <c r="N435" s="28">
        <f>IF(OR(TableauCB[[#This Row],[Etat]]="",TableauCB[[#This Row],[Etat]]="c"),IF(TableauCB[[#This Row],[Solde]]="","",N434),N434-TableauCB[[#This Row],[Débit]]+TableauCB[[#This Row],[Crédit]])</f>
        <v>9442.6560000000045</v>
      </c>
      <c r="O435" s="27" t="e">
        <f>IF(TableauCB[[#This Row],[Etat]]="xc",O434-TableauCB[[#This Row],[Débit]]+TableauCB[[#This Row],[Crédit]],O434-TableauCB[[#This Row],[Débit]])</f>
        <v>#VALUE!</v>
      </c>
      <c r="P435" s="27">
        <f>IF(AND(ISBLANK(TableauCB[[#This Row],[Débit]]),ISBLANK(TableauCB[[#This Row],[Crédit]])),"",P434+TableauCB[[#This Row],[Crédit]]-TableauCB[[#This Row],[Débit]])</f>
        <v>8296.6560000000045</v>
      </c>
      <c r="Q435" s="26"/>
      <c r="R435" s="25">
        <f>SUM(M412:M435)-SUM(L412:L435)</f>
        <v>-1382.7100000000005</v>
      </c>
      <c r="S435" s="25">
        <f>R435/1.2</f>
        <v>-1152.2583333333339</v>
      </c>
      <c r="T435" s="11"/>
      <c r="U435" s="11"/>
      <c r="V435" s="56"/>
      <c r="W435" s="57"/>
      <c r="X435" s="56"/>
      <c r="Y435" s="7"/>
      <c r="Z435" s="7"/>
      <c r="AA435" s="55"/>
      <c r="AB435" s="54"/>
    </row>
    <row r="436" spans="2:28" ht="30" hidden="1" customHeight="1">
      <c r="B436" s="52" t="s">
        <v>67</v>
      </c>
      <c r="C436" s="11" t="s">
        <v>33</v>
      </c>
      <c r="D436" s="11" t="s">
        <v>17</v>
      </c>
      <c r="E436" s="11"/>
      <c r="F436" s="34">
        <v>42157</v>
      </c>
      <c r="G436"/>
      <c r="H436"/>
      <c r="I436" s="32"/>
      <c r="J436"/>
      <c r="K436" s="31"/>
      <c r="L436" s="30">
        <v>4.59</v>
      </c>
      <c r="M436" s="29"/>
      <c r="N436" s="28">
        <f>IF(OR(TableauCB[[#This Row],[Etat]]="",TableauCB[[#This Row],[Etat]]="c"),IF(TableauCB[[#This Row],[Solde]]="","",N435),N435-TableauCB[[#This Row],[Débit]]+TableauCB[[#This Row],[Crédit]])</f>
        <v>9438.0660000000044</v>
      </c>
      <c r="O436" s="27" t="e">
        <f>IF(TableauCB[[#This Row],[Etat]]="xc",O435-TableauCB[[#This Row],[Débit]]+TableauCB[[#This Row],[Crédit]],O435-TableauCB[[#This Row],[Débit]])</f>
        <v>#VALUE!</v>
      </c>
      <c r="P436" s="27">
        <f>IF(AND(ISBLANK(TableauCB[[#This Row],[Débit]]),ISBLANK(TableauCB[[#This Row],[Crédit]])),"",P435+TableauCB[[#This Row],[Crédit]]-TableauCB[[#This Row],[Débit]])</f>
        <v>8292.0660000000044</v>
      </c>
      <c r="Q436" s="26"/>
      <c r="R436" s="25"/>
      <c r="S436" s="25"/>
      <c r="T436" s="11"/>
      <c r="U436" s="11"/>
      <c r="V436" s="56"/>
      <c r="W436" s="57"/>
      <c r="X436" s="56"/>
      <c r="Y436" s="7"/>
      <c r="Z436" s="7"/>
      <c r="AA436" s="55"/>
      <c r="AB436" s="54"/>
    </row>
    <row r="437" spans="2:28" ht="30" hidden="1" customHeight="1">
      <c r="B437" s="46"/>
      <c r="C437" s="11" t="s">
        <v>33</v>
      </c>
      <c r="D437" s="11" t="s">
        <v>58</v>
      </c>
      <c r="E437" s="11"/>
      <c r="F437" s="34">
        <v>42158</v>
      </c>
      <c r="G437"/>
      <c r="H437"/>
      <c r="I437" s="32"/>
      <c r="J437"/>
      <c r="K437" s="31"/>
      <c r="L437" s="30">
        <v>56.75</v>
      </c>
      <c r="M437" s="29"/>
      <c r="N437" s="28">
        <f>IF(OR(TableauCB[[#This Row],[Etat]]="",TableauCB[[#This Row],[Etat]]="c"),IF(TableauCB[[#This Row],[Solde]]="","",N436),N436-TableauCB[[#This Row],[Débit]]+TableauCB[[#This Row],[Crédit]])</f>
        <v>9381.3160000000044</v>
      </c>
      <c r="O437" s="27" t="e">
        <f>IF(TableauCB[[#This Row],[Etat]]="xc",O436-TableauCB[[#This Row],[Débit]]+TableauCB[[#This Row],[Crédit]],O436-TableauCB[[#This Row],[Débit]])</f>
        <v>#VALUE!</v>
      </c>
      <c r="P437" s="27">
        <f>IF(AND(ISBLANK(TableauCB[[#This Row],[Débit]]),ISBLANK(TableauCB[[#This Row],[Crédit]])),"",P436+TableauCB[[#This Row],[Crédit]]-TableauCB[[#This Row],[Débit]])</f>
        <v>8235.3160000000044</v>
      </c>
      <c r="Q437" s="26"/>
      <c r="R437" s="25"/>
      <c r="S437" s="25"/>
      <c r="T437" s="11"/>
      <c r="U437" s="11"/>
      <c r="V437" s="56"/>
      <c r="W437" s="57"/>
      <c r="X437" s="56"/>
      <c r="Y437" s="7"/>
      <c r="Z437" s="7"/>
      <c r="AA437" s="55"/>
      <c r="AB437" s="54"/>
    </row>
    <row r="438" spans="2:28" ht="30" hidden="1" customHeight="1">
      <c r="B438" s="46"/>
      <c r="C438" s="11" t="s">
        <v>33</v>
      </c>
      <c r="D438" s="11" t="s">
        <v>9</v>
      </c>
      <c r="E438" s="11"/>
      <c r="F438" s="34">
        <v>42158</v>
      </c>
      <c r="G438"/>
      <c r="H438"/>
      <c r="I438" s="32"/>
      <c r="J438"/>
      <c r="K438" s="31"/>
      <c r="L438" s="30">
        <v>480</v>
      </c>
      <c r="M438" s="29"/>
      <c r="N438" s="28">
        <f>IF(OR(TableauCB[[#This Row],[Etat]]="",TableauCB[[#This Row],[Etat]]="c"),IF(TableauCB[[#This Row],[Solde]]="","",N437),N437-TableauCB[[#This Row],[Débit]]+TableauCB[[#This Row],[Crédit]])</f>
        <v>8901.3160000000044</v>
      </c>
      <c r="O438" s="27" t="e">
        <f>IF(TableauCB[[#This Row],[Etat]]="xc",O437-TableauCB[[#This Row],[Débit]]+TableauCB[[#This Row],[Crédit]],O437-TableauCB[[#This Row],[Débit]])</f>
        <v>#VALUE!</v>
      </c>
      <c r="P438" s="27">
        <f>IF(AND(ISBLANK(TableauCB[[#This Row],[Débit]]),ISBLANK(TableauCB[[#This Row],[Crédit]])),"",P437+TableauCB[[#This Row],[Crédit]]-TableauCB[[#This Row],[Débit]])</f>
        <v>7755.3160000000044</v>
      </c>
      <c r="Q438" s="26"/>
      <c r="R438" s="25"/>
      <c r="S438" s="25"/>
      <c r="T438" s="11"/>
      <c r="U438" s="11"/>
      <c r="V438" s="56"/>
      <c r="W438" s="57"/>
      <c r="X438" s="56"/>
      <c r="Y438" s="7"/>
      <c r="Z438" s="7"/>
      <c r="AA438" s="55"/>
      <c r="AB438" s="54"/>
    </row>
    <row r="439" spans="2:28" ht="30" hidden="1" customHeight="1">
      <c r="B439" s="46"/>
      <c r="C439" s="11" t="s">
        <v>33</v>
      </c>
      <c r="D439" s="11" t="s">
        <v>41</v>
      </c>
      <c r="E439" s="11"/>
      <c r="F439" s="34">
        <v>42159</v>
      </c>
      <c r="G439"/>
      <c r="H439"/>
      <c r="I439" s="32"/>
      <c r="J439"/>
      <c r="K439" s="31"/>
      <c r="L439" s="30">
        <v>97.86</v>
      </c>
      <c r="M439" s="29"/>
      <c r="N439" s="28">
        <f>IF(OR(TableauCB[[#This Row],[Etat]]="",TableauCB[[#This Row],[Etat]]="c"),IF(TableauCB[[#This Row],[Solde]]="","",N438),N438-TableauCB[[#This Row],[Débit]]+TableauCB[[#This Row],[Crédit]])</f>
        <v>8803.4560000000038</v>
      </c>
      <c r="O439" s="27" t="e">
        <f>IF(TableauCB[[#This Row],[Etat]]="xc",O438-TableauCB[[#This Row],[Débit]]+TableauCB[[#This Row],[Crédit]],O438-TableauCB[[#This Row],[Débit]])</f>
        <v>#VALUE!</v>
      </c>
      <c r="P439" s="27">
        <f>IF(AND(ISBLANK(TableauCB[[#This Row],[Débit]]),ISBLANK(TableauCB[[#This Row],[Crédit]])),"",P438+TableauCB[[#This Row],[Crédit]]-TableauCB[[#This Row],[Débit]])</f>
        <v>7657.4560000000047</v>
      </c>
      <c r="Q439" s="26"/>
      <c r="R439" s="25"/>
      <c r="S439" s="25"/>
      <c r="T439" s="11"/>
      <c r="U439" s="11"/>
      <c r="V439" s="56"/>
      <c r="W439" s="57"/>
      <c r="X439" s="56"/>
      <c r="Y439" s="7"/>
      <c r="Z439" s="7"/>
      <c r="AA439" s="55"/>
      <c r="AB439" s="54"/>
    </row>
    <row r="440" spans="2:28" ht="30" hidden="1" customHeight="1">
      <c r="B440" s="46"/>
      <c r="C440" s="11" t="s">
        <v>33</v>
      </c>
      <c r="D440" s="11" t="s">
        <v>21</v>
      </c>
      <c r="E440" s="11"/>
      <c r="F440" s="34">
        <v>42164</v>
      </c>
      <c r="G440"/>
      <c r="H440"/>
      <c r="I440" s="32"/>
      <c r="J440"/>
      <c r="K440" s="31"/>
      <c r="L440" s="30">
        <v>21.9</v>
      </c>
      <c r="M440" s="29"/>
      <c r="N440" s="28">
        <f>IF(OR(TableauCB[[#This Row],[Etat]]="",TableauCB[[#This Row],[Etat]]="c"),IF(TableauCB[[#This Row],[Solde]]="","",N439),N439-TableauCB[[#This Row],[Débit]]+TableauCB[[#This Row],[Crédit]])</f>
        <v>8781.5560000000041</v>
      </c>
      <c r="O440" s="27" t="e">
        <f>IF(TableauCB[[#This Row],[Etat]]="xc",O439-TableauCB[[#This Row],[Débit]]+TableauCB[[#This Row],[Crédit]],O439-TableauCB[[#This Row],[Débit]])</f>
        <v>#VALUE!</v>
      </c>
      <c r="P440" s="27">
        <f>IF(AND(ISBLANK(TableauCB[[#This Row],[Débit]]),ISBLANK(TableauCB[[#This Row],[Crédit]])),"",P439+TableauCB[[#This Row],[Crédit]]-TableauCB[[#This Row],[Débit]])</f>
        <v>7635.556000000005</v>
      </c>
      <c r="Q440" s="26"/>
      <c r="R440" s="25"/>
      <c r="S440" s="25"/>
      <c r="T440" s="11"/>
      <c r="U440" s="11"/>
      <c r="V440" s="56"/>
      <c r="W440" s="57"/>
      <c r="X440" s="56"/>
      <c r="Y440" s="7"/>
      <c r="Z440" s="7"/>
      <c r="AA440" s="55"/>
      <c r="AB440" s="54"/>
    </row>
    <row r="441" spans="2:28" ht="30" hidden="1" customHeight="1">
      <c r="B441" s="46"/>
      <c r="C441" s="11" t="s">
        <v>33</v>
      </c>
      <c r="D441" s="11" t="s">
        <v>15</v>
      </c>
      <c r="E441" s="11"/>
      <c r="F441" s="34">
        <v>42170</v>
      </c>
      <c r="G441"/>
      <c r="H441"/>
      <c r="I441" s="32"/>
      <c r="J441"/>
      <c r="K441" s="31"/>
      <c r="L441" s="30">
        <v>38</v>
      </c>
      <c r="M441" s="29"/>
      <c r="N441" s="28">
        <f>IF(OR(TableauCB[[#This Row],[Etat]]="",TableauCB[[#This Row],[Etat]]="c"),IF(TableauCB[[#This Row],[Solde]]="","",N440),N440-TableauCB[[#This Row],[Débit]]+TableauCB[[#This Row],[Crédit]])</f>
        <v>8743.5560000000041</v>
      </c>
      <c r="O441" s="27" t="e">
        <f>IF(TableauCB[[#This Row],[Etat]]="xc",O440-TableauCB[[#This Row],[Débit]]+TableauCB[[#This Row],[Crédit]],O440-TableauCB[[#This Row],[Débit]])</f>
        <v>#VALUE!</v>
      </c>
      <c r="P441" s="27">
        <f>IF(AND(ISBLANK(TableauCB[[#This Row],[Débit]]),ISBLANK(TableauCB[[#This Row],[Crédit]])),"",P440+TableauCB[[#This Row],[Crédit]]-TableauCB[[#This Row],[Débit]])</f>
        <v>7597.556000000005</v>
      </c>
      <c r="Q441" s="26"/>
      <c r="R441" s="25"/>
      <c r="S441" s="25"/>
      <c r="T441" s="11"/>
      <c r="U441" s="11"/>
      <c r="V441" s="56"/>
      <c r="W441" s="57"/>
      <c r="X441" s="56"/>
      <c r="Y441" s="7"/>
      <c r="Z441" s="7"/>
      <c r="AA441" s="55"/>
      <c r="AB441" s="54"/>
    </row>
    <row r="442" spans="2:28" ht="30" hidden="1" customHeight="1">
      <c r="B442" s="46"/>
      <c r="C442" s="11" t="s">
        <v>33</v>
      </c>
      <c r="D442" s="11" t="s">
        <v>30</v>
      </c>
      <c r="E442" s="11"/>
      <c r="F442" s="34">
        <v>42173</v>
      </c>
      <c r="G442"/>
      <c r="H442"/>
      <c r="I442" s="32"/>
      <c r="J442"/>
      <c r="K442" s="31"/>
      <c r="L442" s="30">
        <v>112.05</v>
      </c>
      <c r="M442" s="29"/>
      <c r="N442" s="28">
        <f>IF(OR(TableauCB[[#This Row],[Etat]]="",TableauCB[[#This Row],[Etat]]="c"),IF(TableauCB[[#This Row],[Solde]]="","",N441),N441-TableauCB[[#This Row],[Débit]]+TableauCB[[#This Row],[Crédit]])</f>
        <v>8631.5060000000049</v>
      </c>
      <c r="O442" s="27" t="e">
        <f>IF(TableauCB[[#This Row],[Etat]]="xc",O441-TableauCB[[#This Row],[Débit]]+TableauCB[[#This Row],[Crédit]],O441-TableauCB[[#This Row],[Débit]])</f>
        <v>#VALUE!</v>
      </c>
      <c r="P442" s="27">
        <f>IF(AND(ISBLANK(TableauCB[[#This Row],[Débit]]),ISBLANK(TableauCB[[#This Row],[Crédit]])),"",P441+TableauCB[[#This Row],[Crédit]]-TableauCB[[#This Row],[Débit]])</f>
        <v>7485.5060000000049</v>
      </c>
      <c r="Q442" s="26"/>
      <c r="R442" s="25"/>
      <c r="S442" s="25"/>
      <c r="T442" s="11"/>
      <c r="U442" s="11"/>
      <c r="V442" s="56"/>
      <c r="W442" s="57"/>
      <c r="X442" s="56"/>
      <c r="Y442" s="7"/>
      <c r="Z442" s="7"/>
      <c r="AA442" s="55"/>
      <c r="AB442" s="54"/>
    </row>
    <row r="443" spans="2:28" ht="30" hidden="1" customHeight="1">
      <c r="B443" s="46"/>
      <c r="C443" s="11" t="s">
        <v>33</v>
      </c>
      <c r="D443" s="11" t="s">
        <v>58</v>
      </c>
      <c r="E443" s="11"/>
      <c r="F443" s="34">
        <v>42175</v>
      </c>
      <c r="G443"/>
      <c r="H443"/>
      <c r="I443" s="32"/>
      <c r="J443"/>
      <c r="K443" s="31"/>
      <c r="L443" s="30">
        <v>62.55</v>
      </c>
      <c r="M443" s="29"/>
      <c r="N443" s="28">
        <f>IF(OR(TableauCB[[#This Row],[Etat]]="",TableauCB[[#This Row],[Etat]]="c"),IF(TableauCB[[#This Row],[Solde]]="","",N442),N442-TableauCB[[#This Row],[Débit]]+TableauCB[[#This Row],[Crédit]])</f>
        <v>8568.9560000000056</v>
      </c>
      <c r="O443" s="27" t="e">
        <f>IF(TableauCB[[#This Row],[Etat]]="xc",O442-TableauCB[[#This Row],[Débit]]+TableauCB[[#This Row],[Crédit]],O442-TableauCB[[#This Row],[Débit]])</f>
        <v>#VALUE!</v>
      </c>
      <c r="P443" s="27">
        <f>IF(AND(ISBLANK(TableauCB[[#This Row],[Débit]]),ISBLANK(TableauCB[[#This Row],[Crédit]])),"",P442+TableauCB[[#This Row],[Crédit]]-TableauCB[[#This Row],[Débit]])</f>
        <v>7422.9560000000047</v>
      </c>
      <c r="Q443" s="26"/>
      <c r="R443" s="25"/>
      <c r="S443" s="25"/>
      <c r="T443" s="11"/>
      <c r="U443" s="11"/>
      <c r="V443" s="56"/>
      <c r="W443" s="57"/>
      <c r="X443" s="56"/>
      <c r="Y443" s="7"/>
      <c r="Z443" s="7"/>
      <c r="AA443" s="55"/>
      <c r="AB443" s="54"/>
    </row>
    <row r="444" spans="2:28" ht="30" hidden="1" customHeight="1">
      <c r="B444" s="46"/>
      <c r="C444" s="11" t="s">
        <v>33</v>
      </c>
      <c r="D444" s="11" t="s">
        <v>17</v>
      </c>
      <c r="E444" s="11"/>
      <c r="F444" s="34">
        <v>42176</v>
      </c>
      <c r="G444"/>
      <c r="H444"/>
      <c r="I444" s="32"/>
      <c r="J444"/>
      <c r="K444" s="31"/>
      <c r="L444" s="30">
        <v>41.4</v>
      </c>
      <c r="M444" s="29"/>
      <c r="N444" s="28">
        <f>IF(OR(TableauCB[[#This Row],[Etat]]="",TableauCB[[#This Row],[Etat]]="c"),IF(TableauCB[[#This Row],[Solde]]="","",N443),N443-TableauCB[[#This Row],[Débit]]+TableauCB[[#This Row],[Crédit]])</f>
        <v>8527.556000000006</v>
      </c>
      <c r="O444" s="27" t="e">
        <f>IF(TableauCB[[#This Row],[Etat]]="xc",O443-TableauCB[[#This Row],[Débit]]+TableauCB[[#This Row],[Crédit]],O443-TableauCB[[#This Row],[Débit]])</f>
        <v>#VALUE!</v>
      </c>
      <c r="P444" s="27">
        <f>IF(AND(ISBLANK(TableauCB[[#This Row],[Débit]]),ISBLANK(TableauCB[[#This Row],[Crédit]])),"",P443+TableauCB[[#This Row],[Crédit]]-TableauCB[[#This Row],[Débit]])</f>
        <v>7381.556000000005</v>
      </c>
      <c r="Q444" s="26"/>
      <c r="R444" s="25"/>
      <c r="S444" s="25"/>
      <c r="T444" s="11"/>
      <c r="U444" s="11"/>
      <c r="V444" s="56"/>
      <c r="W444" s="57"/>
      <c r="X444" s="56"/>
      <c r="Y444" s="7"/>
      <c r="Z444" s="7"/>
      <c r="AA444" s="55"/>
      <c r="AB444" s="54"/>
    </row>
    <row r="445" spans="2:28" ht="30" hidden="1" customHeight="1">
      <c r="B445" s="46"/>
      <c r="C445" s="11" t="s">
        <v>33</v>
      </c>
      <c r="D445" s="11" t="s">
        <v>41</v>
      </c>
      <c r="E445" s="11"/>
      <c r="F445" s="34">
        <v>42182</v>
      </c>
      <c r="G445"/>
      <c r="H445"/>
      <c r="I445" s="32"/>
      <c r="J445"/>
      <c r="K445" s="31"/>
      <c r="L445" s="30">
        <v>37.5</v>
      </c>
      <c r="M445" s="29"/>
      <c r="N445" s="28">
        <f>IF(OR(TableauCB[[#This Row],[Etat]]="",TableauCB[[#This Row],[Etat]]="c"),IF(TableauCB[[#This Row],[Solde]]="","",N444),N444-TableauCB[[#This Row],[Débit]]+TableauCB[[#This Row],[Crédit]])</f>
        <v>8490.056000000006</v>
      </c>
      <c r="O445" s="27" t="e">
        <f>IF(TableauCB[[#This Row],[Etat]]="xc",O444-TableauCB[[#This Row],[Débit]]+TableauCB[[#This Row],[Crédit]],O444-TableauCB[[#This Row],[Débit]])</f>
        <v>#VALUE!</v>
      </c>
      <c r="P445" s="27">
        <f>IF(AND(ISBLANK(TableauCB[[#This Row],[Débit]]),ISBLANK(TableauCB[[#This Row],[Crédit]])),"",P444+TableauCB[[#This Row],[Crédit]]-TableauCB[[#This Row],[Débit]])</f>
        <v>7344.056000000005</v>
      </c>
      <c r="Q445" s="26"/>
      <c r="R445" s="25"/>
      <c r="S445" s="25"/>
      <c r="T445" s="11"/>
      <c r="U445" s="11"/>
      <c r="V445" s="56"/>
      <c r="W445" s="57"/>
      <c r="X445" s="56"/>
      <c r="Y445" s="7"/>
      <c r="Z445" s="7"/>
      <c r="AA445" s="55"/>
      <c r="AB445" s="54"/>
    </row>
    <row r="446" spans="2:28" ht="30" hidden="1" customHeight="1">
      <c r="B446" s="46"/>
      <c r="C446" s="11" t="s">
        <v>33</v>
      </c>
      <c r="D446" s="11" t="s">
        <v>11</v>
      </c>
      <c r="E446" s="11"/>
      <c r="F446" s="34">
        <v>42185</v>
      </c>
      <c r="G446"/>
      <c r="H446"/>
      <c r="I446" s="32">
        <v>42216</v>
      </c>
      <c r="J446"/>
      <c r="K446" s="31"/>
      <c r="L446" s="30"/>
      <c r="M446" s="29">
        <v>108</v>
      </c>
      <c r="N446" s="28">
        <f>IF(OR(TableauCB[[#This Row],[Etat]]="",TableauCB[[#This Row],[Etat]]="c"),IF(TableauCB[[#This Row],[Solde]]="","",N445),N445-TableauCB[[#This Row],[Débit]]+TableauCB[[#This Row],[Crédit]])</f>
        <v>8598.056000000006</v>
      </c>
      <c r="O446" s="27" t="e">
        <f>IF(TableauCB[[#This Row],[Etat]]="xc",O445-TableauCB[[#This Row],[Débit]]+TableauCB[[#This Row],[Crédit]],O445-TableauCB[[#This Row],[Débit]])</f>
        <v>#VALUE!</v>
      </c>
      <c r="P446" s="27">
        <f>IF(AND(ISBLANK(TableauCB[[#This Row],[Débit]]),ISBLANK(TableauCB[[#This Row],[Crédit]])),"",P445+TableauCB[[#This Row],[Crédit]]-TableauCB[[#This Row],[Débit]])</f>
        <v>7452.056000000005</v>
      </c>
      <c r="Q446" s="26"/>
      <c r="R446" s="25"/>
      <c r="S446" s="25"/>
      <c r="T446" s="11"/>
      <c r="U446" s="11"/>
      <c r="V446" s="56"/>
      <c r="W446" s="57"/>
      <c r="X446" s="56"/>
      <c r="Y446" s="7"/>
      <c r="Z446" s="7"/>
      <c r="AA446" s="55"/>
      <c r="AB446" s="54"/>
    </row>
    <row r="447" spans="2:28" ht="30" hidden="1" customHeight="1">
      <c r="B447" s="46"/>
      <c r="C447" s="11" t="s">
        <v>33</v>
      </c>
      <c r="D447" s="11" t="s">
        <v>11</v>
      </c>
      <c r="E447" s="11"/>
      <c r="F447" s="34">
        <v>42185</v>
      </c>
      <c r="G447"/>
      <c r="H447"/>
      <c r="I447" s="32">
        <v>42227</v>
      </c>
      <c r="J447"/>
      <c r="K447" s="31"/>
      <c r="L447" s="30"/>
      <c r="M447" s="29">
        <v>152.46</v>
      </c>
      <c r="N447" s="28">
        <f>IF(OR(TableauCB[[#This Row],[Etat]]="",TableauCB[[#This Row],[Etat]]="c"),IF(TableauCB[[#This Row],[Solde]]="","",N446),N446-TableauCB[[#This Row],[Débit]]+TableauCB[[#This Row],[Crédit]])</f>
        <v>8750.5160000000051</v>
      </c>
      <c r="O447" s="27" t="e">
        <f>IF(TableauCB[[#This Row],[Etat]]="xc",O446-TableauCB[[#This Row],[Débit]]+TableauCB[[#This Row],[Crédit]],O446-TableauCB[[#This Row],[Débit]])</f>
        <v>#VALUE!</v>
      </c>
      <c r="P447" s="27">
        <f>IF(AND(ISBLANK(TableauCB[[#This Row],[Débit]]),ISBLANK(TableauCB[[#This Row],[Crédit]])),"",P446+TableauCB[[#This Row],[Crédit]]-TableauCB[[#This Row],[Débit]])</f>
        <v>7604.5160000000051</v>
      </c>
      <c r="Q447" s="26"/>
      <c r="R447" s="25"/>
      <c r="S447" s="25"/>
      <c r="T447" s="11"/>
      <c r="U447" s="11"/>
      <c r="V447" s="56"/>
      <c r="W447" s="57"/>
      <c r="X447" s="56"/>
      <c r="Y447" s="7"/>
      <c r="Z447" s="7"/>
      <c r="AA447" s="55"/>
      <c r="AB447" s="54"/>
    </row>
    <row r="448" spans="2:28" ht="30" hidden="1" customHeight="1">
      <c r="B448" s="46"/>
      <c r="C448" s="11" t="s">
        <v>33</v>
      </c>
      <c r="D448" s="11" t="s">
        <v>11</v>
      </c>
      <c r="E448" s="11"/>
      <c r="F448" s="34">
        <v>42185</v>
      </c>
      <c r="G448"/>
      <c r="H448"/>
      <c r="I448" s="32">
        <v>42217</v>
      </c>
      <c r="J448"/>
      <c r="K448" s="31"/>
      <c r="L448" s="30"/>
      <c r="M448" s="29">
        <v>50.4</v>
      </c>
      <c r="N448" s="28">
        <f>IF(OR(TableauCB[[#This Row],[Etat]]="",TableauCB[[#This Row],[Etat]]="c"),IF(TableauCB[[#This Row],[Solde]]="","",N447),N447-TableauCB[[#This Row],[Débit]]+TableauCB[[#This Row],[Crédit]])</f>
        <v>8800.9160000000047</v>
      </c>
      <c r="O448" s="27" t="e">
        <f>IF(TableauCB[[#This Row],[Etat]]="xc",O447-TableauCB[[#This Row],[Débit]]+TableauCB[[#This Row],[Crédit]],O447-TableauCB[[#This Row],[Débit]])</f>
        <v>#VALUE!</v>
      </c>
      <c r="P448" s="27">
        <f>IF(AND(ISBLANK(TableauCB[[#This Row],[Débit]]),ISBLANK(TableauCB[[#This Row],[Crédit]])),"",P447+TableauCB[[#This Row],[Crédit]]-TableauCB[[#This Row],[Débit]])</f>
        <v>7654.9160000000047</v>
      </c>
      <c r="Q448" s="26"/>
      <c r="S448" s="41"/>
      <c r="T448" s="11"/>
      <c r="U448" s="11"/>
      <c r="V448" s="56"/>
      <c r="W448" s="57"/>
      <c r="X448" s="56"/>
      <c r="Y448" s="7"/>
      <c r="Z448" s="7"/>
      <c r="AA448" s="55"/>
      <c r="AB448" s="54"/>
    </row>
    <row r="449" spans="2:28" ht="30" hidden="1" customHeight="1">
      <c r="B449" s="46"/>
      <c r="C449" s="11" t="s">
        <v>33</v>
      </c>
      <c r="D449" s="11" t="s">
        <v>11</v>
      </c>
      <c r="E449" s="11"/>
      <c r="F449" s="34">
        <v>42185</v>
      </c>
      <c r="G449"/>
      <c r="H449"/>
      <c r="I449" s="32">
        <v>42230</v>
      </c>
      <c r="J449"/>
      <c r="K449" s="31"/>
      <c r="L449" s="30"/>
      <c r="M449" s="29">
        <v>151.80000000000001</v>
      </c>
      <c r="N449" s="28">
        <f>IF(OR(TableauCB[[#This Row],[Etat]]="",TableauCB[[#This Row],[Etat]]="c"),IF(TableauCB[[#This Row],[Solde]]="","",N448),N448-TableauCB[[#This Row],[Débit]]+TableauCB[[#This Row],[Crédit]])</f>
        <v>8952.716000000004</v>
      </c>
      <c r="O449" s="27" t="e">
        <f>IF(TableauCB[[#This Row],[Etat]]="xc",O448-TableauCB[[#This Row],[Débit]]+TableauCB[[#This Row],[Crédit]],O448-TableauCB[[#This Row],[Débit]])</f>
        <v>#VALUE!</v>
      </c>
      <c r="P449" s="27">
        <f>IF(AND(ISBLANK(TableauCB[[#This Row],[Débit]]),ISBLANK(TableauCB[[#This Row],[Crédit]])),"",P448+TableauCB[[#This Row],[Crédit]]-TableauCB[[#This Row],[Débit]])</f>
        <v>7806.7160000000049</v>
      </c>
      <c r="Q449" s="26"/>
      <c r="T449" s="24"/>
      <c r="U449" s="11"/>
      <c r="V449" s="56"/>
      <c r="W449" s="57"/>
      <c r="X449" s="56"/>
      <c r="Y449" s="7"/>
      <c r="Z449" s="7"/>
      <c r="AA449" s="55"/>
      <c r="AB449" s="54"/>
    </row>
    <row r="450" spans="2:28" ht="30" hidden="1" customHeight="1">
      <c r="B450" s="46"/>
      <c r="C450" s="11" t="s">
        <v>33</v>
      </c>
      <c r="D450" s="11" t="s">
        <v>11</v>
      </c>
      <c r="E450" s="11"/>
      <c r="F450" s="34">
        <v>42185</v>
      </c>
      <c r="G450"/>
      <c r="H450"/>
      <c r="I450" s="32">
        <v>42208</v>
      </c>
      <c r="J450"/>
      <c r="K450" s="31"/>
      <c r="L450" s="30"/>
      <c r="M450" s="29">
        <v>522</v>
      </c>
      <c r="N450" s="28">
        <f>IF(OR(TableauCB[[#This Row],[Etat]]="",TableauCB[[#This Row],[Etat]]="c"),IF(TableauCB[[#This Row],[Solde]]="","",N449),N449-TableauCB[[#This Row],[Débit]]+TableauCB[[#This Row],[Crédit]])</f>
        <v>9474.716000000004</v>
      </c>
      <c r="O450" s="27" t="e">
        <f>IF(TableauCB[[#This Row],[Etat]]="xc",O449-TableauCB[[#This Row],[Débit]]+TableauCB[[#This Row],[Crédit]],O449-TableauCB[[#This Row],[Débit]])</f>
        <v>#VALUE!</v>
      </c>
      <c r="P450" s="27">
        <f>IF(AND(ISBLANK(TableauCB[[#This Row],[Débit]]),ISBLANK(TableauCB[[#This Row],[Crédit]])),"",P449+TableauCB[[#This Row],[Crédit]]-TableauCB[[#This Row],[Débit]])</f>
        <v>8328.716000000004</v>
      </c>
      <c r="Q450" s="26"/>
      <c r="R450" s="25"/>
      <c r="S450" s="25"/>
      <c r="T450" s="11"/>
      <c r="U450" s="11"/>
      <c r="V450" s="56"/>
      <c r="W450" s="57"/>
      <c r="X450" s="56"/>
      <c r="Y450" s="7"/>
      <c r="Z450" s="7"/>
      <c r="AA450" s="55"/>
      <c r="AB450" s="54"/>
    </row>
    <row r="451" spans="2:28" ht="30" hidden="1" customHeight="1">
      <c r="B451" s="46"/>
      <c r="C451" s="11" t="s">
        <v>33</v>
      </c>
      <c r="D451" s="11" t="s">
        <v>11</v>
      </c>
      <c r="E451" s="11"/>
      <c r="F451" s="34">
        <v>42185</v>
      </c>
      <c r="G451"/>
      <c r="H451"/>
      <c r="I451" s="32">
        <v>42220</v>
      </c>
      <c r="J451"/>
      <c r="K451" s="31"/>
      <c r="L451" s="30"/>
      <c r="M451" s="29">
        <v>207.36</v>
      </c>
      <c r="N451" s="28">
        <f>IF(OR(TableauCB[[#This Row],[Etat]]="",TableauCB[[#This Row],[Etat]]="c"),IF(TableauCB[[#This Row],[Solde]]="","",N450),N450-TableauCB[[#This Row],[Débit]]+TableauCB[[#This Row],[Crédit]])</f>
        <v>9682.0760000000046</v>
      </c>
      <c r="O451" s="27" t="e">
        <f>IF(TableauCB[[#This Row],[Etat]]="xc",O450-TableauCB[[#This Row],[Débit]]+TableauCB[[#This Row],[Crédit]],O450-TableauCB[[#This Row],[Débit]])</f>
        <v>#VALUE!</v>
      </c>
      <c r="P451" s="27">
        <f>IF(AND(ISBLANK(TableauCB[[#This Row],[Débit]]),ISBLANK(TableauCB[[#This Row],[Crédit]])),"",P450+TableauCB[[#This Row],[Crédit]]-TableauCB[[#This Row],[Débit]])</f>
        <v>8536.0760000000046</v>
      </c>
      <c r="Q451" s="26"/>
      <c r="R451" s="25"/>
      <c r="S451" s="25"/>
      <c r="T451" s="11"/>
      <c r="U451" s="11"/>
      <c r="V451" s="56"/>
      <c r="W451" s="57"/>
      <c r="X451" s="56"/>
      <c r="Y451" s="7"/>
      <c r="Z451" s="7"/>
      <c r="AA451" s="55"/>
      <c r="AB451" s="54"/>
    </row>
    <row r="452" spans="2:28" ht="30" hidden="1" customHeight="1">
      <c r="B452" s="46"/>
      <c r="C452" s="11" t="s">
        <v>33</v>
      </c>
      <c r="D452" s="11" t="s">
        <v>11</v>
      </c>
      <c r="E452" s="11"/>
      <c r="F452" s="34">
        <v>42185</v>
      </c>
      <c r="G452"/>
      <c r="H452"/>
      <c r="I452" s="32">
        <v>42234</v>
      </c>
      <c r="J452"/>
      <c r="K452" s="31"/>
      <c r="L452" s="30"/>
      <c r="M452" s="29">
        <v>624</v>
      </c>
      <c r="N452" s="28">
        <f>IF(OR(TableauCB[[#This Row],[Etat]]="",TableauCB[[#This Row],[Etat]]="c"),IF(TableauCB[[#This Row],[Solde]]="","",N451),N451-TableauCB[[#This Row],[Débit]]+TableauCB[[#This Row],[Crédit]])</f>
        <v>10306.076000000005</v>
      </c>
      <c r="O452" s="27" t="e">
        <f>IF(TableauCB[[#This Row],[Etat]]="xc",O451-TableauCB[[#This Row],[Débit]]+TableauCB[[#This Row],[Crédit]],O451-TableauCB[[#This Row],[Débit]])</f>
        <v>#VALUE!</v>
      </c>
      <c r="P452" s="27">
        <f>IF(AND(ISBLANK(TableauCB[[#This Row],[Débit]]),ISBLANK(TableauCB[[#This Row],[Crédit]])),"",P451+TableauCB[[#This Row],[Crédit]]-TableauCB[[#This Row],[Débit]])</f>
        <v>9160.0760000000046</v>
      </c>
      <c r="Q452" s="26"/>
      <c r="R452" s="25"/>
      <c r="S452" s="25"/>
      <c r="T452" s="11"/>
      <c r="U452" s="11"/>
      <c r="V452" s="56"/>
      <c r="W452" s="57"/>
      <c r="X452" s="56"/>
      <c r="Y452" s="7"/>
      <c r="Z452" s="7"/>
      <c r="AA452" s="55"/>
      <c r="AB452" s="54"/>
    </row>
    <row r="453" spans="2:28" ht="30" hidden="1" customHeight="1">
      <c r="B453" s="46"/>
      <c r="C453" s="11" t="s">
        <v>33</v>
      </c>
      <c r="D453" s="11" t="s">
        <v>11</v>
      </c>
      <c r="E453" s="11"/>
      <c r="F453" s="34">
        <v>42185</v>
      </c>
      <c r="G453"/>
      <c r="H453"/>
      <c r="I453" s="32">
        <v>42204</v>
      </c>
      <c r="J453"/>
      <c r="K453" s="31"/>
      <c r="L453" s="30"/>
      <c r="M453" s="29">
        <v>115.2</v>
      </c>
      <c r="N453" s="28">
        <f>IF(OR(TableauCB[[#This Row],[Etat]]="",TableauCB[[#This Row],[Etat]]="c"),IF(TableauCB[[#This Row],[Solde]]="","",N452),N452-TableauCB[[#This Row],[Débit]]+TableauCB[[#This Row],[Crédit]])</f>
        <v>10421.276000000005</v>
      </c>
      <c r="O453" s="27" t="e">
        <f>IF(TableauCB[[#This Row],[Etat]]="xc",O452-TableauCB[[#This Row],[Débit]]+TableauCB[[#This Row],[Crédit]],O452-TableauCB[[#This Row],[Débit]])</f>
        <v>#VALUE!</v>
      </c>
      <c r="P453" s="27">
        <f>IF(AND(ISBLANK(TableauCB[[#This Row],[Débit]]),ISBLANK(TableauCB[[#This Row],[Crédit]])),"",P452+TableauCB[[#This Row],[Crédit]]-TableauCB[[#This Row],[Débit]])</f>
        <v>9275.2760000000053</v>
      </c>
      <c r="Q453" s="26"/>
      <c r="T453" s="11"/>
      <c r="U453" s="11"/>
      <c r="V453" s="56"/>
      <c r="W453" s="57"/>
      <c r="X453" s="56"/>
      <c r="Y453" s="7"/>
      <c r="Z453" s="7"/>
      <c r="AA453" s="55"/>
      <c r="AB453" s="54"/>
    </row>
    <row r="454" spans="2:28" ht="30" hidden="1" customHeight="1">
      <c r="B454" s="46"/>
      <c r="C454" s="11" t="s">
        <v>33</v>
      </c>
      <c r="D454" s="11" t="s">
        <v>11</v>
      </c>
      <c r="E454" s="11"/>
      <c r="F454" s="34">
        <v>42185</v>
      </c>
      <c r="G454"/>
      <c r="H454"/>
      <c r="I454" s="32">
        <v>42193</v>
      </c>
      <c r="J454"/>
      <c r="K454" s="31"/>
      <c r="L454" s="30"/>
      <c r="M454" s="29">
        <v>192</v>
      </c>
      <c r="N454" s="28">
        <f>IF(OR(TableauCB[[#This Row],[Etat]]="",TableauCB[[#This Row],[Etat]]="c"),IF(TableauCB[[#This Row],[Solde]]="","",N453),N453-TableauCB[[#This Row],[Débit]]+TableauCB[[#This Row],[Crédit]])</f>
        <v>10613.276000000005</v>
      </c>
      <c r="O454" s="27" t="e">
        <f>IF(TableauCB[[#This Row],[Etat]]="xc",O453-TableauCB[[#This Row],[Débit]]+TableauCB[[#This Row],[Crédit]],O453-TableauCB[[#This Row],[Débit]])</f>
        <v>#VALUE!</v>
      </c>
      <c r="P454" s="27">
        <f>IF(AND(ISBLANK(TableauCB[[#This Row],[Débit]]),ISBLANK(TableauCB[[#This Row],[Crédit]])),"",P453+TableauCB[[#This Row],[Crédit]]-TableauCB[[#This Row],[Débit]])</f>
        <v>9467.2760000000053</v>
      </c>
      <c r="Q454" s="26"/>
      <c r="T454" s="37" t="s">
        <v>66</v>
      </c>
      <c r="U454" s="37"/>
      <c r="V454" s="56"/>
      <c r="W454" s="57"/>
      <c r="X454" s="56"/>
      <c r="Y454" s="7"/>
      <c r="Z454" s="7"/>
      <c r="AA454" s="55"/>
      <c r="AB454" s="54"/>
    </row>
    <row r="455" spans="2:28" ht="30" hidden="1" customHeight="1" thickBot="1">
      <c r="B455" s="46"/>
      <c r="C455" s="11" t="s">
        <v>33</v>
      </c>
      <c r="D455" s="11" t="s">
        <v>9</v>
      </c>
      <c r="E455" s="11"/>
      <c r="F455" s="34">
        <v>42185</v>
      </c>
      <c r="G455"/>
      <c r="H455"/>
      <c r="I455" s="32"/>
      <c r="J455"/>
      <c r="K455" s="31"/>
      <c r="L455" s="30">
        <v>240</v>
      </c>
      <c r="M455" s="29"/>
      <c r="N455" s="28">
        <f>IF(OR(TableauCB[[#This Row],[Etat]]="",TableauCB[[#This Row],[Etat]]="c"),IF(TableauCB[[#This Row],[Solde]]="","",N454),N454-TableauCB[[#This Row],[Débit]]+TableauCB[[#This Row],[Crédit]])</f>
        <v>10373.276000000005</v>
      </c>
      <c r="O455" s="27" t="e">
        <f>IF(TableauCB[[#This Row],[Etat]]="xc",O454-TableauCB[[#This Row],[Débit]]+TableauCB[[#This Row],[Crédit]],O454-TableauCB[[#This Row],[Débit]])</f>
        <v>#VALUE!</v>
      </c>
      <c r="P455" s="27">
        <f>IF(AND(ISBLANK(TableauCB[[#This Row],[Débit]]),ISBLANK(TableauCB[[#This Row],[Crédit]])),"",P454+TableauCB[[#This Row],[Crédit]]-TableauCB[[#This Row],[Débit]])</f>
        <v>9227.2760000000053</v>
      </c>
      <c r="Q455" s="26"/>
      <c r="R455" s="47" t="s">
        <v>54</v>
      </c>
      <c r="S455" s="47" t="s">
        <v>53</v>
      </c>
      <c r="T455" s="48" t="s">
        <v>54</v>
      </c>
      <c r="U455" s="47" t="s">
        <v>53</v>
      </c>
      <c r="V455" s="56"/>
      <c r="W455" s="57"/>
      <c r="X455" s="56"/>
      <c r="Y455" s="7"/>
      <c r="Z455" s="7"/>
      <c r="AA455" s="55"/>
      <c r="AB455" s="54"/>
    </row>
    <row r="456" spans="2:28" ht="30" hidden="1" customHeight="1" thickBot="1">
      <c r="B456" s="53"/>
      <c r="C456" s="11" t="s">
        <v>33</v>
      </c>
      <c r="D456" s="11" t="s">
        <v>5</v>
      </c>
      <c r="E456" s="11"/>
      <c r="F456" s="34">
        <v>42185</v>
      </c>
      <c r="G456"/>
      <c r="H456"/>
      <c r="I456" s="32"/>
      <c r="J456"/>
      <c r="K456" s="31"/>
      <c r="L456" s="30">
        <v>711.02</v>
      </c>
      <c r="M456" s="29"/>
      <c r="N456" s="28">
        <f>IF(OR(TableauCB[[#This Row],[Etat]]="",TableauCB[[#This Row],[Etat]]="c"),IF(TableauCB[[#This Row],[Solde]]="","",N455),N455-TableauCB[[#This Row],[Débit]]+TableauCB[[#This Row],[Crédit]])</f>
        <v>9662.2560000000049</v>
      </c>
      <c r="O456" s="27" t="e">
        <f>IF(TableauCB[[#This Row],[Etat]]="xc",O455-TableauCB[[#This Row],[Débit]]+TableauCB[[#This Row],[Crédit]],O455-TableauCB[[#This Row],[Débit]])</f>
        <v>#VALUE!</v>
      </c>
      <c r="P456" s="27">
        <f>IF(AND(ISBLANK(TableauCB[[#This Row],[Débit]]),ISBLANK(TableauCB[[#This Row],[Crédit]])),"",P455+TableauCB[[#This Row],[Crédit]]-TableauCB[[#This Row],[Débit]])</f>
        <v>8516.2560000000049</v>
      </c>
      <c r="Q456" s="26"/>
      <c r="R456" s="25">
        <f>SUM(M436:M456)-SUM(L436:L456)</f>
        <v>219.60000000000036</v>
      </c>
      <c r="S456" s="25">
        <f>R456/1.2</f>
        <v>183.00000000000031</v>
      </c>
      <c r="T456" s="45">
        <f>TTCJUIN2015+TTCA2015+R435</f>
        <v>-2090.8600000000006</v>
      </c>
      <c r="U456" s="44">
        <f>HTJUIN2015+S435+HTAVRIL2015</f>
        <v>-1742.3833333333341</v>
      </c>
      <c r="V456" s="9"/>
      <c r="W456" s="2"/>
      <c r="X456" s="9"/>
      <c r="Y456" s="8"/>
      <c r="Z456" s="7"/>
      <c r="AA456" s="7"/>
      <c r="AB456" s="6"/>
    </row>
    <row r="457" spans="2:28" ht="30" hidden="1" customHeight="1">
      <c r="B457" s="52" t="s">
        <v>65</v>
      </c>
      <c r="C457" s="11" t="s">
        <v>33</v>
      </c>
      <c r="D457" s="11" t="s">
        <v>21</v>
      </c>
      <c r="E457" s="11"/>
      <c r="F457" s="34">
        <v>42186</v>
      </c>
      <c r="G457"/>
      <c r="H457"/>
      <c r="I457" s="32"/>
      <c r="J457"/>
      <c r="K457" s="31"/>
      <c r="L457" s="30">
        <v>6.98</v>
      </c>
      <c r="M457" s="29"/>
      <c r="N457" s="28">
        <f>IF(OR(TableauCB[[#This Row],[Etat]]="",TableauCB[[#This Row],[Etat]]="c"),IF(TableauCB[[#This Row],[Solde]]="","",N456),N456-TableauCB[[#This Row],[Débit]]+TableauCB[[#This Row],[Crédit]])</f>
        <v>9655.2760000000053</v>
      </c>
      <c r="O457" s="27" t="e">
        <f>IF(TableauCB[[#This Row],[Etat]]="xc",O456-TableauCB[[#This Row],[Débit]]+TableauCB[[#This Row],[Crédit]],O456-TableauCB[[#This Row],[Débit]])</f>
        <v>#VALUE!</v>
      </c>
      <c r="P457" s="27">
        <f>IF(AND(ISBLANK(TableauCB[[#This Row],[Débit]]),ISBLANK(TableauCB[[#This Row],[Crédit]])),"",P456+TableauCB[[#This Row],[Crédit]]-TableauCB[[#This Row],[Débit]])</f>
        <v>8509.2760000000053</v>
      </c>
      <c r="Q457" s="26"/>
      <c r="T457" s="10"/>
      <c r="U457" s="10"/>
      <c r="V457" s="9"/>
      <c r="W457" s="2"/>
      <c r="X457" s="9"/>
      <c r="Y457" s="8"/>
      <c r="Z457" s="7"/>
      <c r="AA457" s="7"/>
      <c r="AB457" s="6"/>
    </row>
    <row r="458" spans="2:28" ht="30" hidden="1" customHeight="1">
      <c r="B458" s="46"/>
      <c r="C458" s="11" t="s">
        <v>33</v>
      </c>
      <c r="D458" s="11" t="s">
        <v>17</v>
      </c>
      <c r="E458" s="11"/>
      <c r="F458" s="34">
        <v>42187</v>
      </c>
      <c r="G458"/>
      <c r="H458"/>
      <c r="I458" s="32"/>
      <c r="J458"/>
      <c r="K458" s="31"/>
      <c r="L458" s="30">
        <v>0.92</v>
      </c>
      <c r="M458" s="29"/>
      <c r="N458" s="28">
        <f>IF(OR(TableauCB[[#This Row],[Etat]]="",TableauCB[[#This Row],[Etat]]="c"),IF(TableauCB[[#This Row],[Solde]]="","",N457),N457-TableauCB[[#This Row],[Débit]]+TableauCB[[#This Row],[Crédit]])</f>
        <v>9654.3560000000052</v>
      </c>
      <c r="O458" s="27" t="e">
        <f>IF(TableauCB[[#This Row],[Etat]]="xc",O457-TableauCB[[#This Row],[Débit]]+TableauCB[[#This Row],[Crédit]],O457-TableauCB[[#This Row],[Débit]])</f>
        <v>#VALUE!</v>
      </c>
      <c r="P458" s="27">
        <f>IF(AND(ISBLANK(TableauCB[[#This Row],[Débit]]),ISBLANK(TableauCB[[#This Row],[Crédit]])),"",P457+TableauCB[[#This Row],[Crédit]]-TableauCB[[#This Row],[Débit]])</f>
        <v>8508.3560000000052</v>
      </c>
      <c r="Q458" s="26"/>
      <c r="T458" s="10"/>
      <c r="U458" s="10"/>
      <c r="V458" s="9"/>
      <c r="W458" s="2"/>
      <c r="X458" s="9"/>
      <c r="Y458" s="8"/>
      <c r="Z458" s="7"/>
      <c r="AA458" s="7"/>
      <c r="AB458" s="6"/>
    </row>
    <row r="459" spans="2:28" ht="30" hidden="1" customHeight="1">
      <c r="B459" s="46"/>
      <c r="C459" s="11" t="s">
        <v>33</v>
      </c>
      <c r="D459" s="11" t="s">
        <v>41</v>
      </c>
      <c r="E459" s="11"/>
      <c r="F459" s="34">
        <v>42189</v>
      </c>
      <c r="G459"/>
      <c r="H459"/>
      <c r="I459" s="32"/>
      <c r="J459"/>
      <c r="K459" s="31"/>
      <c r="L459" s="30">
        <v>22.78</v>
      </c>
      <c r="M459" s="29"/>
      <c r="N459" s="28">
        <f>IF(OR(TableauCB[[#This Row],[Etat]]="",TableauCB[[#This Row],[Etat]]="c"),IF(TableauCB[[#This Row],[Solde]]="","",N458),N458-TableauCB[[#This Row],[Débit]]+TableauCB[[#This Row],[Crédit]])</f>
        <v>9631.5760000000046</v>
      </c>
      <c r="O459" s="27" t="e">
        <f>IF(TableauCB[[#This Row],[Etat]]="xc",O458-TableauCB[[#This Row],[Débit]]+TableauCB[[#This Row],[Crédit]],O458-TableauCB[[#This Row],[Débit]])</f>
        <v>#VALUE!</v>
      </c>
      <c r="P459" s="27">
        <f>IF(AND(ISBLANK(TableauCB[[#This Row],[Débit]]),ISBLANK(TableauCB[[#This Row],[Crédit]])),"",P458+TableauCB[[#This Row],[Crédit]]-TableauCB[[#This Row],[Débit]])</f>
        <v>8485.5760000000046</v>
      </c>
      <c r="Q459" s="26"/>
      <c r="T459" s="10"/>
      <c r="U459" s="10"/>
      <c r="V459" s="9"/>
      <c r="W459" s="2"/>
      <c r="X459" s="9"/>
      <c r="Y459" s="8"/>
      <c r="Z459" s="7"/>
      <c r="AA459" s="7"/>
      <c r="AB459" s="6"/>
    </row>
    <row r="460" spans="2:28" ht="30" hidden="1" customHeight="1">
      <c r="B460" s="46"/>
      <c r="C460" s="11" t="s">
        <v>33</v>
      </c>
      <c r="D460" s="11" t="s">
        <v>21</v>
      </c>
      <c r="E460" s="11"/>
      <c r="F460" s="34">
        <v>42194</v>
      </c>
      <c r="G460"/>
      <c r="H460"/>
      <c r="I460" s="32"/>
      <c r="J460"/>
      <c r="K460" s="31"/>
      <c r="L460" s="30">
        <v>21.9</v>
      </c>
      <c r="M460" s="29"/>
      <c r="N460" s="28">
        <f>IF(OR(TableauCB[[#This Row],[Etat]]="",TableauCB[[#This Row],[Etat]]="c"),IF(TableauCB[[#This Row],[Solde]]="","",N459),N459-TableauCB[[#This Row],[Débit]]+TableauCB[[#This Row],[Crédit]])</f>
        <v>9609.6760000000049</v>
      </c>
      <c r="O460" s="27" t="e">
        <f>IF(TableauCB[[#This Row],[Etat]]="xc",O459-TableauCB[[#This Row],[Débit]]+TableauCB[[#This Row],[Crédit]],O459-TableauCB[[#This Row],[Débit]])</f>
        <v>#VALUE!</v>
      </c>
      <c r="P460" s="27">
        <f>IF(AND(ISBLANK(TableauCB[[#This Row],[Débit]]),ISBLANK(TableauCB[[#This Row],[Crédit]])),"",P459+TableauCB[[#This Row],[Crédit]]-TableauCB[[#This Row],[Débit]])</f>
        <v>8463.6760000000049</v>
      </c>
      <c r="Q460" s="26"/>
      <c r="T460" s="10"/>
      <c r="U460" s="10"/>
      <c r="V460" s="9"/>
      <c r="W460" s="2"/>
      <c r="X460" s="9"/>
      <c r="Y460" s="8"/>
      <c r="Z460" s="7"/>
      <c r="AA460" s="7"/>
      <c r="AB460" s="6"/>
    </row>
    <row r="461" spans="2:28" ht="30" hidden="1" customHeight="1">
      <c r="B461" s="46"/>
      <c r="C461" s="11" t="s">
        <v>33</v>
      </c>
      <c r="D461" s="11" t="s">
        <v>58</v>
      </c>
      <c r="E461" s="11"/>
      <c r="F461" s="34">
        <v>42194</v>
      </c>
      <c r="G461"/>
      <c r="H461"/>
      <c r="I461" s="32"/>
      <c r="J461"/>
      <c r="K461" s="31"/>
      <c r="L461" s="30">
        <v>64</v>
      </c>
      <c r="M461" s="29"/>
      <c r="N461" s="28">
        <f>IF(OR(TableauCB[[#This Row],[Etat]]="",TableauCB[[#This Row],[Etat]]="c"),IF(TableauCB[[#This Row],[Solde]]="","",N460),N460-TableauCB[[#This Row],[Débit]]+TableauCB[[#This Row],[Crédit]])</f>
        <v>9545.6760000000049</v>
      </c>
      <c r="O461" s="27" t="e">
        <f>IF(TableauCB[[#This Row],[Etat]]="xc",O460-TableauCB[[#This Row],[Débit]]+TableauCB[[#This Row],[Crédit]],O460-TableauCB[[#This Row],[Débit]])</f>
        <v>#VALUE!</v>
      </c>
      <c r="P461" s="27">
        <f>IF(AND(ISBLANK(TableauCB[[#This Row],[Débit]]),ISBLANK(TableauCB[[#This Row],[Crédit]])),"",P460+TableauCB[[#This Row],[Crédit]]-TableauCB[[#This Row],[Débit]])</f>
        <v>8399.6760000000049</v>
      </c>
      <c r="Q461" s="26"/>
      <c r="T461" s="10"/>
      <c r="U461" s="10"/>
      <c r="V461" s="9"/>
      <c r="W461" s="2"/>
      <c r="X461" s="9"/>
      <c r="Y461" s="8"/>
      <c r="Z461" s="7"/>
      <c r="AA461" s="7"/>
      <c r="AB461" s="6"/>
    </row>
    <row r="462" spans="2:28" ht="30" hidden="1" customHeight="1">
      <c r="B462" s="46"/>
      <c r="C462" s="11" t="s">
        <v>33</v>
      </c>
      <c r="D462" s="11" t="s">
        <v>5</v>
      </c>
      <c r="E462" s="11"/>
      <c r="F462" s="34">
        <v>42196</v>
      </c>
      <c r="G462"/>
      <c r="H462"/>
      <c r="I462" s="32">
        <v>42196</v>
      </c>
      <c r="J462"/>
      <c r="K462" s="31"/>
      <c r="L462" s="30">
        <f>163.61*2</f>
        <v>327.22000000000003</v>
      </c>
      <c r="M462" s="29"/>
      <c r="N462" s="28">
        <f>IF(OR(TableauCB[[#This Row],[Etat]]="",TableauCB[[#This Row],[Etat]]="c"),IF(TableauCB[[#This Row],[Solde]]="","",N461),N461-TableauCB[[#This Row],[Débit]]+TableauCB[[#This Row],[Crédit]])</f>
        <v>9218.4560000000056</v>
      </c>
      <c r="O462" s="27" t="e">
        <f>IF(TableauCB[[#This Row],[Etat]]="xc",O461-TableauCB[[#This Row],[Débit]]+TableauCB[[#This Row],[Crédit]],O461-TableauCB[[#This Row],[Débit]])</f>
        <v>#VALUE!</v>
      </c>
      <c r="P462" s="27">
        <f>IF(AND(ISBLANK(TableauCB[[#This Row],[Débit]]),ISBLANK(TableauCB[[#This Row],[Crédit]])),"",P461+TableauCB[[#This Row],[Crédit]]-TableauCB[[#This Row],[Débit]])</f>
        <v>8072.4560000000047</v>
      </c>
      <c r="Q462" s="26"/>
      <c r="T462" s="10"/>
      <c r="U462" s="10"/>
      <c r="V462" s="9"/>
      <c r="W462" s="2"/>
      <c r="X462" s="9"/>
      <c r="Y462" s="8"/>
      <c r="Z462" s="7"/>
      <c r="AA462" s="7"/>
      <c r="AB462" s="6"/>
    </row>
    <row r="463" spans="2:28" ht="30" hidden="1" customHeight="1">
      <c r="B463" s="46"/>
      <c r="C463" s="11" t="s">
        <v>33</v>
      </c>
      <c r="D463" s="11" t="s">
        <v>15</v>
      </c>
      <c r="E463" s="11"/>
      <c r="F463" s="34">
        <v>42198</v>
      </c>
      <c r="G463"/>
      <c r="H463"/>
      <c r="I463" s="32"/>
      <c r="J463"/>
      <c r="K463" s="31"/>
      <c r="L463" s="30">
        <v>38</v>
      </c>
      <c r="M463" s="29"/>
      <c r="N463" s="28">
        <f>IF(OR(TableauCB[[#This Row],[Etat]]="",TableauCB[[#This Row],[Etat]]="c"),IF(TableauCB[[#This Row],[Solde]]="","",N462),N462-TableauCB[[#This Row],[Débit]]+TableauCB[[#This Row],[Crédit]])</f>
        <v>9180.4560000000056</v>
      </c>
      <c r="O463" s="27" t="e">
        <f>IF(TableauCB[[#This Row],[Etat]]="xc",O462-TableauCB[[#This Row],[Débit]]+TableauCB[[#This Row],[Crédit]],O462-TableauCB[[#This Row],[Débit]])</f>
        <v>#VALUE!</v>
      </c>
      <c r="P463" s="27">
        <f>IF(AND(ISBLANK(TableauCB[[#This Row],[Débit]]),ISBLANK(TableauCB[[#This Row],[Crédit]])),"",P462+TableauCB[[#This Row],[Crédit]]-TableauCB[[#This Row],[Débit]])</f>
        <v>8034.4560000000047</v>
      </c>
      <c r="Q463" s="26"/>
      <c r="T463" s="10"/>
      <c r="U463" s="10"/>
      <c r="V463" s="9"/>
      <c r="W463" s="2"/>
      <c r="X463" s="9"/>
      <c r="Y463" s="8"/>
      <c r="Z463" s="7"/>
      <c r="AA463" s="7"/>
      <c r="AB463" s="6"/>
    </row>
    <row r="464" spans="2:28" ht="30" hidden="1" customHeight="1">
      <c r="B464" s="46"/>
      <c r="C464" s="11" t="s">
        <v>33</v>
      </c>
      <c r="D464" s="11" t="s">
        <v>15</v>
      </c>
      <c r="E464" s="11"/>
      <c r="F464" s="34">
        <v>42198</v>
      </c>
      <c r="G464"/>
      <c r="H464"/>
      <c r="I464" s="32">
        <v>42200</v>
      </c>
      <c r="J464"/>
      <c r="K464" s="31"/>
      <c r="L464" s="30">
        <v>10</v>
      </c>
      <c r="M464" s="29"/>
      <c r="N464" s="28">
        <f>IF(OR(TableauCB[[#This Row],[Etat]]="",TableauCB[[#This Row],[Etat]]="c"),IF(TableauCB[[#This Row],[Solde]]="","",N463),N463-TableauCB[[#This Row],[Débit]]+TableauCB[[#This Row],[Crédit]])</f>
        <v>9170.4560000000056</v>
      </c>
      <c r="O464" s="27" t="e">
        <f>IF(TableauCB[[#This Row],[Etat]]="xc",O463-TableauCB[[#This Row],[Débit]]+TableauCB[[#This Row],[Crédit]],O463-TableauCB[[#This Row],[Débit]])</f>
        <v>#VALUE!</v>
      </c>
      <c r="P464" s="27">
        <f>IF(AND(ISBLANK(TableauCB[[#This Row],[Débit]]),ISBLANK(TableauCB[[#This Row],[Crédit]])),"",P463+TableauCB[[#This Row],[Crédit]]-TableauCB[[#This Row],[Débit]])</f>
        <v>8024.4560000000047</v>
      </c>
      <c r="Q464" s="26"/>
      <c r="T464" s="10"/>
      <c r="U464" s="10"/>
      <c r="V464" s="9"/>
      <c r="W464" s="2"/>
      <c r="X464" s="9"/>
      <c r="Y464" s="8"/>
      <c r="Z464" s="7"/>
      <c r="AA464" s="7"/>
      <c r="AB464" s="6"/>
    </row>
    <row r="465" spans="2:28" ht="30" hidden="1" customHeight="1">
      <c r="B465" s="46"/>
      <c r="C465" s="11" t="s">
        <v>33</v>
      </c>
      <c r="D465" s="11" t="s">
        <v>15</v>
      </c>
      <c r="E465" s="11"/>
      <c r="F465" s="34">
        <v>42198</v>
      </c>
      <c r="G465"/>
      <c r="H465"/>
      <c r="I465" s="32">
        <v>42200</v>
      </c>
      <c r="J465"/>
      <c r="K465" s="31"/>
      <c r="L465" s="30">
        <v>31</v>
      </c>
      <c r="M465" s="29"/>
      <c r="N465" s="28">
        <f>IF(OR(TableauCB[[#This Row],[Etat]]="",TableauCB[[#This Row],[Etat]]="c"),IF(TableauCB[[#This Row],[Solde]]="","",N464),N464-TableauCB[[#This Row],[Débit]]+TableauCB[[#This Row],[Crédit]])</f>
        <v>9139.4560000000056</v>
      </c>
      <c r="O465" s="27" t="e">
        <f>IF(TableauCB[[#This Row],[Etat]]="xc",O464-TableauCB[[#This Row],[Débit]]+TableauCB[[#This Row],[Crédit]],O464-TableauCB[[#This Row],[Débit]])</f>
        <v>#VALUE!</v>
      </c>
      <c r="P465" s="27">
        <f>IF(AND(ISBLANK(TableauCB[[#This Row],[Débit]]),ISBLANK(TableauCB[[#This Row],[Crédit]])),"",P464+TableauCB[[#This Row],[Crédit]]-TableauCB[[#This Row],[Débit]])</f>
        <v>7993.4560000000047</v>
      </c>
      <c r="Q465" s="26"/>
      <c r="T465" s="10"/>
      <c r="U465" s="10"/>
      <c r="V465" s="9"/>
      <c r="W465" s="2"/>
      <c r="X465" s="9"/>
      <c r="Y465" s="8"/>
      <c r="Z465" s="7"/>
      <c r="AA465" s="7"/>
      <c r="AB465" s="6"/>
    </row>
    <row r="466" spans="2:28" ht="30" hidden="1" customHeight="1">
      <c r="B466" s="46"/>
      <c r="C466" s="11" t="s">
        <v>33</v>
      </c>
      <c r="D466" s="11" t="s">
        <v>15</v>
      </c>
      <c r="E466" s="11"/>
      <c r="F466" s="34">
        <v>42198</v>
      </c>
      <c r="G466"/>
      <c r="H466"/>
      <c r="I466" s="32">
        <v>42198</v>
      </c>
      <c r="J466"/>
      <c r="K466" s="31"/>
      <c r="L466" s="30">
        <v>1138</v>
      </c>
      <c r="M466" s="29"/>
      <c r="N466" s="28">
        <f>IF(OR(TableauCB[[#This Row],[Etat]]="",TableauCB[[#This Row],[Etat]]="c"),IF(TableauCB[[#This Row],[Solde]]="","",N465),N465-TableauCB[[#This Row],[Débit]]+TableauCB[[#This Row],[Crédit]])</f>
        <v>8001.4560000000056</v>
      </c>
      <c r="O466" s="27" t="e">
        <f>IF(TableauCB[[#This Row],[Etat]]="xc",O465-TableauCB[[#This Row],[Débit]]+TableauCB[[#This Row],[Crédit]],O465-TableauCB[[#This Row],[Débit]])</f>
        <v>#VALUE!</v>
      </c>
      <c r="P466" s="27">
        <f>IF(AND(ISBLANK(TableauCB[[#This Row],[Débit]]),ISBLANK(TableauCB[[#This Row],[Crédit]])),"",P465+TableauCB[[#This Row],[Crédit]]-TableauCB[[#This Row],[Débit]])</f>
        <v>6855.4560000000047</v>
      </c>
      <c r="Q466" s="26"/>
      <c r="T466" s="10"/>
      <c r="U466" s="10"/>
      <c r="V466" s="9"/>
      <c r="W466" s="2"/>
      <c r="X466" s="9"/>
      <c r="Y466" s="8"/>
      <c r="Z466" s="7"/>
      <c r="AA466" s="7"/>
      <c r="AB466" s="6"/>
    </row>
    <row r="467" spans="2:28" ht="30" hidden="1" customHeight="1">
      <c r="B467" s="46"/>
      <c r="C467" s="11" t="s">
        <v>33</v>
      </c>
      <c r="D467" s="11" t="s">
        <v>15</v>
      </c>
      <c r="E467" s="11"/>
      <c r="F467" s="34">
        <v>42198</v>
      </c>
      <c r="G467"/>
      <c r="H467"/>
      <c r="I467" s="32">
        <v>42200</v>
      </c>
      <c r="J467"/>
      <c r="K467" s="31"/>
      <c r="L467" s="30">
        <v>485.13</v>
      </c>
      <c r="M467" s="29"/>
      <c r="N467" s="28">
        <f>IF(OR(TableauCB[[#This Row],[Etat]]="",TableauCB[[#This Row],[Etat]]="c"),IF(TableauCB[[#This Row],[Solde]]="","",N466),N466-TableauCB[[#This Row],[Débit]]+TableauCB[[#This Row],[Crédit]])</f>
        <v>7516.3260000000055</v>
      </c>
      <c r="O467" s="27" t="e">
        <f>IF(TableauCB[[#This Row],[Etat]]="xc",O466-TableauCB[[#This Row],[Débit]]+TableauCB[[#This Row],[Crédit]],O466-TableauCB[[#This Row],[Débit]])</f>
        <v>#VALUE!</v>
      </c>
      <c r="P467" s="27">
        <f>IF(AND(ISBLANK(TableauCB[[#This Row],[Débit]]),ISBLANK(TableauCB[[#This Row],[Crédit]])),"",P466+TableauCB[[#This Row],[Crédit]]-TableauCB[[#This Row],[Débit]])</f>
        <v>6370.3260000000046</v>
      </c>
      <c r="Q467" s="26"/>
      <c r="T467" s="10"/>
      <c r="U467" s="10"/>
      <c r="V467" s="9"/>
      <c r="W467" s="2"/>
      <c r="X467" s="9"/>
      <c r="Y467" s="8"/>
      <c r="Z467" s="7"/>
      <c r="AA467" s="7"/>
      <c r="AB467" s="6"/>
    </row>
    <row r="468" spans="2:28" ht="30" hidden="1" customHeight="1">
      <c r="B468" s="46"/>
      <c r="C468" s="11" t="s">
        <v>33</v>
      </c>
      <c r="D468" s="11" t="s">
        <v>30</v>
      </c>
      <c r="E468" s="11"/>
      <c r="F468" s="34">
        <v>42198</v>
      </c>
      <c r="G468"/>
      <c r="H468"/>
      <c r="I468" s="32"/>
      <c r="J468"/>
      <c r="K468" s="31"/>
      <c r="L468" s="30">
        <v>42.65</v>
      </c>
      <c r="M468" s="29"/>
      <c r="N468" s="28">
        <f>IF(OR(TableauCB[[#This Row],[Etat]]="",TableauCB[[#This Row],[Etat]]="c"),IF(TableauCB[[#This Row],[Solde]]="","",N467),N467-TableauCB[[#This Row],[Débit]]+TableauCB[[#This Row],[Crédit]])</f>
        <v>7473.6760000000058</v>
      </c>
      <c r="O468" s="27" t="e">
        <f>IF(TableauCB[[#This Row],[Etat]]="xc",O467-TableauCB[[#This Row],[Débit]]+TableauCB[[#This Row],[Crédit]],O467-TableauCB[[#This Row],[Débit]])</f>
        <v>#VALUE!</v>
      </c>
      <c r="P468" s="27">
        <f>IF(AND(ISBLANK(TableauCB[[#This Row],[Débit]]),ISBLANK(TableauCB[[#This Row],[Crédit]])),"",P467+TableauCB[[#This Row],[Crédit]]-TableauCB[[#This Row],[Débit]])</f>
        <v>6327.6760000000049</v>
      </c>
      <c r="Q468" s="26"/>
      <c r="T468" s="10"/>
      <c r="U468" s="10"/>
      <c r="V468" s="9"/>
      <c r="W468" s="2"/>
      <c r="X468" s="9"/>
      <c r="Y468" s="8"/>
      <c r="Z468" s="7"/>
      <c r="AA468" s="7"/>
      <c r="AB468" s="6"/>
    </row>
    <row r="469" spans="2:28" ht="30" hidden="1" customHeight="1">
      <c r="B469" s="46"/>
      <c r="C469" s="11" t="s">
        <v>33</v>
      </c>
      <c r="D469" s="11" t="s">
        <v>37</v>
      </c>
      <c r="E469" s="11"/>
      <c r="F469" s="34">
        <v>42200</v>
      </c>
      <c r="G469"/>
      <c r="H469"/>
      <c r="I469" s="32"/>
      <c r="J469"/>
      <c r="K469" s="31"/>
      <c r="L469" s="30">
        <v>158.5</v>
      </c>
      <c r="M469" s="29"/>
      <c r="N469" s="28">
        <f>IF(OR(TableauCB[[#This Row],[Etat]]="",TableauCB[[#This Row],[Etat]]="c"),IF(TableauCB[[#This Row],[Solde]]="","",N468),N468-TableauCB[[#This Row],[Débit]]+TableauCB[[#This Row],[Crédit]])</f>
        <v>7315.1760000000058</v>
      </c>
      <c r="O469" s="27" t="e">
        <f>IF(TableauCB[[#This Row],[Etat]]="xc",O468-TableauCB[[#This Row],[Débit]]+TableauCB[[#This Row],[Crédit]],O468-TableauCB[[#This Row],[Débit]])</f>
        <v>#VALUE!</v>
      </c>
      <c r="P469" s="27">
        <f>IF(AND(ISBLANK(TableauCB[[#This Row],[Débit]]),ISBLANK(TableauCB[[#This Row],[Crédit]])),"",P468+TableauCB[[#This Row],[Crédit]]-TableauCB[[#This Row],[Débit]])</f>
        <v>6169.1760000000049</v>
      </c>
      <c r="Q469" s="26"/>
      <c r="T469" s="10"/>
      <c r="U469" s="10"/>
      <c r="V469" s="9"/>
      <c r="W469" s="2"/>
      <c r="X469" s="9"/>
      <c r="Y469" s="8"/>
      <c r="Z469" s="7"/>
      <c r="AA469" s="7"/>
      <c r="AB469" s="6"/>
    </row>
    <row r="470" spans="2:28" ht="30" hidden="1" customHeight="1">
      <c r="B470" s="46"/>
      <c r="C470" s="11" t="s">
        <v>33</v>
      </c>
      <c r="D470" s="11" t="s">
        <v>30</v>
      </c>
      <c r="E470" s="11"/>
      <c r="F470" s="34">
        <v>42200</v>
      </c>
      <c r="G470"/>
      <c r="H470"/>
      <c r="I470" s="32"/>
      <c r="J470"/>
      <c r="K470" s="31"/>
      <c r="L470" s="30">
        <v>6.3</v>
      </c>
      <c r="M470" s="29"/>
      <c r="N470" s="28">
        <f>IF(OR(TableauCB[[#This Row],[Etat]]="",TableauCB[[#This Row],[Etat]]="c"),IF(TableauCB[[#This Row],[Solde]]="","",N469),N469-TableauCB[[#This Row],[Débit]]+TableauCB[[#This Row],[Crédit]])</f>
        <v>7308.8760000000057</v>
      </c>
      <c r="O470" s="27" t="e">
        <f>IF(TableauCB[[#This Row],[Etat]]="xc",O469-TableauCB[[#This Row],[Débit]]+TableauCB[[#This Row],[Crédit]],O469-TableauCB[[#This Row],[Débit]])</f>
        <v>#VALUE!</v>
      </c>
      <c r="P470" s="27">
        <f>IF(AND(ISBLANK(TableauCB[[#This Row],[Débit]]),ISBLANK(TableauCB[[#This Row],[Crédit]])),"",P469+TableauCB[[#This Row],[Crédit]]-TableauCB[[#This Row],[Débit]])</f>
        <v>6162.8760000000048</v>
      </c>
      <c r="Q470" s="26"/>
      <c r="T470" s="10"/>
      <c r="U470" s="10"/>
      <c r="V470" s="9"/>
      <c r="W470" s="2"/>
      <c r="X470" s="9"/>
      <c r="Y470" s="8"/>
      <c r="Z470" s="7"/>
      <c r="AA470" s="7"/>
      <c r="AB470" s="6"/>
    </row>
    <row r="471" spans="2:28" ht="30" hidden="1" customHeight="1">
      <c r="B471" s="46"/>
      <c r="C471" s="11" t="s">
        <v>33</v>
      </c>
      <c r="D471" s="11" t="s">
        <v>5</v>
      </c>
      <c r="E471" s="11"/>
      <c r="F471" s="34">
        <v>42201</v>
      </c>
      <c r="G471"/>
      <c r="H471"/>
      <c r="I471" s="32">
        <v>42205</v>
      </c>
      <c r="J471"/>
      <c r="K471" s="31"/>
      <c r="L471" s="30">
        <v>150</v>
      </c>
      <c r="M471" s="29"/>
      <c r="N471" s="28">
        <f>IF(OR(TableauCB[[#This Row],[Etat]]="",TableauCB[[#This Row],[Etat]]="c"),IF(TableauCB[[#This Row],[Solde]]="","",N470),N470-TableauCB[[#This Row],[Débit]]+TableauCB[[#This Row],[Crédit]])</f>
        <v>7158.8760000000057</v>
      </c>
      <c r="O471" s="27" t="e">
        <f>IF(TableauCB[[#This Row],[Etat]]="xc",O470-TableauCB[[#This Row],[Débit]]+TableauCB[[#This Row],[Crédit]],O470-TableauCB[[#This Row],[Débit]])</f>
        <v>#VALUE!</v>
      </c>
      <c r="P471" s="27">
        <f>IF(AND(ISBLANK(TableauCB[[#This Row],[Débit]]),ISBLANK(TableauCB[[#This Row],[Crédit]])),"",P470+TableauCB[[#This Row],[Crédit]]-TableauCB[[#This Row],[Débit]])</f>
        <v>6012.8760000000048</v>
      </c>
      <c r="Q471" s="26"/>
      <c r="T471" s="10"/>
      <c r="U471" s="10"/>
      <c r="V471" s="9"/>
      <c r="W471" s="2"/>
      <c r="X471" s="9"/>
      <c r="Y471" s="8"/>
      <c r="Z471" s="7"/>
      <c r="AA471" s="7"/>
      <c r="AB471" s="6"/>
    </row>
    <row r="472" spans="2:28" ht="30" hidden="1" customHeight="1">
      <c r="B472" s="46"/>
      <c r="C472" s="11" t="s">
        <v>33</v>
      </c>
      <c r="D472" s="11" t="s">
        <v>15</v>
      </c>
      <c r="E472" s="11"/>
      <c r="F472" s="34">
        <v>42206</v>
      </c>
      <c r="G472"/>
      <c r="H472"/>
      <c r="I472" s="32">
        <v>42209</v>
      </c>
      <c r="J472"/>
      <c r="K472" s="31"/>
      <c r="L472" s="30">
        <v>1731</v>
      </c>
      <c r="M472" s="29"/>
      <c r="N472" s="28">
        <f>IF(OR(TableauCB[[#This Row],[Etat]]="",TableauCB[[#This Row],[Etat]]="c"),IF(TableauCB[[#This Row],[Solde]]="","",N471),N471-TableauCB[[#This Row],[Débit]]+TableauCB[[#This Row],[Crédit]])</f>
        <v>5427.8760000000057</v>
      </c>
      <c r="O472" s="27" t="e">
        <f>IF(TableauCB[[#This Row],[Etat]]="xc",O471-TableauCB[[#This Row],[Débit]]+TableauCB[[#This Row],[Crédit]],O471-TableauCB[[#This Row],[Débit]])</f>
        <v>#VALUE!</v>
      </c>
      <c r="P472" s="27">
        <f>IF(AND(ISBLANK(TableauCB[[#This Row],[Débit]]),ISBLANK(TableauCB[[#This Row],[Crédit]])),"",P471+TableauCB[[#This Row],[Crédit]]-TableauCB[[#This Row],[Débit]])</f>
        <v>4281.8760000000048</v>
      </c>
      <c r="Q472" s="26"/>
      <c r="T472" s="10"/>
      <c r="U472" s="10"/>
      <c r="V472" s="9"/>
      <c r="W472" s="2"/>
      <c r="X472" s="9"/>
      <c r="Y472" s="8"/>
      <c r="Z472" s="7"/>
      <c r="AA472" s="7"/>
      <c r="AB472" s="6"/>
    </row>
    <row r="473" spans="2:28" ht="30" hidden="1" customHeight="1">
      <c r="B473" s="46"/>
      <c r="C473" s="11" t="s">
        <v>33</v>
      </c>
      <c r="D473" s="11" t="s">
        <v>17</v>
      </c>
      <c r="E473" s="11"/>
      <c r="F473" s="34">
        <v>42206</v>
      </c>
      <c r="G473"/>
      <c r="H473"/>
      <c r="I473" s="32"/>
      <c r="J473"/>
      <c r="K473" s="31"/>
      <c r="L473" s="30">
        <v>41.4</v>
      </c>
      <c r="M473" s="29"/>
      <c r="N473" s="28">
        <f>IF(OR(TableauCB[[#This Row],[Etat]]="",TableauCB[[#This Row],[Etat]]="c"),IF(TableauCB[[#This Row],[Solde]]="","",N472),N472-TableauCB[[#This Row],[Débit]]+TableauCB[[#This Row],[Crédit]])</f>
        <v>5386.476000000006</v>
      </c>
      <c r="O473" s="27" t="e">
        <f>IF(TableauCB[[#This Row],[Etat]]="xc",O472-TableauCB[[#This Row],[Débit]]+TableauCB[[#This Row],[Crédit]],O472-TableauCB[[#This Row],[Débit]])</f>
        <v>#VALUE!</v>
      </c>
      <c r="P473" s="27">
        <f>IF(AND(ISBLANK(TableauCB[[#This Row],[Débit]]),ISBLANK(TableauCB[[#This Row],[Crédit]])),"",P472+TableauCB[[#This Row],[Crédit]]-TableauCB[[#This Row],[Débit]])</f>
        <v>4240.4760000000051</v>
      </c>
      <c r="Q473" s="26"/>
      <c r="T473" s="10"/>
      <c r="U473" s="10"/>
      <c r="V473" s="9"/>
      <c r="W473" s="2"/>
      <c r="X473" s="9"/>
      <c r="Y473" s="8"/>
      <c r="Z473" s="7"/>
      <c r="AA473" s="7"/>
      <c r="AB473" s="6"/>
    </row>
    <row r="474" spans="2:28" ht="30" hidden="1" customHeight="1">
      <c r="B474" s="46"/>
      <c r="C474" s="11" t="s">
        <v>33</v>
      </c>
      <c r="D474" s="11" t="s">
        <v>17</v>
      </c>
      <c r="E474" s="11"/>
      <c r="F474" s="34">
        <v>42211</v>
      </c>
      <c r="G474"/>
      <c r="H474"/>
      <c r="I474" s="32"/>
      <c r="J474"/>
      <c r="K474" s="31"/>
      <c r="L474" s="30">
        <v>8.35</v>
      </c>
      <c r="M474" s="29"/>
      <c r="N474" s="28">
        <f>IF(OR(TableauCB[[#This Row],[Etat]]="",TableauCB[[#This Row],[Etat]]="c"),IF(TableauCB[[#This Row],[Solde]]="","",N473),N473-TableauCB[[#This Row],[Débit]]+TableauCB[[#This Row],[Crédit]])</f>
        <v>5378.1260000000057</v>
      </c>
      <c r="O474" s="27" t="e">
        <f>IF(TableauCB[[#This Row],[Etat]]="xc",O473-TableauCB[[#This Row],[Débit]]+TableauCB[[#This Row],[Crédit]],O473-TableauCB[[#This Row],[Débit]])</f>
        <v>#VALUE!</v>
      </c>
      <c r="P474" s="27">
        <f>IF(AND(ISBLANK(TableauCB[[#This Row],[Débit]]),ISBLANK(TableauCB[[#This Row],[Crédit]])),"",P473+TableauCB[[#This Row],[Crédit]]-TableauCB[[#This Row],[Débit]])</f>
        <v>4232.1260000000048</v>
      </c>
      <c r="Q474" s="26"/>
      <c r="T474" s="10"/>
      <c r="U474" s="10"/>
      <c r="V474" s="9"/>
      <c r="W474" s="2"/>
      <c r="X474" s="9"/>
      <c r="Y474" s="8"/>
      <c r="Z474" s="7"/>
      <c r="AA474" s="7"/>
      <c r="AB474" s="6"/>
    </row>
    <row r="475" spans="2:28" ht="30" hidden="1" customHeight="1">
      <c r="B475" s="46"/>
      <c r="C475" s="11" t="s">
        <v>33</v>
      </c>
      <c r="D475" s="11" t="s">
        <v>5</v>
      </c>
      <c r="E475" s="11"/>
      <c r="F475" s="34">
        <v>42213</v>
      </c>
      <c r="G475"/>
      <c r="H475"/>
      <c r="I475" s="32"/>
      <c r="J475"/>
      <c r="K475" s="31"/>
      <c r="L475" s="30">
        <v>440.68</v>
      </c>
      <c r="M475" s="29"/>
      <c r="N475" s="28">
        <f>IF(OR(TableauCB[[#This Row],[Etat]]="",TableauCB[[#This Row],[Etat]]="c"),IF(TableauCB[[#This Row],[Solde]]="","",N474),N474-TableauCB[[#This Row],[Débit]]+TableauCB[[#This Row],[Crédit]])</f>
        <v>4937.4460000000054</v>
      </c>
      <c r="O475" s="27" t="e">
        <f>IF(TableauCB[[#This Row],[Etat]]="xc",O474-TableauCB[[#This Row],[Débit]]+TableauCB[[#This Row],[Crédit]],O474-TableauCB[[#This Row],[Débit]])</f>
        <v>#VALUE!</v>
      </c>
      <c r="P475" s="27">
        <f>IF(AND(ISBLANK(TableauCB[[#This Row],[Débit]]),ISBLANK(TableauCB[[#This Row],[Crédit]])),"",P474+TableauCB[[#This Row],[Crédit]]-TableauCB[[#This Row],[Débit]])</f>
        <v>3791.4460000000049</v>
      </c>
      <c r="Q475" s="26"/>
      <c r="T475" s="10"/>
      <c r="U475" s="10"/>
      <c r="V475" s="9"/>
      <c r="W475" s="2"/>
      <c r="X475" s="9"/>
      <c r="Y475" s="8"/>
      <c r="Z475" s="7"/>
      <c r="AA475" s="7"/>
      <c r="AB475" s="6"/>
    </row>
    <row r="476" spans="2:28" ht="30" hidden="1" customHeight="1">
      <c r="B476" s="46"/>
      <c r="C476" s="11" t="s">
        <v>33</v>
      </c>
      <c r="D476" s="11" t="s">
        <v>11</v>
      </c>
      <c r="E476" s="11"/>
      <c r="F476" s="34">
        <v>42215</v>
      </c>
      <c r="G476"/>
      <c r="H476"/>
      <c r="I476" s="32">
        <v>42248</v>
      </c>
      <c r="J476"/>
      <c r="K476" s="31"/>
      <c r="L476" s="30"/>
      <c r="M476" s="29">
        <v>108</v>
      </c>
      <c r="N476" s="28">
        <f>IF(OR(TableauCB[[#This Row],[Etat]]="",TableauCB[[#This Row],[Etat]]="c"),IF(TableauCB[[#This Row],[Solde]]="","",N475),N475-TableauCB[[#This Row],[Débit]]+TableauCB[[#This Row],[Crédit]])</f>
        <v>5045.4460000000054</v>
      </c>
      <c r="O476" s="27" t="e">
        <f>IF(TableauCB[[#This Row],[Etat]]="xc",O475-TableauCB[[#This Row],[Débit]]+TableauCB[[#This Row],[Crédit]],O475-TableauCB[[#This Row],[Débit]])</f>
        <v>#VALUE!</v>
      </c>
      <c r="P476" s="27">
        <f>IF(AND(ISBLANK(TableauCB[[#This Row],[Débit]]),ISBLANK(TableauCB[[#This Row],[Crédit]])),"",P475+TableauCB[[#This Row],[Crédit]]-TableauCB[[#This Row],[Débit]])</f>
        <v>3899.4460000000049</v>
      </c>
      <c r="Q476" s="26"/>
      <c r="T476" s="10"/>
      <c r="U476" s="10"/>
      <c r="V476" s="9"/>
      <c r="W476" s="2"/>
      <c r="X476" s="9"/>
      <c r="Y476" s="8"/>
      <c r="Z476" s="7"/>
      <c r="AA476" s="7"/>
      <c r="AB476" s="6"/>
    </row>
    <row r="477" spans="2:28" ht="30" hidden="1" customHeight="1">
      <c r="B477" s="46"/>
      <c r="C477" s="11" t="s">
        <v>33</v>
      </c>
      <c r="D477" s="11" t="s">
        <v>11</v>
      </c>
      <c r="E477" s="11"/>
      <c r="F477" s="34">
        <v>42215</v>
      </c>
      <c r="G477"/>
      <c r="H477"/>
      <c r="I477" s="32">
        <v>42227</v>
      </c>
      <c r="J477"/>
      <c r="K477" s="31"/>
      <c r="L477" s="30"/>
      <c r="M477" s="29">
        <v>198</v>
      </c>
      <c r="N477" s="28">
        <f>IF(OR(TableauCB[[#This Row],[Etat]]="",TableauCB[[#This Row],[Etat]]="c"),IF(TableauCB[[#This Row],[Solde]]="","",N476),N476-TableauCB[[#This Row],[Débit]]+TableauCB[[#This Row],[Crédit]])</f>
        <v>5243.4460000000054</v>
      </c>
      <c r="O477" s="27" t="e">
        <f>IF(TableauCB[[#This Row],[Etat]]="xc",O476-TableauCB[[#This Row],[Débit]]+TableauCB[[#This Row],[Crédit]],O476-TableauCB[[#This Row],[Débit]])</f>
        <v>#VALUE!</v>
      </c>
      <c r="P477" s="27">
        <f>IF(AND(ISBLANK(TableauCB[[#This Row],[Débit]]),ISBLANK(TableauCB[[#This Row],[Crédit]])),"",P476+TableauCB[[#This Row],[Crédit]]-TableauCB[[#This Row],[Débit]])</f>
        <v>4097.4460000000054</v>
      </c>
      <c r="Q477" s="26"/>
      <c r="T477" s="24"/>
      <c r="U477" s="10"/>
      <c r="V477" s="9"/>
      <c r="W477" s="2"/>
      <c r="X477" s="9"/>
      <c r="Y477" s="8"/>
      <c r="Z477" s="7"/>
      <c r="AA477" s="7"/>
      <c r="AB477" s="6"/>
    </row>
    <row r="478" spans="2:28" ht="30" hidden="1" customHeight="1">
      <c r="B478" s="46"/>
      <c r="C478" s="11" t="s">
        <v>33</v>
      </c>
      <c r="D478" s="11" t="s">
        <v>11</v>
      </c>
      <c r="E478" s="11"/>
      <c r="F478" s="34">
        <v>42215</v>
      </c>
      <c r="G478"/>
      <c r="H478"/>
      <c r="I478" s="32">
        <v>42234</v>
      </c>
      <c r="J478"/>
      <c r="K478" s="31"/>
      <c r="L478" s="30"/>
      <c r="M478" s="29">
        <v>25.2</v>
      </c>
      <c r="N478" s="28">
        <f>IF(OR(TableauCB[[#This Row],[Etat]]="",TableauCB[[#This Row],[Etat]]="c"),IF(TableauCB[[#This Row],[Solde]]="","",N477),N477-TableauCB[[#This Row],[Débit]]+TableauCB[[#This Row],[Crédit]])</f>
        <v>5268.6460000000052</v>
      </c>
      <c r="O478" s="27" t="e">
        <f>IF(TableauCB[[#This Row],[Etat]]="xc",O477-TableauCB[[#This Row],[Débit]]+TableauCB[[#This Row],[Crédit]],O477-TableauCB[[#This Row],[Débit]])</f>
        <v>#VALUE!</v>
      </c>
      <c r="P478" s="27">
        <f>IF(AND(ISBLANK(TableauCB[[#This Row],[Débit]]),ISBLANK(TableauCB[[#This Row],[Crédit]])),"",P477+TableauCB[[#This Row],[Crédit]]-TableauCB[[#This Row],[Débit]])</f>
        <v>4122.6460000000052</v>
      </c>
      <c r="Q478" s="26"/>
      <c r="R478" s="25"/>
      <c r="S478" s="25"/>
      <c r="T478" s="10"/>
      <c r="U478" s="10"/>
      <c r="V478" s="9"/>
      <c r="W478" s="2"/>
      <c r="X478" s="9"/>
      <c r="Y478" s="8"/>
      <c r="Z478" s="7"/>
      <c r="AA478" s="7"/>
      <c r="AB478" s="6"/>
    </row>
    <row r="479" spans="2:28" ht="30" hidden="1" customHeight="1">
      <c r="B479" s="46"/>
      <c r="C479" s="11" t="s">
        <v>33</v>
      </c>
      <c r="D479" s="11" t="s">
        <v>11</v>
      </c>
      <c r="E479" s="11"/>
      <c r="F479" s="34">
        <v>42215</v>
      </c>
      <c r="G479"/>
      <c r="H479"/>
      <c r="I479" s="32">
        <v>42290</v>
      </c>
      <c r="J479"/>
      <c r="K479" s="31"/>
      <c r="L479" s="30"/>
      <c r="M479" s="29">
        <v>151.80000000000001</v>
      </c>
      <c r="N479" s="28">
        <f>IF(OR(TableauCB[[#This Row],[Etat]]="",TableauCB[[#This Row],[Etat]]="c"),IF(TableauCB[[#This Row],[Solde]]="","",N478),N478-TableauCB[[#This Row],[Débit]]+TableauCB[[#This Row],[Crédit]])</f>
        <v>5420.4460000000054</v>
      </c>
      <c r="O479" s="27" t="e">
        <f>IF(TableauCB[[#This Row],[Etat]]="xc",O478-TableauCB[[#This Row],[Débit]]+TableauCB[[#This Row],[Crédit]],O478-TableauCB[[#This Row],[Débit]])</f>
        <v>#VALUE!</v>
      </c>
      <c r="P479" s="27">
        <f>IF(AND(ISBLANK(TableauCB[[#This Row],[Débit]]),ISBLANK(TableauCB[[#This Row],[Crédit]])),"",P478+TableauCB[[#This Row],[Crédit]]-TableauCB[[#This Row],[Débit]])</f>
        <v>4274.4460000000054</v>
      </c>
      <c r="Q479" s="26"/>
      <c r="R479" s="25"/>
      <c r="S479" s="25"/>
      <c r="T479" s="10"/>
      <c r="U479" s="10"/>
      <c r="V479" s="9"/>
      <c r="W479" s="2"/>
      <c r="X479" s="9"/>
      <c r="Y479" s="8"/>
      <c r="Z479" s="7"/>
      <c r="AA479" s="7"/>
      <c r="AB479" s="6"/>
    </row>
    <row r="480" spans="2:28" ht="30" hidden="1" customHeight="1">
      <c r="B480" s="46"/>
      <c r="C480" s="11" t="s">
        <v>33</v>
      </c>
      <c r="D480" s="11" t="s">
        <v>11</v>
      </c>
      <c r="E480" s="11"/>
      <c r="F480" s="34">
        <v>42215</v>
      </c>
      <c r="G480"/>
      <c r="H480"/>
      <c r="I480" s="32">
        <v>42230</v>
      </c>
      <c r="J480"/>
      <c r="K480" s="31"/>
      <c r="L480" s="30"/>
      <c r="M480" s="29">
        <v>522</v>
      </c>
      <c r="N480" s="28">
        <f>IF(OR(TableauCB[[#This Row],[Etat]]="",TableauCB[[#This Row],[Etat]]="c"),IF(TableauCB[[#This Row],[Solde]]="","",N479),N479-TableauCB[[#This Row],[Débit]]+TableauCB[[#This Row],[Crédit]])</f>
        <v>5942.4460000000054</v>
      </c>
      <c r="O480" s="27" t="e">
        <f>IF(TableauCB[[#This Row],[Etat]]="xc",O479-TableauCB[[#This Row],[Débit]]+TableauCB[[#This Row],[Crédit]],O479-TableauCB[[#This Row],[Débit]])</f>
        <v>#VALUE!</v>
      </c>
      <c r="P480" s="27">
        <f>IF(AND(ISBLANK(TableauCB[[#This Row],[Débit]]),ISBLANK(TableauCB[[#This Row],[Crédit]])),"",P479+TableauCB[[#This Row],[Crédit]]-TableauCB[[#This Row],[Débit]])</f>
        <v>4796.4460000000054</v>
      </c>
      <c r="Q480" s="26"/>
      <c r="R480" s="25"/>
      <c r="S480" s="25"/>
      <c r="T480" s="10"/>
      <c r="U480" s="10"/>
      <c r="V480" s="9"/>
      <c r="W480" s="2"/>
      <c r="X480" s="9"/>
      <c r="Y480" s="8"/>
      <c r="Z480" s="7"/>
      <c r="AA480" s="7"/>
      <c r="AB480" s="6"/>
    </row>
    <row r="481" spans="2:28" ht="30" hidden="1" customHeight="1">
      <c r="B481" s="46"/>
      <c r="C481" s="11" t="s">
        <v>33</v>
      </c>
      <c r="D481" s="11" t="s">
        <v>11</v>
      </c>
      <c r="E481" s="11"/>
      <c r="F481" s="34">
        <v>42215</v>
      </c>
      <c r="G481"/>
      <c r="H481"/>
      <c r="I481" s="32">
        <v>42254</v>
      </c>
      <c r="J481"/>
      <c r="K481" s="31"/>
      <c r="L481" s="30"/>
      <c r="M481" s="29">
        <v>192</v>
      </c>
      <c r="N481" s="28">
        <f>IF(OR(TableauCB[[#This Row],[Etat]]="",TableauCB[[#This Row],[Etat]]="c"),IF(TableauCB[[#This Row],[Solde]]="","",N480),N480-TableauCB[[#This Row],[Débit]]+TableauCB[[#This Row],[Crédit]])</f>
        <v>6134.4460000000054</v>
      </c>
      <c r="O481" s="27" t="e">
        <f>IF(TableauCB[[#This Row],[Etat]]="xc",O480-TableauCB[[#This Row],[Débit]]+TableauCB[[#This Row],[Crédit]],O480-TableauCB[[#This Row],[Débit]])</f>
        <v>#VALUE!</v>
      </c>
      <c r="P481" s="27">
        <f>IF(AND(ISBLANK(TableauCB[[#This Row],[Débit]]),ISBLANK(TableauCB[[#This Row],[Crédit]])),"",P480+TableauCB[[#This Row],[Crédit]]-TableauCB[[#This Row],[Débit]])</f>
        <v>4988.4460000000054</v>
      </c>
      <c r="Q481" s="26"/>
      <c r="T481" s="10"/>
      <c r="U481" s="10"/>
      <c r="V481" s="9"/>
      <c r="W481" s="2"/>
      <c r="X481" s="9"/>
      <c r="Y481" s="8"/>
      <c r="Z481" s="7"/>
      <c r="AA481" s="7"/>
      <c r="AB481" s="6"/>
    </row>
    <row r="482" spans="2:28" ht="30" hidden="1" customHeight="1">
      <c r="B482" s="46"/>
      <c r="C482" s="11" t="s">
        <v>33</v>
      </c>
      <c r="D482" s="11" t="s">
        <v>11</v>
      </c>
      <c r="E482" s="11"/>
      <c r="F482" s="34">
        <v>42215</v>
      </c>
      <c r="G482"/>
      <c r="H482"/>
      <c r="I482" s="32">
        <v>42248</v>
      </c>
      <c r="J482"/>
      <c r="K482" s="31"/>
      <c r="L482" s="30"/>
      <c r="M482" s="29">
        <v>624</v>
      </c>
      <c r="N482" s="28">
        <f>IF(OR(TableauCB[[#This Row],[Etat]]="",TableauCB[[#This Row],[Etat]]="c"),IF(TableauCB[[#This Row],[Solde]]="","",N481),N481-TableauCB[[#This Row],[Débit]]+TableauCB[[#This Row],[Crédit]])</f>
        <v>6758.4460000000054</v>
      </c>
      <c r="O482" s="27" t="e">
        <f>IF(TableauCB[[#This Row],[Etat]]="xc",O481-TableauCB[[#This Row],[Débit]]+TableauCB[[#This Row],[Crédit]],O481-TableauCB[[#This Row],[Débit]])</f>
        <v>#VALUE!</v>
      </c>
      <c r="P482" s="27">
        <f>IF(AND(ISBLANK(TableauCB[[#This Row],[Débit]]),ISBLANK(TableauCB[[#This Row],[Crédit]])),"",P481+TableauCB[[#This Row],[Crédit]]-TableauCB[[#This Row],[Débit]])</f>
        <v>5612.4460000000054</v>
      </c>
      <c r="Q482" s="26"/>
      <c r="T482" s="10"/>
      <c r="U482" s="10"/>
      <c r="V482" s="9"/>
      <c r="W482" s="2"/>
      <c r="X482" s="9"/>
      <c r="Y482" s="8"/>
      <c r="Z482" s="7"/>
      <c r="AA482" s="7"/>
      <c r="AB482" s="6"/>
    </row>
    <row r="483" spans="2:28" ht="30" hidden="1" customHeight="1">
      <c r="B483" s="46"/>
      <c r="C483" s="11" t="s">
        <v>33</v>
      </c>
      <c r="D483" s="11" t="s">
        <v>11</v>
      </c>
      <c r="E483" s="11"/>
      <c r="F483" s="34">
        <v>42215</v>
      </c>
      <c r="G483"/>
      <c r="H483"/>
      <c r="I483" s="32">
        <v>42236</v>
      </c>
      <c r="J483"/>
      <c r="K483" s="31"/>
      <c r="L483" s="30"/>
      <c r="M483" s="29">
        <v>115.2</v>
      </c>
      <c r="N483" s="28">
        <f>IF(OR(TableauCB[[#This Row],[Etat]]="",TableauCB[[#This Row],[Etat]]="c"),IF(TableauCB[[#This Row],[Solde]]="","",N482),N482-TableauCB[[#This Row],[Débit]]+TableauCB[[#This Row],[Crédit]])</f>
        <v>6873.6460000000052</v>
      </c>
      <c r="O483" s="27" t="e">
        <f>IF(TableauCB[[#This Row],[Etat]]="xc",O482-TableauCB[[#This Row],[Débit]]+TableauCB[[#This Row],[Crédit]],O482-TableauCB[[#This Row],[Débit]])</f>
        <v>#VALUE!</v>
      </c>
      <c r="P483" s="27">
        <f>IF(AND(ISBLANK(TableauCB[[#This Row],[Débit]]),ISBLANK(TableauCB[[#This Row],[Crédit]])),"",P482+TableauCB[[#This Row],[Crédit]]-TableauCB[[#This Row],[Débit]])</f>
        <v>5727.6460000000052</v>
      </c>
      <c r="Q483" s="26"/>
      <c r="T483" s="10"/>
      <c r="U483" s="10"/>
      <c r="V483" s="9"/>
      <c r="W483" s="2"/>
      <c r="X483" s="9"/>
      <c r="Y483" s="8"/>
      <c r="Z483" s="7"/>
      <c r="AA483" s="7"/>
      <c r="AB483" s="6"/>
    </row>
    <row r="484" spans="2:28" ht="30" hidden="1" customHeight="1">
      <c r="B484" s="46"/>
      <c r="C484" s="11" t="s">
        <v>33</v>
      </c>
      <c r="D484" s="11" t="s">
        <v>11</v>
      </c>
      <c r="E484" s="11"/>
      <c r="F484" s="34">
        <v>42215</v>
      </c>
      <c r="G484"/>
      <c r="H484"/>
      <c r="I484" s="32">
        <v>42402</v>
      </c>
      <c r="J484"/>
      <c r="K484" s="31"/>
      <c r="L484" s="30"/>
      <c r="M484" s="29">
        <v>92.4</v>
      </c>
      <c r="N484" s="28">
        <f>IF(OR(TableauCB[[#This Row],[Etat]]="",TableauCB[[#This Row],[Etat]]="c"),IF(TableauCB[[#This Row],[Solde]]="","",N483),N483-TableauCB[[#This Row],[Débit]]+TableauCB[[#This Row],[Crédit]])</f>
        <v>6966.0460000000048</v>
      </c>
      <c r="O484" s="27" t="e">
        <f>IF(TableauCB[[#This Row],[Etat]]="xc",O483-TableauCB[[#This Row],[Débit]]+TableauCB[[#This Row],[Crédit]],O483-TableauCB[[#This Row],[Débit]])</f>
        <v>#VALUE!</v>
      </c>
      <c r="P484" s="27">
        <f>IF(AND(ISBLANK(TableauCB[[#This Row],[Débit]]),ISBLANK(TableauCB[[#This Row],[Crédit]])),"",P483+TableauCB[[#This Row],[Crédit]]-TableauCB[[#This Row],[Débit]])</f>
        <v>5820.0460000000048</v>
      </c>
      <c r="Q484" s="26"/>
      <c r="T484" s="10"/>
      <c r="U484" s="10"/>
      <c r="V484" s="9"/>
      <c r="W484" s="2"/>
      <c r="X484" s="9"/>
      <c r="Y484" s="8"/>
      <c r="Z484" s="7"/>
      <c r="AA484" s="7"/>
      <c r="AB484" s="6"/>
    </row>
    <row r="485" spans="2:28" ht="30" hidden="1" customHeight="1" thickBot="1">
      <c r="B485" s="46"/>
      <c r="C485" s="11" t="s">
        <v>33</v>
      </c>
      <c r="D485" s="11" t="s">
        <v>9</v>
      </c>
      <c r="E485" s="11"/>
      <c r="F485" s="34">
        <v>42215</v>
      </c>
      <c r="G485"/>
      <c r="H485"/>
      <c r="I485" s="32"/>
      <c r="J485"/>
      <c r="K485" s="31"/>
      <c r="L485" s="30">
        <v>240</v>
      </c>
      <c r="M485" s="29"/>
      <c r="N485" s="28">
        <f>IF(OR(TableauCB[[#This Row],[Etat]]="",TableauCB[[#This Row],[Etat]]="c"),IF(TableauCB[[#This Row],[Solde]]="","",N484),N484-TableauCB[[#This Row],[Débit]]+TableauCB[[#This Row],[Crédit]])</f>
        <v>6726.0460000000048</v>
      </c>
      <c r="O485" s="27" t="e">
        <f>IF(TableauCB[[#This Row],[Etat]]="xc",O484-TableauCB[[#This Row],[Débit]]+TableauCB[[#This Row],[Crédit]],O484-TableauCB[[#This Row],[Débit]])</f>
        <v>#VALUE!</v>
      </c>
      <c r="P485" s="27">
        <f>IF(AND(ISBLANK(TableauCB[[#This Row],[Débit]]),ISBLANK(TableauCB[[#This Row],[Crédit]])),"",P484+TableauCB[[#This Row],[Crédit]]-TableauCB[[#This Row],[Débit]])</f>
        <v>5580.0460000000048</v>
      </c>
      <c r="Q485" s="26"/>
      <c r="R485" s="47" t="s">
        <v>54</v>
      </c>
      <c r="S485" s="47" t="s">
        <v>53</v>
      </c>
      <c r="T485" s="10"/>
      <c r="U485" s="10"/>
      <c r="V485" s="9"/>
      <c r="W485" s="2"/>
      <c r="X485" s="9"/>
      <c r="Y485" s="8"/>
      <c r="Z485" s="7"/>
      <c r="AA485" s="7"/>
      <c r="AB485" s="6"/>
    </row>
    <row r="486" spans="2:28" ht="30" hidden="1" customHeight="1" thickBot="1">
      <c r="B486" s="53"/>
      <c r="C486" s="11" t="s">
        <v>33</v>
      </c>
      <c r="D486" s="11" t="s">
        <v>58</v>
      </c>
      <c r="E486" s="11"/>
      <c r="F486" s="34">
        <v>42216</v>
      </c>
      <c r="G486"/>
      <c r="H486"/>
      <c r="I486" s="32"/>
      <c r="J486"/>
      <c r="K486" s="31"/>
      <c r="L486" s="30">
        <v>62</v>
      </c>
      <c r="M486" s="29"/>
      <c r="N486" s="28">
        <f>IF(OR(TableauCB[[#This Row],[Etat]]="",TableauCB[[#This Row],[Etat]]="c"),IF(TableauCB[[#This Row],[Solde]]="","",N485),N485-TableauCB[[#This Row],[Débit]]+TableauCB[[#This Row],[Crédit]])</f>
        <v>6664.0460000000048</v>
      </c>
      <c r="O486" s="27" t="e">
        <f>IF(TableauCB[[#This Row],[Etat]]="xc",O485-TableauCB[[#This Row],[Débit]]+TableauCB[[#This Row],[Crédit]],O485-TableauCB[[#This Row],[Débit]])</f>
        <v>#VALUE!</v>
      </c>
      <c r="P486" s="27">
        <f>IF(AND(ISBLANK(TableauCB[[#This Row],[Débit]]),ISBLANK(TableauCB[[#This Row],[Crédit]])),"",P485+TableauCB[[#This Row],[Crédit]]-TableauCB[[#This Row],[Débit]])</f>
        <v>5518.0460000000048</v>
      </c>
      <c r="Q486" s="26"/>
      <c r="R486" s="25">
        <f>SUM(M457:M486)-SUM(L457:L486)</f>
        <v>-2998.21</v>
      </c>
      <c r="S486" s="25">
        <f>R486/1.2</f>
        <v>-2498.5083333333337</v>
      </c>
      <c r="T486" s="10"/>
      <c r="U486" s="10"/>
      <c r="V486" s="9"/>
      <c r="W486" s="2"/>
      <c r="X486" s="9"/>
      <c r="Y486" s="8"/>
      <c r="Z486" s="7"/>
      <c r="AA486" s="7"/>
      <c r="AB486" s="6"/>
    </row>
    <row r="487" spans="2:28" ht="30" hidden="1" customHeight="1">
      <c r="B487" s="52" t="s">
        <v>63</v>
      </c>
      <c r="C487" s="11" t="s">
        <v>33</v>
      </c>
      <c r="D487" s="11" t="s">
        <v>17</v>
      </c>
      <c r="E487" s="11"/>
      <c r="F487" s="34">
        <v>42217</v>
      </c>
      <c r="G487"/>
      <c r="H487"/>
      <c r="I487" s="32"/>
      <c r="J487"/>
      <c r="K487" s="31"/>
      <c r="L487" s="30">
        <v>3.04</v>
      </c>
      <c r="M487" s="29"/>
      <c r="N487" s="28">
        <f>IF(OR(TableauCB[[#This Row],[Etat]]="",TableauCB[[#This Row],[Etat]]="c"),IF(TableauCB[[#This Row],[Solde]]="","",N486),N486-TableauCB[[#This Row],[Débit]]+TableauCB[[#This Row],[Crédit]])</f>
        <v>6661.0060000000049</v>
      </c>
      <c r="O487" s="27" t="e">
        <f>IF(TableauCB[[#This Row],[Etat]]="xc",O486-TableauCB[[#This Row],[Débit]]+TableauCB[[#This Row],[Crédit]],O486-TableauCB[[#This Row],[Débit]])</f>
        <v>#VALUE!</v>
      </c>
      <c r="P487" s="27">
        <f>IF(AND(ISBLANK(TableauCB[[#This Row],[Débit]]),ISBLANK(TableauCB[[#This Row],[Crédit]])),"",P486+TableauCB[[#This Row],[Crédit]]-TableauCB[[#This Row],[Débit]])</f>
        <v>5515.0060000000049</v>
      </c>
      <c r="Q487" s="26"/>
      <c r="T487" s="10"/>
      <c r="U487" s="10"/>
      <c r="V487" s="9"/>
      <c r="W487" s="2"/>
      <c r="X487" s="9"/>
      <c r="Y487" s="8"/>
      <c r="Z487" s="7"/>
      <c r="AA487" s="7"/>
      <c r="AB487" s="6"/>
    </row>
    <row r="488" spans="2:28" ht="30" hidden="1" customHeight="1">
      <c r="B488" s="46"/>
      <c r="C488" s="11" t="s">
        <v>39</v>
      </c>
      <c r="D488" s="11" t="s">
        <v>45</v>
      </c>
      <c r="E488" s="11"/>
      <c r="F488" s="34">
        <v>42217</v>
      </c>
      <c r="G488"/>
      <c r="H488"/>
      <c r="I488" s="32"/>
      <c r="J488"/>
      <c r="K488" s="31"/>
      <c r="L488" s="30"/>
      <c r="M488" s="29">
        <v>180</v>
      </c>
      <c r="N488" s="28">
        <f>IF(OR(TableauCB[[#This Row],[Etat]]="",TableauCB[[#This Row],[Etat]]="c"),IF(TableauCB[[#This Row],[Solde]]="","",N487),N487-TableauCB[[#This Row],[Débit]]+TableauCB[[#This Row],[Crédit]])</f>
        <v>6661.0060000000049</v>
      </c>
      <c r="O488" s="27" t="e">
        <f>IF(TableauCB[[#This Row],[Etat]]="xc",O487-TableauCB[[#This Row],[Débit]]+TableauCB[[#This Row],[Crédit]],O487-TableauCB[[#This Row],[Débit]])</f>
        <v>#VALUE!</v>
      </c>
      <c r="P488" s="27">
        <f>IF(AND(ISBLANK(TableauCB[[#This Row],[Débit]]),ISBLANK(TableauCB[[#This Row],[Crédit]])),"",P487+TableauCB[[#This Row],[Crédit]]-TableauCB[[#This Row],[Débit]])</f>
        <v>5695.0060000000049</v>
      </c>
      <c r="Q488" s="26"/>
      <c r="T488" s="10"/>
      <c r="U488" s="10"/>
      <c r="V488" s="9"/>
      <c r="W488" s="2"/>
      <c r="X488" s="9"/>
      <c r="Y488" s="8"/>
      <c r="Z488" s="7"/>
      <c r="AA488" s="7"/>
      <c r="AB488" s="6"/>
    </row>
    <row r="489" spans="2:28" ht="30" hidden="1" customHeight="1">
      <c r="B489" s="46"/>
      <c r="C489" s="11" t="s">
        <v>33</v>
      </c>
      <c r="D489" s="11" t="s">
        <v>30</v>
      </c>
      <c r="E489" s="11"/>
      <c r="F489" s="34">
        <v>42220</v>
      </c>
      <c r="G489"/>
      <c r="H489"/>
      <c r="I489" s="32"/>
      <c r="J489"/>
      <c r="K489" s="31"/>
      <c r="L489" s="30">
        <v>66.400000000000006</v>
      </c>
      <c r="M489" s="29"/>
      <c r="N489" s="28">
        <f>IF(OR(TableauCB[[#This Row],[Etat]]="",TableauCB[[#This Row],[Etat]]="c"),IF(TableauCB[[#This Row],[Solde]]="","",N488),N488-TableauCB[[#This Row],[Débit]]+TableauCB[[#This Row],[Crédit]])</f>
        <v>6594.6060000000052</v>
      </c>
      <c r="O489" s="27" t="e">
        <f>IF(TableauCB[[#This Row],[Etat]]="xc",O488-TableauCB[[#This Row],[Débit]]+TableauCB[[#This Row],[Crédit]],O488-TableauCB[[#This Row],[Débit]])</f>
        <v>#VALUE!</v>
      </c>
      <c r="P489" s="27">
        <f>IF(AND(ISBLANK(TableauCB[[#This Row],[Débit]]),ISBLANK(TableauCB[[#This Row],[Crédit]])),"",P488+TableauCB[[#This Row],[Crédit]]-TableauCB[[#This Row],[Débit]])</f>
        <v>5628.6060000000052</v>
      </c>
      <c r="Q489" s="26"/>
      <c r="T489" s="10"/>
      <c r="U489" s="10"/>
      <c r="V489" s="9"/>
      <c r="W489" s="2"/>
      <c r="X489" s="9"/>
      <c r="Y489" s="8"/>
      <c r="Z489" s="7"/>
      <c r="AA489" s="7"/>
      <c r="AB489" s="6"/>
    </row>
    <row r="490" spans="2:28" ht="30" hidden="1" customHeight="1">
      <c r="B490" s="46"/>
      <c r="C490" s="11" t="s">
        <v>33</v>
      </c>
      <c r="D490" s="11" t="s">
        <v>30</v>
      </c>
      <c r="E490" s="11"/>
      <c r="F490" s="34">
        <v>42220</v>
      </c>
      <c r="G490"/>
      <c r="H490"/>
      <c r="I490" s="32"/>
      <c r="J490"/>
      <c r="K490" s="31"/>
      <c r="L490" s="30">
        <v>69.12</v>
      </c>
      <c r="M490" s="29"/>
      <c r="N490" s="28">
        <f>IF(OR(TableauCB[[#This Row],[Etat]]="",TableauCB[[#This Row],[Etat]]="c"),IF(TableauCB[[#This Row],[Solde]]="","",N489),N489-TableauCB[[#This Row],[Débit]]+TableauCB[[#This Row],[Crédit]])</f>
        <v>6525.4860000000053</v>
      </c>
      <c r="O490" s="27" t="e">
        <f>IF(TableauCB[[#This Row],[Etat]]="xc",O489-TableauCB[[#This Row],[Débit]]+TableauCB[[#This Row],[Crédit]],O489-TableauCB[[#This Row],[Débit]])</f>
        <v>#VALUE!</v>
      </c>
      <c r="P490" s="27">
        <f>IF(AND(ISBLANK(TableauCB[[#This Row],[Débit]]),ISBLANK(TableauCB[[#This Row],[Crédit]])),"",P489+TableauCB[[#This Row],[Crédit]]-TableauCB[[#This Row],[Débit]])</f>
        <v>5559.4860000000053</v>
      </c>
      <c r="Q490" s="26"/>
      <c r="T490" s="10"/>
      <c r="U490" s="10"/>
      <c r="V490" s="9"/>
      <c r="W490" s="2"/>
      <c r="X490" s="9"/>
      <c r="Y490" s="8"/>
      <c r="Z490" s="7"/>
      <c r="AA490" s="7"/>
      <c r="AB490" s="6"/>
    </row>
    <row r="491" spans="2:28" ht="30" hidden="1" customHeight="1">
      <c r="B491" s="46"/>
      <c r="C491" s="11" t="s">
        <v>33</v>
      </c>
      <c r="D491" s="11" t="s">
        <v>45</v>
      </c>
      <c r="E491" s="11"/>
      <c r="F491" s="34">
        <v>42221</v>
      </c>
      <c r="G491"/>
      <c r="H491"/>
      <c r="I491" s="32"/>
      <c r="J491"/>
      <c r="K491" s="31"/>
      <c r="L491" s="30"/>
      <c r="M491" s="29">
        <v>108</v>
      </c>
      <c r="N491" s="28">
        <f>IF(OR(TableauCB[[#This Row],[Etat]]="",TableauCB[[#This Row],[Etat]]="c"),IF(TableauCB[[#This Row],[Solde]]="","",N490),N490-TableauCB[[#This Row],[Débit]]+TableauCB[[#This Row],[Crédit]])</f>
        <v>6633.4860000000053</v>
      </c>
      <c r="O491" s="27" t="e">
        <f>IF(TableauCB[[#This Row],[Etat]]="xc",O490-TableauCB[[#This Row],[Débit]]+TableauCB[[#This Row],[Crédit]],O490-TableauCB[[#This Row],[Débit]])</f>
        <v>#VALUE!</v>
      </c>
      <c r="P491" s="27">
        <f>IF(AND(ISBLANK(TableauCB[[#This Row],[Débit]]),ISBLANK(TableauCB[[#This Row],[Crédit]])),"",P490+TableauCB[[#This Row],[Crédit]]-TableauCB[[#This Row],[Débit]])</f>
        <v>5667.4860000000053</v>
      </c>
      <c r="Q491" s="26"/>
      <c r="T491" s="10"/>
      <c r="U491" s="10"/>
      <c r="V491" s="9"/>
      <c r="W491" s="2"/>
      <c r="X491" s="9"/>
      <c r="Y491" s="8"/>
      <c r="Z491" s="7"/>
      <c r="AA491" s="7"/>
      <c r="AB491" s="6"/>
    </row>
    <row r="492" spans="2:28" ht="30" hidden="1" customHeight="1">
      <c r="B492" s="46"/>
      <c r="C492" s="11" t="s">
        <v>33</v>
      </c>
      <c r="D492" s="11" t="s">
        <v>21</v>
      </c>
      <c r="E492" s="11"/>
      <c r="F492" s="34">
        <v>42225</v>
      </c>
      <c r="G492"/>
      <c r="H492"/>
      <c r="I492" s="32"/>
      <c r="J492"/>
      <c r="K492" s="31"/>
      <c r="L492" s="30">
        <v>21.9</v>
      </c>
      <c r="M492" s="29"/>
      <c r="N492" s="28">
        <f>IF(OR(TableauCB[[#This Row],[Etat]]="",TableauCB[[#This Row],[Etat]]="c"),IF(TableauCB[[#This Row],[Solde]]="","",N491),N491-TableauCB[[#This Row],[Débit]]+TableauCB[[#This Row],[Crédit]])</f>
        <v>6611.5860000000057</v>
      </c>
      <c r="O492" s="27" t="e">
        <f>IF(TableauCB[[#This Row],[Etat]]="xc",O491-TableauCB[[#This Row],[Débit]]+TableauCB[[#This Row],[Crédit]],O491-TableauCB[[#This Row],[Débit]])</f>
        <v>#VALUE!</v>
      </c>
      <c r="P492" s="27">
        <f>IF(AND(ISBLANK(TableauCB[[#This Row],[Débit]]),ISBLANK(TableauCB[[#This Row],[Crédit]])),"",P491+TableauCB[[#This Row],[Crédit]]-TableauCB[[#This Row],[Débit]])</f>
        <v>5645.5860000000057</v>
      </c>
      <c r="Q492" s="26"/>
      <c r="T492" s="10"/>
      <c r="U492" s="10"/>
      <c r="V492" s="9"/>
      <c r="W492" s="2"/>
      <c r="X492" s="9"/>
      <c r="Y492" s="8"/>
      <c r="Z492" s="7"/>
      <c r="AA492" s="7"/>
      <c r="AB492" s="6"/>
    </row>
    <row r="493" spans="2:28" ht="30" hidden="1" customHeight="1">
      <c r="B493" s="46"/>
      <c r="C493" s="11" t="s">
        <v>33</v>
      </c>
      <c r="D493" s="11" t="s">
        <v>45</v>
      </c>
      <c r="E493" s="11"/>
      <c r="F493" s="34">
        <v>42226</v>
      </c>
      <c r="G493"/>
      <c r="H493"/>
      <c r="I493" s="32">
        <v>42256</v>
      </c>
      <c r="J493"/>
      <c r="K493" s="31"/>
      <c r="L493" s="30"/>
      <c r="M493" s="29">
        <v>1140</v>
      </c>
      <c r="N493" s="28">
        <f>IF(OR(TableauCB[[#This Row],[Etat]]="",TableauCB[[#This Row],[Etat]]="c"),IF(TableauCB[[#This Row],[Solde]]="","",N492),N492-TableauCB[[#This Row],[Débit]]+TableauCB[[#This Row],[Crédit]])</f>
        <v>7751.5860000000057</v>
      </c>
      <c r="O493" s="27" t="e">
        <f>IF(TableauCB[[#This Row],[Etat]]="xc",O492-TableauCB[[#This Row],[Débit]]+TableauCB[[#This Row],[Crédit]],O492-TableauCB[[#This Row],[Débit]])</f>
        <v>#VALUE!</v>
      </c>
      <c r="P493" s="27">
        <f>IF(AND(ISBLANK(TableauCB[[#This Row],[Débit]]),ISBLANK(TableauCB[[#This Row],[Crédit]])),"",P492+TableauCB[[#This Row],[Crédit]]-TableauCB[[#This Row],[Débit]])</f>
        <v>6785.5860000000057</v>
      </c>
      <c r="Q493" s="26"/>
      <c r="T493" s="10"/>
      <c r="U493" s="10"/>
      <c r="V493" s="9"/>
      <c r="W493" s="2"/>
      <c r="X493" s="9"/>
      <c r="Y493" s="8"/>
      <c r="Z493" s="7"/>
      <c r="AA493" s="7"/>
      <c r="AB493" s="6"/>
    </row>
    <row r="494" spans="2:28" ht="30" hidden="1" customHeight="1">
      <c r="B494" s="46"/>
      <c r="C494" s="11" t="s">
        <v>33</v>
      </c>
      <c r="D494" s="11" t="s">
        <v>45</v>
      </c>
      <c r="E494" s="11"/>
      <c r="F494" s="34">
        <v>42227</v>
      </c>
      <c r="G494"/>
      <c r="H494"/>
      <c r="I494" s="32">
        <v>42231</v>
      </c>
      <c r="J494"/>
      <c r="K494" s="31"/>
      <c r="L494" s="30">
        <v>400</v>
      </c>
      <c r="M494" s="29"/>
      <c r="N494" s="28">
        <f>IF(OR(TableauCB[[#This Row],[Etat]]="",TableauCB[[#This Row],[Etat]]="c"),IF(TableauCB[[#This Row],[Solde]]="","",N493),N493-TableauCB[[#This Row],[Débit]]+TableauCB[[#This Row],[Crédit]])</f>
        <v>7351.5860000000057</v>
      </c>
      <c r="O494" s="27" t="e">
        <f>IF(TableauCB[[#This Row],[Etat]]="xc",O493-TableauCB[[#This Row],[Débit]]+TableauCB[[#This Row],[Crédit]],O493-TableauCB[[#This Row],[Débit]])</f>
        <v>#VALUE!</v>
      </c>
      <c r="P494" s="27">
        <f>IF(AND(ISBLANK(TableauCB[[#This Row],[Débit]]),ISBLANK(TableauCB[[#This Row],[Crédit]])),"",P493+TableauCB[[#This Row],[Crédit]]-TableauCB[[#This Row],[Débit]])</f>
        <v>6385.5860000000057</v>
      </c>
      <c r="Q494" s="26"/>
      <c r="T494" s="10"/>
      <c r="U494" s="10"/>
      <c r="V494" s="9"/>
      <c r="W494" s="2"/>
      <c r="X494" s="9"/>
      <c r="Y494" s="8"/>
      <c r="Z494" s="7"/>
      <c r="AA494" s="7"/>
      <c r="AB494" s="6"/>
    </row>
    <row r="495" spans="2:28" ht="30" hidden="1" customHeight="1">
      <c r="B495" s="46"/>
      <c r="C495" s="11" t="s">
        <v>33</v>
      </c>
      <c r="D495" s="11" t="s">
        <v>15</v>
      </c>
      <c r="E495" s="11"/>
      <c r="F495" s="34">
        <v>42231</v>
      </c>
      <c r="G495"/>
      <c r="H495"/>
      <c r="I495" s="32"/>
      <c r="J495"/>
      <c r="K495" s="31"/>
      <c r="L495" s="30">
        <v>38</v>
      </c>
      <c r="M495" s="29"/>
      <c r="N495" s="28">
        <f>IF(OR(TableauCB[[#This Row],[Etat]]="",TableauCB[[#This Row],[Etat]]="c"),IF(TableauCB[[#This Row],[Solde]]="","",N494),N494-TableauCB[[#This Row],[Débit]]+TableauCB[[#This Row],[Crédit]])</f>
        <v>7313.5860000000057</v>
      </c>
      <c r="O495" s="27" t="e">
        <f>IF(TableauCB[[#This Row],[Etat]]="xc",O494-TableauCB[[#This Row],[Débit]]+TableauCB[[#This Row],[Crédit]],O494-TableauCB[[#This Row],[Débit]])</f>
        <v>#VALUE!</v>
      </c>
      <c r="P495" s="27">
        <f>IF(AND(ISBLANK(TableauCB[[#This Row],[Débit]]),ISBLANK(TableauCB[[#This Row],[Crédit]])),"",P494+TableauCB[[#This Row],[Crédit]]-TableauCB[[#This Row],[Débit]])</f>
        <v>6347.5860000000057</v>
      </c>
      <c r="Q495" s="26"/>
      <c r="T495" s="10"/>
      <c r="U495" s="10"/>
      <c r="V495" s="9"/>
      <c r="W495" s="2"/>
      <c r="X495" s="9"/>
      <c r="Y495" s="8"/>
      <c r="Z495" s="7"/>
      <c r="AA495" s="7"/>
      <c r="AB495" s="6"/>
    </row>
    <row r="496" spans="2:28" ht="30" hidden="1" customHeight="1">
      <c r="B496" s="46"/>
      <c r="C496" s="11" t="s">
        <v>33</v>
      </c>
      <c r="D496" s="11" t="s">
        <v>41</v>
      </c>
      <c r="E496" s="11"/>
      <c r="F496" s="34">
        <v>42233</v>
      </c>
      <c r="G496"/>
      <c r="H496"/>
      <c r="I496" s="32"/>
      <c r="J496"/>
      <c r="K496" s="31"/>
      <c r="L496" s="30">
        <v>91.5</v>
      </c>
      <c r="M496" s="29"/>
      <c r="N496" s="28">
        <f>IF(OR(TableauCB[[#This Row],[Etat]]="",TableauCB[[#This Row],[Etat]]="c"),IF(TableauCB[[#This Row],[Solde]]="","",N495),N495-TableauCB[[#This Row],[Débit]]+TableauCB[[#This Row],[Crédit]])</f>
        <v>7222.0860000000057</v>
      </c>
      <c r="O496" s="27" t="e">
        <f>IF(TableauCB[[#This Row],[Etat]]="xc",O495-TableauCB[[#This Row],[Débit]]+TableauCB[[#This Row],[Crédit]],O495-TableauCB[[#This Row],[Débit]])</f>
        <v>#VALUE!</v>
      </c>
      <c r="P496" s="27">
        <f>IF(AND(ISBLANK(TableauCB[[#This Row],[Débit]]),ISBLANK(TableauCB[[#This Row],[Crédit]])),"",P495+TableauCB[[#This Row],[Crédit]]-TableauCB[[#This Row],[Débit]])</f>
        <v>6256.0860000000057</v>
      </c>
      <c r="Q496" s="26"/>
      <c r="T496" s="10"/>
      <c r="U496" s="10"/>
      <c r="V496" s="9"/>
      <c r="W496" s="2"/>
      <c r="X496" s="9"/>
      <c r="Y496" s="8"/>
      <c r="Z496" s="7"/>
      <c r="AA496" s="7"/>
      <c r="AB496" s="6"/>
    </row>
    <row r="497" spans="2:28" ht="30" hidden="1" customHeight="1">
      <c r="B497" s="46"/>
      <c r="C497" s="11" t="s">
        <v>33</v>
      </c>
      <c r="D497" s="11" t="s">
        <v>5</v>
      </c>
      <c r="E497" s="11"/>
      <c r="F497" s="34">
        <v>42233</v>
      </c>
      <c r="G497"/>
      <c r="H497"/>
      <c r="I497" s="32"/>
      <c r="J497"/>
      <c r="K497" s="31"/>
      <c r="L497" s="30">
        <v>327.92</v>
      </c>
      <c r="M497" s="29"/>
      <c r="N497" s="28">
        <f>IF(OR(TableauCB[[#This Row],[Etat]]="",TableauCB[[#This Row],[Etat]]="c"),IF(TableauCB[[#This Row],[Solde]]="","",N496),N496-TableauCB[[#This Row],[Débit]]+TableauCB[[#This Row],[Crédit]])</f>
        <v>6894.1660000000056</v>
      </c>
      <c r="O497" s="27" t="e">
        <f>IF(TableauCB[[#This Row],[Etat]]="xc",O496-TableauCB[[#This Row],[Débit]]+TableauCB[[#This Row],[Crédit]],O496-TableauCB[[#This Row],[Débit]])</f>
        <v>#VALUE!</v>
      </c>
      <c r="P497" s="27">
        <f>IF(AND(ISBLANK(TableauCB[[#This Row],[Débit]]),ISBLANK(TableauCB[[#This Row],[Crédit]])),"",P496+TableauCB[[#This Row],[Crédit]]-TableauCB[[#This Row],[Débit]])</f>
        <v>5928.1660000000056</v>
      </c>
      <c r="Q497" s="26"/>
      <c r="T497" s="10"/>
      <c r="U497" s="10"/>
      <c r="V497" s="9"/>
      <c r="W497" s="2"/>
      <c r="X497" s="9"/>
      <c r="Y497" s="8"/>
      <c r="Z497" s="7"/>
      <c r="AA497" s="7"/>
      <c r="AB497" s="6"/>
    </row>
    <row r="498" spans="2:28" ht="30" hidden="1" customHeight="1">
      <c r="B498" s="46"/>
      <c r="C498" s="11" t="s">
        <v>33</v>
      </c>
      <c r="D498" s="11" t="s">
        <v>45</v>
      </c>
      <c r="E498" s="11"/>
      <c r="F498" s="34">
        <v>42235</v>
      </c>
      <c r="G498"/>
      <c r="H498"/>
      <c r="I498" s="32">
        <v>42240</v>
      </c>
      <c r="J498"/>
      <c r="K498" s="31"/>
      <c r="L498" s="30"/>
      <c r="M498" s="29">
        <v>480</v>
      </c>
      <c r="N498" s="28">
        <f>IF(OR(TableauCB[[#This Row],[Etat]]="",TableauCB[[#This Row],[Etat]]="c"),IF(TableauCB[[#This Row],[Solde]]="","",N497),N497-TableauCB[[#This Row],[Débit]]+TableauCB[[#This Row],[Crédit]])</f>
        <v>7374.1660000000056</v>
      </c>
      <c r="O498" s="27" t="e">
        <f>IF(TableauCB[[#This Row],[Etat]]="xc",O497-TableauCB[[#This Row],[Débit]]+TableauCB[[#This Row],[Crédit]],O497-TableauCB[[#This Row],[Débit]])</f>
        <v>#VALUE!</v>
      </c>
      <c r="P498" s="27">
        <f>IF(AND(ISBLANK(TableauCB[[#This Row],[Débit]]),ISBLANK(TableauCB[[#This Row],[Crédit]])),"",P497+TableauCB[[#This Row],[Crédit]]-TableauCB[[#This Row],[Débit]])</f>
        <v>6408.1660000000056</v>
      </c>
      <c r="Q498" s="26"/>
      <c r="T498" s="10"/>
      <c r="U498" s="10"/>
      <c r="V498" s="9"/>
      <c r="W498" s="2"/>
      <c r="X498" s="9"/>
      <c r="Y498" s="8"/>
      <c r="Z498" s="7"/>
      <c r="AA498" s="7"/>
      <c r="AB498" s="6"/>
    </row>
    <row r="499" spans="2:28" ht="30" hidden="1" customHeight="1">
      <c r="B499" s="46"/>
      <c r="C499" s="11" t="s">
        <v>33</v>
      </c>
      <c r="D499" s="11" t="s">
        <v>45</v>
      </c>
      <c r="E499" s="11"/>
      <c r="F499" s="34">
        <v>42236</v>
      </c>
      <c r="G499"/>
      <c r="H499"/>
      <c r="I499" s="32">
        <v>42262</v>
      </c>
      <c r="J499"/>
      <c r="K499" s="31"/>
      <c r="L499" s="30">
        <v>350</v>
      </c>
      <c r="M499" s="29"/>
      <c r="N499" s="28">
        <f>IF(OR(TableauCB[[#This Row],[Etat]]="",TableauCB[[#This Row],[Etat]]="c"),IF(TableauCB[[#This Row],[Solde]]="","",N498),N498-TableauCB[[#This Row],[Débit]]+TableauCB[[#This Row],[Crédit]])</f>
        <v>7024.1660000000056</v>
      </c>
      <c r="O499" s="27" t="e">
        <f>IF(TableauCB[[#This Row],[Etat]]="xc",O498-TableauCB[[#This Row],[Débit]]+TableauCB[[#This Row],[Crédit]],O498-TableauCB[[#This Row],[Débit]])</f>
        <v>#VALUE!</v>
      </c>
      <c r="P499" s="27">
        <f>IF(AND(ISBLANK(TableauCB[[#This Row],[Débit]]),ISBLANK(TableauCB[[#This Row],[Crédit]])),"",P498+TableauCB[[#This Row],[Crédit]]-TableauCB[[#This Row],[Débit]])</f>
        <v>6058.1660000000056</v>
      </c>
      <c r="Q499" s="26"/>
      <c r="T499" s="10"/>
      <c r="U499" s="10"/>
      <c r="V499" s="9"/>
      <c r="W499" s="2"/>
      <c r="X499" s="9"/>
      <c r="Y499" s="8"/>
      <c r="Z499" s="7"/>
      <c r="AA499" s="7"/>
      <c r="AB499" s="6"/>
    </row>
    <row r="500" spans="2:28" ht="30" hidden="1" customHeight="1">
      <c r="B500" s="46"/>
      <c r="C500" s="11" t="s">
        <v>33</v>
      </c>
      <c r="D500" s="11" t="s">
        <v>17</v>
      </c>
      <c r="E500" s="11"/>
      <c r="F500" s="34">
        <v>42237</v>
      </c>
      <c r="G500"/>
      <c r="H500"/>
      <c r="I500" s="32"/>
      <c r="J500"/>
      <c r="K500" s="31"/>
      <c r="L500" s="30">
        <v>41.4</v>
      </c>
      <c r="M500" s="29"/>
      <c r="N500" s="28">
        <f>IF(OR(TableauCB[[#This Row],[Etat]]="",TableauCB[[#This Row],[Etat]]="c"),IF(TableauCB[[#This Row],[Solde]]="","",N499),N499-TableauCB[[#This Row],[Débit]]+TableauCB[[#This Row],[Crédit]])</f>
        <v>6982.766000000006</v>
      </c>
      <c r="O500" s="27" t="e">
        <f>IF(TableauCB[[#This Row],[Etat]]="xc",O499-TableauCB[[#This Row],[Débit]]+TableauCB[[#This Row],[Crédit]],O499-TableauCB[[#This Row],[Débit]])</f>
        <v>#VALUE!</v>
      </c>
      <c r="P500" s="27">
        <f>IF(AND(ISBLANK(TableauCB[[#This Row],[Débit]]),ISBLANK(TableauCB[[#This Row],[Crédit]])),"",P499+TableauCB[[#This Row],[Crédit]]-TableauCB[[#This Row],[Débit]])</f>
        <v>6016.766000000006</v>
      </c>
      <c r="Q500" s="26"/>
      <c r="T500" s="10"/>
      <c r="U500" s="10"/>
      <c r="V500" s="9"/>
      <c r="W500" s="2"/>
      <c r="X500" s="9"/>
      <c r="Y500" s="8"/>
      <c r="Z500" s="7"/>
      <c r="AA500" s="7"/>
      <c r="AB500" s="6"/>
    </row>
    <row r="501" spans="2:28" ht="30" hidden="1" customHeight="1">
      <c r="B501" s="46"/>
      <c r="C501" s="11" t="s">
        <v>33</v>
      </c>
      <c r="D501" s="11" t="s">
        <v>9</v>
      </c>
      <c r="E501" s="11"/>
      <c r="F501" s="34">
        <v>42238</v>
      </c>
      <c r="G501"/>
      <c r="H501"/>
      <c r="I501" s="32">
        <v>42262</v>
      </c>
      <c r="J501"/>
      <c r="K501" s="31"/>
      <c r="L501" s="30">
        <v>426.69</v>
      </c>
      <c r="M501" s="29"/>
      <c r="N501" s="28">
        <f>IF(OR(TableauCB[[#This Row],[Etat]]="",TableauCB[[#This Row],[Etat]]="c"),IF(TableauCB[[#This Row],[Solde]]="","",N500),N500-TableauCB[[#This Row],[Débit]]+TableauCB[[#This Row],[Crédit]])</f>
        <v>6556.0760000000064</v>
      </c>
      <c r="O501" s="27" t="e">
        <f>IF(TableauCB[[#This Row],[Etat]]="xc",O500-TableauCB[[#This Row],[Débit]]+TableauCB[[#This Row],[Crédit]],O500-TableauCB[[#This Row],[Débit]])</f>
        <v>#VALUE!</v>
      </c>
      <c r="P501" s="27">
        <f>IF(AND(ISBLANK(TableauCB[[#This Row],[Débit]]),ISBLANK(TableauCB[[#This Row],[Crédit]])),"",P500+TableauCB[[#This Row],[Crédit]]-TableauCB[[#This Row],[Débit]])</f>
        <v>5590.0760000000064</v>
      </c>
      <c r="Q501" s="26"/>
      <c r="T501" s="10"/>
      <c r="U501" s="10"/>
      <c r="V501" s="9"/>
      <c r="W501" s="2"/>
      <c r="X501" s="9"/>
      <c r="Y501" s="8"/>
      <c r="Z501" s="7"/>
      <c r="AA501" s="7"/>
      <c r="AB501" s="6"/>
    </row>
    <row r="502" spans="2:28" ht="30" hidden="1" customHeight="1">
      <c r="B502" s="46"/>
      <c r="C502" s="11" t="s">
        <v>33</v>
      </c>
      <c r="D502" s="11" t="s">
        <v>58</v>
      </c>
      <c r="E502" s="11"/>
      <c r="F502" s="34">
        <v>42238</v>
      </c>
      <c r="G502"/>
      <c r="H502"/>
      <c r="I502" s="32"/>
      <c r="J502"/>
      <c r="K502" s="31"/>
      <c r="L502" s="30">
        <v>57</v>
      </c>
      <c r="M502" s="29"/>
      <c r="N502" s="28">
        <f>IF(OR(TableauCB[[#This Row],[Etat]]="",TableauCB[[#This Row],[Etat]]="c"),IF(TableauCB[[#This Row],[Solde]]="","",N501),N501-TableauCB[[#This Row],[Débit]]+TableauCB[[#This Row],[Crédit]])</f>
        <v>6499.0760000000064</v>
      </c>
      <c r="O502" s="27" t="e">
        <f>IF(TableauCB[[#This Row],[Etat]]="xc",O501-TableauCB[[#This Row],[Débit]]+TableauCB[[#This Row],[Crédit]],O501-TableauCB[[#This Row],[Débit]])</f>
        <v>#VALUE!</v>
      </c>
      <c r="P502" s="27">
        <f>IF(AND(ISBLANK(TableauCB[[#This Row],[Débit]]),ISBLANK(TableauCB[[#This Row],[Crédit]])),"",P501+TableauCB[[#This Row],[Crédit]]-TableauCB[[#This Row],[Débit]])</f>
        <v>5533.0760000000064</v>
      </c>
      <c r="Q502" s="26"/>
      <c r="S502" s="41"/>
      <c r="T502" s="24"/>
      <c r="U502" s="10"/>
      <c r="V502" s="9"/>
      <c r="W502" s="2"/>
      <c r="X502" s="9"/>
      <c r="Y502" s="8"/>
      <c r="Z502" s="7"/>
      <c r="AA502" s="7"/>
      <c r="AB502" s="6"/>
    </row>
    <row r="503" spans="2:28" ht="30" hidden="1" customHeight="1">
      <c r="B503" s="46"/>
      <c r="C503" s="11" t="s">
        <v>33</v>
      </c>
      <c r="D503" s="11" t="s">
        <v>17</v>
      </c>
      <c r="E503" s="11"/>
      <c r="F503" s="34">
        <v>42242</v>
      </c>
      <c r="G503"/>
      <c r="H503"/>
      <c r="I503" s="32">
        <v>42242</v>
      </c>
      <c r="J503"/>
      <c r="K503" s="31"/>
      <c r="L503" s="30">
        <v>3.59</v>
      </c>
      <c r="M503" s="29"/>
      <c r="N503" s="28">
        <f>IF(OR(TableauCB[[#This Row],[Etat]]="",TableauCB[[#This Row],[Etat]]="c"),IF(TableauCB[[#This Row],[Solde]]="","",N502),N502-TableauCB[[#This Row],[Débit]]+TableauCB[[#This Row],[Crédit]])</f>
        <v>6495.4860000000062</v>
      </c>
      <c r="O503" s="27" t="e">
        <f>IF(TableauCB[[#This Row],[Etat]]="xc",O502-TableauCB[[#This Row],[Débit]]+TableauCB[[#This Row],[Crédit]],O502-TableauCB[[#This Row],[Débit]])</f>
        <v>#VALUE!</v>
      </c>
      <c r="P503" s="27">
        <f>IF(AND(ISBLANK(TableauCB[[#This Row],[Débit]]),ISBLANK(TableauCB[[#This Row],[Crédit]])),"",P502+TableauCB[[#This Row],[Crédit]]-TableauCB[[#This Row],[Débit]])</f>
        <v>5529.4860000000062</v>
      </c>
      <c r="Q503" s="26"/>
      <c r="S503" s="41"/>
      <c r="T503" s="24"/>
      <c r="U503" s="10"/>
      <c r="V503" s="9"/>
      <c r="W503" s="2"/>
      <c r="X503" s="9"/>
      <c r="Y503" s="8"/>
      <c r="Z503" s="7"/>
      <c r="AA503" s="7"/>
      <c r="AB503" s="6"/>
    </row>
    <row r="504" spans="2:28" ht="30" hidden="1" customHeight="1">
      <c r="B504" s="46"/>
      <c r="C504" s="11" t="s">
        <v>33</v>
      </c>
      <c r="D504" s="11" t="s">
        <v>5</v>
      </c>
      <c r="E504" s="11"/>
      <c r="F504" s="34">
        <v>42243</v>
      </c>
      <c r="G504"/>
      <c r="H504"/>
      <c r="I504" s="32">
        <v>42247</v>
      </c>
      <c r="J504"/>
      <c r="K504" s="31"/>
      <c r="L504" s="30">
        <v>600</v>
      </c>
      <c r="M504" s="29"/>
      <c r="N504" s="28">
        <f>IF(OR(TableauCB[[#This Row],[Etat]]="",TableauCB[[#This Row],[Etat]]="c"),IF(TableauCB[[#This Row],[Solde]]="","",N503),N503-TableauCB[[#This Row],[Débit]]+TableauCB[[#This Row],[Crédit]])</f>
        <v>5895.4860000000062</v>
      </c>
      <c r="O504" s="27" t="e">
        <f>IF(TableauCB[[#This Row],[Etat]]="xc",O503-TableauCB[[#This Row],[Débit]]+TableauCB[[#This Row],[Crédit]],O503-TableauCB[[#This Row],[Débit]])</f>
        <v>#VALUE!</v>
      </c>
      <c r="P504" s="27">
        <f>IF(AND(ISBLANK(TableauCB[[#This Row],[Débit]]),ISBLANK(TableauCB[[#This Row],[Crédit]])),"",P503+TableauCB[[#This Row],[Crédit]]-TableauCB[[#This Row],[Débit]])</f>
        <v>4929.4860000000062</v>
      </c>
      <c r="Q504" s="26"/>
      <c r="R504" s="25"/>
      <c r="S504" s="25"/>
      <c r="T504" s="10"/>
      <c r="U504" s="10"/>
      <c r="V504" s="9"/>
      <c r="W504" s="2"/>
      <c r="X504" s="9"/>
      <c r="Y504" s="8"/>
      <c r="Z504" s="7"/>
      <c r="AA504" s="7"/>
      <c r="AB504" s="6"/>
    </row>
    <row r="505" spans="2:28" ht="30" hidden="1" customHeight="1">
      <c r="B505" s="46"/>
      <c r="C505" s="11" t="s">
        <v>33</v>
      </c>
      <c r="D505" s="11" t="s">
        <v>5</v>
      </c>
      <c r="E505" s="11"/>
      <c r="F505" s="34">
        <v>42243</v>
      </c>
      <c r="G505"/>
      <c r="H505"/>
      <c r="I505" s="32">
        <v>42247</v>
      </c>
      <c r="J505"/>
      <c r="K505" s="31"/>
      <c r="L505" s="30">
        <v>923.67</v>
      </c>
      <c r="M505" s="29"/>
      <c r="N505" s="28">
        <f>IF(OR(TableauCB[[#This Row],[Etat]]="",TableauCB[[#This Row],[Etat]]="c"),IF(TableauCB[[#This Row],[Solde]]="","",N504),N504-TableauCB[[#This Row],[Débit]]+TableauCB[[#This Row],[Crédit]])</f>
        <v>4971.8160000000062</v>
      </c>
      <c r="O505" s="27" t="e">
        <f>IF(TableauCB[[#This Row],[Etat]]="xc",O504-TableauCB[[#This Row],[Débit]]+TableauCB[[#This Row],[Crédit]],O504-TableauCB[[#This Row],[Débit]])</f>
        <v>#VALUE!</v>
      </c>
      <c r="P505" s="27">
        <f>IF(AND(ISBLANK(TableauCB[[#This Row],[Débit]]),ISBLANK(TableauCB[[#This Row],[Crédit]])),"",P504+TableauCB[[#This Row],[Crédit]]-TableauCB[[#This Row],[Débit]])</f>
        <v>4005.8160000000062</v>
      </c>
      <c r="Q505" s="26"/>
      <c r="R505" s="25"/>
      <c r="S505" s="25"/>
      <c r="T505" s="10"/>
      <c r="U505" s="10"/>
      <c r="V505" s="9"/>
      <c r="W505" s="2"/>
      <c r="X505" s="9"/>
      <c r="Y505" s="8"/>
      <c r="Z505" s="7"/>
      <c r="AA505" s="7"/>
      <c r="AB505" s="6"/>
    </row>
    <row r="506" spans="2:28" ht="30" hidden="1" customHeight="1">
      <c r="B506" s="46"/>
      <c r="C506" s="11" t="s">
        <v>33</v>
      </c>
      <c r="D506" s="11" t="s">
        <v>37</v>
      </c>
      <c r="E506" s="11"/>
      <c r="F506" s="34">
        <v>42244</v>
      </c>
      <c r="G506"/>
      <c r="H506"/>
      <c r="I506" s="32"/>
      <c r="J506"/>
      <c r="K506" s="31"/>
      <c r="L506" s="30">
        <v>93.8</v>
      </c>
      <c r="M506" s="29"/>
      <c r="N506" s="28">
        <f>IF(OR(TableauCB[[#This Row],[Etat]]="",TableauCB[[#This Row],[Etat]]="c"),IF(TableauCB[[#This Row],[Solde]]="","",N505),N505-TableauCB[[#This Row],[Débit]]+TableauCB[[#This Row],[Crédit]])</f>
        <v>4878.016000000006</v>
      </c>
      <c r="O506" s="27" t="e">
        <f>IF(TableauCB[[#This Row],[Etat]]="xc",O505-TableauCB[[#This Row],[Débit]]+TableauCB[[#This Row],[Crédit]],O505-TableauCB[[#This Row],[Débit]])</f>
        <v>#VALUE!</v>
      </c>
      <c r="P506" s="27">
        <f>IF(AND(ISBLANK(TableauCB[[#This Row],[Débit]]),ISBLANK(TableauCB[[#This Row],[Crédit]])),"",P505+TableauCB[[#This Row],[Crédit]]-TableauCB[[#This Row],[Débit]])</f>
        <v>3912.016000000006</v>
      </c>
      <c r="Q506" s="26"/>
      <c r="R506" s="25"/>
      <c r="S506" s="25"/>
      <c r="T506" s="10"/>
      <c r="U506" s="10"/>
      <c r="V506" s="9"/>
      <c r="W506" s="2"/>
      <c r="X506" s="9"/>
      <c r="Y506" s="8"/>
      <c r="Z506" s="7"/>
      <c r="AA506" s="7"/>
      <c r="AB506" s="6"/>
    </row>
    <row r="507" spans="2:28" ht="30" hidden="1" customHeight="1">
      <c r="B507" s="46"/>
      <c r="C507" s="11" t="s">
        <v>33</v>
      </c>
      <c r="D507" s="11" t="s">
        <v>11</v>
      </c>
      <c r="E507" s="11"/>
      <c r="F507" s="34">
        <v>42246</v>
      </c>
      <c r="G507"/>
      <c r="H507"/>
      <c r="I507" s="32">
        <v>42282</v>
      </c>
      <c r="J507"/>
      <c r="K507" s="31"/>
      <c r="L507" s="30"/>
      <c r="M507" s="29">
        <v>108</v>
      </c>
      <c r="N507" s="28">
        <f>IF(OR(TableauCB[[#This Row],[Etat]]="",TableauCB[[#This Row],[Etat]]="c"),IF(TableauCB[[#This Row],[Solde]]="","",N506),N506-TableauCB[[#This Row],[Débit]]+TableauCB[[#This Row],[Crédit]])</f>
        <v>4986.016000000006</v>
      </c>
      <c r="O507" s="27" t="e">
        <f>IF(TableauCB[[#This Row],[Etat]]="xc",O506-TableauCB[[#This Row],[Débit]]+TableauCB[[#This Row],[Crédit]],O506-TableauCB[[#This Row],[Débit]])</f>
        <v>#VALUE!</v>
      </c>
      <c r="P507" s="27">
        <f>IF(AND(ISBLANK(TableauCB[[#This Row],[Débit]]),ISBLANK(TableauCB[[#This Row],[Crédit]])),"",P506+TableauCB[[#This Row],[Crédit]]-TableauCB[[#This Row],[Débit]])</f>
        <v>4020.016000000006</v>
      </c>
      <c r="Q507" s="26"/>
      <c r="R507" s="25"/>
      <c r="S507" s="25"/>
      <c r="T507" s="10"/>
      <c r="U507" s="10"/>
      <c r="V507" s="9"/>
      <c r="W507" s="2"/>
      <c r="X507" s="9"/>
      <c r="Y507" s="8"/>
      <c r="Z507" s="7"/>
      <c r="AA507" s="7"/>
      <c r="AB507" s="6"/>
    </row>
    <row r="508" spans="2:28" ht="30" hidden="1" customHeight="1">
      <c r="B508" s="46"/>
      <c r="C508" s="11" t="s">
        <v>33</v>
      </c>
      <c r="D508" s="11" t="s">
        <v>30</v>
      </c>
      <c r="E508" s="11"/>
      <c r="F508" s="34">
        <v>42246</v>
      </c>
      <c r="G508"/>
      <c r="H508"/>
      <c r="I508" s="32">
        <v>42248</v>
      </c>
      <c r="J508"/>
      <c r="K508" s="31"/>
      <c r="L508" s="30">
        <v>12.6</v>
      </c>
      <c r="M508" s="29"/>
      <c r="N508" s="28">
        <f>IF(OR(TableauCB[[#This Row],[Etat]]="",TableauCB[[#This Row],[Etat]]="c"),IF(TableauCB[[#This Row],[Solde]]="","",N507),N507-TableauCB[[#This Row],[Débit]]+TableauCB[[#This Row],[Crédit]])</f>
        <v>4973.4160000000056</v>
      </c>
      <c r="O508" s="27" t="e">
        <f>IF(TableauCB[[#This Row],[Etat]]="xc",O507-TableauCB[[#This Row],[Débit]]+TableauCB[[#This Row],[Crédit]],O507-TableauCB[[#This Row],[Débit]])</f>
        <v>#VALUE!</v>
      </c>
      <c r="P508" s="27">
        <f>IF(AND(ISBLANK(TableauCB[[#This Row],[Débit]]),ISBLANK(TableauCB[[#This Row],[Crédit]])),"",P507+TableauCB[[#This Row],[Crédit]]-TableauCB[[#This Row],[Débit]])</f>
        <v>4007.4160000000061</v>
      </c>
      <c r="Q508" s="26"/>
      <c r="R508" s="25"/>
      <c r="S508" s="25"/>
      <c r="T508" s="10"/>
      <c r="U508" s="10"/>
      <c r="V508" s="9"/>
      <c r="W508" s="2"/>
      <c r="X508" s="9"/>
      <c r="Y508" s="8"/>
      <c r="Z508" s="7"/>
      <c r="AA508" s="7"/>
      <c r="AB508" s="6"/>
    </row>
    <row r="509" spans="2:28" ht="30" hidden="1" customHeight="1">
      <c r="B509" s="46"/>
      <c r="C509" s="11" t="s">
        <v>33</v>
      </c>
      <c r="D509" s="11" t="s">
        <v>11</v>
      </c>
      <c r="E509" s="11"/>
      <c r="F509" s="34">
        <v>42246</v>
      </c>
      <c r="G509"/>
      <c r="H509"/>
      <c r="I509" s="32">
        <v>42294</v>
      </c>
      <c r="J509"/>
      <c r="K509" s="31"/>
      <c r="L509" s="30"/>
      <c r="M509" s="29">
        <v>198</v>
      </c>
      <c r="N509" s="28">
        <f>IF(OR(TableauCB[[#This Row],[Etat]]="",TableauCB[[#This Row],[Etat]]="c"),IF(TableauCB[[#This Row],[Solde]]="","",N508),N508-TableauCB[[#This Row],[Débit]]+TableauCB[[#This Row],[Crédit]])</f>
        <v>5171.4160000000056</v>
      </c>
      <c r="O509" s="27" t="e">
        <f>IF(TableauCB[[#This Row],[Etat]]="xc",O508-TableauCB[[#This Row],[Débit]]+TableauCB[[#This Row],[Crédit]],O508-TableauCB[[#This Row],[Débit]])</f>
        <v>#VALUE!</v>
      </c>
      <c r="P509" s="27">
        <f>IF(AND(ISBLANK(TableauCB[[#This Row],[Débit]]),ISBLANK(TableauCB[[#This Row],[Crédit]])),"",P508+TableauCB[[#This Row],[Crédit]]-TableauCB[[#This Row],[Débit]])</f>
        <v>4205.4160000000065</v>
      </c>
      <c r="Q509" s="26"/>
      <c r="R509" s="25"/>
      <c r="S509" s="25"/>
      <c r="T509" s="10"/>
      <c r="U509" s="10"/>
      <c r="V509" s="9"/>
      <c r="W509" s="2"/>
      <c r="X509" s="9"/>
      <c r="Y509" s="8"/>
      <c r="Z509" s="7"/>
      <c r="AA509" s="7"/>
      <c r="AB509" s="6"/>
    </row>
    <row r="510" spans="2:28" ht="30" hidden="1" customHeight="1">
      <c r="B510" s="46"/>
      <c r="C510" s="11" t="s">
        <v>33</v>
      </c>
      <c r="D510" s="11" t="s">
        <v>11</v>
      </c>
      <c r="E510" s="11"/>
      <c r="F510" s="34">
        <v>42246</v>
      </c>
      <c r="G510"/>
      <c r="H510"/>
      <c r="I510" s="32">
        <v>42321</v>
      </c>
      <c r="J510"/>
      <c r="K510" s="31"/>
      <c r="L510" s="30"/>
      <c r="M510" s="29">
        <v>151.80000000000001</v>
      </c>
      <c r="N510" s="28">
        <f>IF(OR(TableauCB[[#This Row],[Etat]]="",TableauCB[[#This Row],[Etat]]="c"),IF(TableauCB[[#This Row],[Solde]]="","",N509),N509-TableauCB[[#This Row],[Débit]]+TableauCB[[#This Row],[Crédit]])</f>
        <v>5323.2160000000058</v>
      </c>
      <c r="O510" s="27" t="e">
        <f>IF(TableauCB[[#This Row],[Etat]]="xc",O509-TableauCB[[#This Row],[Débit]]+TableauCB[[#This Row],[Crédit]],O509-TableauCB[[#This Row],[Débit]])</f>
        <v>#VALUE!</v>
      </c>
      <c r="P510" s="27">
        <f>IF(AND(ISBLANK(TableauCB[[#This Row],[Débit]]),ISBLANK(TableauCB[[#This Row],[Crédit]])),"",P509+TableauCB[[#This Row],[Crédit]]-TableauCB[[#This Row],[Débit]])</f>
        <v>4357.2160000000067</v>
      </c>
      <c r="Q510" s="26"/>
      <c r="R510" s="25"/>
      <c r="S510" s="25"/>
      <c r="T510" s="10"/>
      <c r="U510" s="10"/>
      <c r="V510" s="9"/>
      <c r="W510" s="2"/>
      <c r="X510" s="9"/>
      <c r="Y510" s="8"/>
      <c r="Z510" s="7"/>
      <c r="AA510" s="7"/>
      <c r="AB510" s="6"/>
    </row>
    <row r="511" spans="2:28" ht="30" hidden="1" customHeight="1">
      <c r="B511" s="46"/>
      <c r="C511" s="11" t="s">
        <v>33</v>
      </c>
      <c r="D511" s="11" t="s">
        <v>11</v>
      </c>
      <c r="E511" s="11"/>
      <c r="F511" s="34">
        <v>42246</v>
      </c>
      <c r="G511"/>
      <c r="H511"/>
      <c r="I511" s="32">
        <v>42265</v>
      </c>
      <c r="J511"/>
      <c r="K511" s="31"/>
      <c r="L511" s="30"/>
      <c r="M511" s="29">
        <v>522</v>
      </c>
      <c r="N511" s="28">
        <f>IF(OR(TableauCB[[#This Row],[Etat]]="",TableauCB[[#This Row],[Etat]]="c"),IF(TableauCB[[#This Row],[Solde]]="","",N510),N510-TableauCB[[#This Row],[Débit]]+TableauCB[[#This Row],[Crédit]])</f>
        <v>5845.2160000000058</v>
      </c>
      <c r="O511" s="27" t="e">
        <f>IF(TableauCB[[#This Row],[Etat]]="xc",O510-TableauCB[[#This Row],[Débit]]+TableauCB[[#This Row],[Crédit]],O510-TableauCB[[#This Row],[Débit]])</f>
        <v>#VALUE!</v>
      </c>
      <c r="P511" s="27">
        <f>IF(AND(ISBLANK(TableauCB[[#This Row],[Débit]]),ISBLANK(TableauCB[[#This Row],[Crédit]])),"",P510+TableauCB[[#This Row],[Crédit]]-TableauCB[[#This Row],[Débit]])</f>
        <v>4879.2160000000067</v>
      </c>
      <c r="Q511" s="26"/>
      <c r="R511" s="25"/>
      <c r="S511" s="25"/>
      <c r="T511" s="10"/>
      <c r="U511" s="10"/>
      <c r="V511" s="9"/>
      <c r="W511" s="2"/>
      <c r="X511" s="9"/>
      <c r="Y511" s="8"/>
      <c r="Z511" s="7"/>
      <c r="AA511" s="7"/>
      <c r="AB511" s="6"/>
    </row>
    <row r="512" spans="2:28" ht="30" hidden="1" customHeight="1">
      <c r="B512" s="46"/>
      <c r="C512" s="11" t="s">
        <v>33</v>
      </c>
      <c r="D512" s="11" t="s">
        <v>11</v>
      </c>
      <c r="E512" s="11"/>
      <c r="F512" s="34">
        <v>42246</v>
      </c>
      <c r="G512"/>
      <c r="H512"/>
      <c r="I512" s="32">
        <v>42278</v>
      </c>
      <c r="J512"/>
      <c r="K512" s="31"/>
      <c r="L512" s="30"/>
      <c r="M512" s="29">
        <v>192</v>
      </c>
      <c r="N512" s="28">
        <f>IF(OR(TableauCB[[#This Row],[Etat]]="",TableauCB[[#This Row],[Etat]]="c"),IF(TableauCB[[#This Row],[Solde]]="","",N511),N511-TableauCB[[#This Row],[Débit]]+TableauCB[[#This Row],[Crédit]])</f>
        <v>6037.2160000000058</v>
      </c>
      <c r="O512" s="27" t="e">
        <f>IF(TableauCB[[#This Row],[Etat]]="xc",O511-TableauCB[[#This Row],[Débit]]+TableauCB[[#This Row],[Crédit]],O511-TableauCB[[#This Row],[Débit]])</f>
        <v>#VALUE!</v>
      </c>
      <c r="P512" s="27">
        <f>IF(AND(ISBLANK(TableauCB[[#This Row],[Débit]]),ISBLANK(TableauCB[[#This Row],[Crédit]])),"",P511+TableauCB[[#This Row],[Crédit]]-TableauCB[[#This Row],[Débit]])</f>
        <v>5071.2160000000067</v>
      </c>
      <c r="Q512" s="26"/>
      <c r="T512" s="10"/>
      <c r="U512" s="10"/>
      <c r="V512" s="9"/>
      <c r="W512" s="2"/>
      <c r="X512" s="9"/>
      <c r="Y512" s="8"/>
      <c r="Z512" s="7"/>
      <c r="AA512" s="7"/>
      <c r="AB512" s="6"/>
    </row>
    <row r="513" spans="2:28" ht="30" hidden="1" customHeight="1">
      <c r="B513" s="46"/>
      <c r="C513" s="11" t="s">
        <v>33</v>
      </c>
      <c r="D513" s="11" t="s">
        <v>11</v>
      </c>
      <c r="E513" s="11"/>
      <c r="F513" s="34">
        <v>42246</v>
      </c>
      <c r="G513"/>
      <c r="H513"/>
      <c r="I513" s="32">
        <v>42278</v>
      </c>
      <c r="J513"/>
      <c r="K513" s="31"/>
      <c r="L513" s="30"/>
      <c r="M513" s="29">
        <v>624</v>
      </c>
      <c r="N513" s="28">
        <f>IF(OR(TableauCB[[#This Row],[Etat]]="",TableauCB[[#This Row],[Etat]]="c"),IF(TableauCB[[#This Row],[Solde]]="","",N512),N512-TableauCB[[#This Row],[Débit]]+TableauCB[[#This Row],[Crédit]])</f>
        <v>6661.2160000000058</v>
      </c>
      <c r="O513" s="27" t="e">
        <f>IF(TableauCB[[#This Row],[Etat]]="xc",O512-TableauCB[[#This Row],[Débit]]+TableauCB[[#This Row],[Crédit]],O512-TableauCB[[#This Row],[Débit]])</f>
        <v>#VALUE!</v>
      </c>
      <c r="P513" s="27">
        <f>IF(AND(ISBLANK(TableauCB[[#This Row],[Débit]]),ISBLANK(TableauCB[[#This Row],[Crédit]])),"",P512+TableauCB[[#This Row],[Crédit]]-TableauCB[[#This Row],[Débit]])</f>
        <v>5695.2160000000067</v>
      </c>
      <c r="Q513" s="26"/>
      <c r="T513" s="10"/>
      <c r="U513" s="10"/>
      <c r="V513" s="9"/>
      <c r="W513" s="2"/>
      <c r="X513" s="9"/>
      <c r="Y513" s="8"/>
      <c r="Z513" s="7"/>
      <c r="AA513" s="7"/>
      <c r="AB513" s="6"/>
    </row>
    <row r="514" spans="2:28" ht="30" hidden="1" customHeight="1">
      <c r="B514" s="46"/>
      <c r="C514" s="11" t="s">
        <v>33</v>
      </c>
      <c r="D514" s="11" t="s">
        <v>11</v>
      </c>
      <c r="E514" s="11"/>
      <c r="F514" s="34">
        <v>42246</v>
      </c>
      <c r="G514"/>
      <c r="H514"/>
      <c r="I514" s="32">
        <v>42251</v>
      </c>
      <c r="J514"/>
      <c r="K514" s="31"/>
      <c r="L514" s="30"/>
      <c r="M514" s="29">
        <v>115.2</v>
      </c>
      <c r="N514" s="28">
        <f>IF(OR(TableauCB[[#This Row],[Etat]]="",TableauCB[[#This Row],[Etat]]="c"),IF(TableauCB[[#This Row],[Solde]]="","",N513),N513-TableauCB[[#This Row],[Débit]]+TableauCB[[#This Row],[Crédit]])</f>
        <v>6776.4160000000056</v>
      </c>
      <c r="O514" s="27" t="e">
        <f>IF(TableauCB[[#This Row],[Etat]]="xc",O513-TableauCB[[#This Row],[Débit]]+TableauCB[[#This Row],[Crédit]],O513-TableauCB[[#This Row],[Débit]])</f>
        <v>#VALUE!</v>
      </c>
      <c r="P514" s="27">
        <f>IF(AND(ISBLANK(TableauCB[[#This Row],[Débit]]),ISBLANK(TableauCB[[#This Row],[Crédit]])),"",P513+TableauCB[[#This Row],[Crédit]]-TableauCB[[#This Row],[Débit]])</f>
        <v>5810.4160000000065</v>
      </c>
      <c r="Q514" s="26"/>
      <c r="T514" s="10"/>
      <c r="U514" s="10"/>
      <c r="V514" s="9"/>
      <c r="W514" s="2"/>
      <c r="X514" s="9"/>
      <c r="Y514" s="8"/>
      <c r="Z514" s="7"/>
      <c r="AA514" s="7"/>
      <c r="AB514" s="6"/>
    </row>
    <row r="515" spans="2:28" ht="30" hidden="1" customHeight="1">
      <c r="B515" s="46"/>
      <c r="C515" s="11" t="s">
        <v>33</v>
      </c>
      <c r="D515" s="11" t="s">
        <v>11</v>
      </c>
      <c r="E515" s="11"/>
      <c r="F515" s="34">
        <v>42246</v>
      </c>
      <c r="G515"/>
      <c r="H515"/>
      <c r="I515" s="32">
        <v>42402</v>
      </c>
      <c r="J515"/>
      <c r="K515" s="31"/>
      <c r="L515" s="30"/>
      <c r="M515" s="29">
        <v>92.4</v>
      </c>
      <c r="N515" s="28">
        <f>IF(OR(TableauCB[[#This Row],[Etat]]="",TableauCB[[#This Row],[Etat]]="c"),IF(TableauCB[[#This Row],[Solde]]="","",N514),N514-TableauCB[[#This Row],[Débit]]+TableauCB[[#This Row],[Crédit]])</f>
        <v>6868.8160000000053</v>
      </c>
      <c r="O515" s="27" t="e">
        <f>IF(TableauCB[[#This Row],[Etat]]="xc",O514-TableauCB[[#This Row],[Débit]]+TableauCB[[#This Row],[Crédit]],O514-TableauCB[[#This Row],[Débit]])</f>
        <v>#VALUE!</v>
      </c>
      <c r="P515" s="27">
        <f>IF(AND(ISBLANK(TableauCB[[#This Row],[Débit]]),ISBLANK(TableauCB[[#This Row],[Crédit]])),"",P514+TableauCB[[#This Row],[Crédit]]-TableauCB[[#This Row],[Débit]])</f>
        <v>5902.8160000000062</v>
      </c>
      <c r="Q515" s="26"/>
      <c r="T515" s="10"/>
      <c r="U515" s="10"/>
      <c r="V515" s="9"/>
      <c r="W515" s="2"/>
      <c r="X515" s="9"/>
      <c r="Y515" s="8"/>
      <c r="Z515" s="7"/>
      <c r="AA515" s="7"/>
      <c r="AB515" s="6"/>
    </row>
    <row r="516" spans="2:28" ht="30" hidden="1" customHeight="1">
      <c r="B516" s="46"/>
      <c r="C516" s="11" t="s">
        <v>33</v>
      </c>
      <c r="D516" s="11" t="s">
        <v>9</v>
      </c>
      <c r="E516" s="11"/>
      <c r="F516" s="34">
        <v>42246</v>
      </c>
      <c r="G516"/>
      <c r="H516"/>
      <c r="I516" s="32"/>
      <c r="J516"/>
      <c r="K516" s="31"/>
      <c r="L516" s="30">
        <v>240</v>
      </c>
      <c r="M516" s="29"/>
      <c r="N516" s="28">
        <f>IF(OR(TableauCB[[#This Row],[Etat]]="",TableauCB[[#This Row],[Etat]]="c"),IF(TableauCB[[#This Row],[Solde]]="","",N515),N515-TableauCB[[#This Row],[Débit]]+TableauCB[[#This Row],[Crédit]])</f>
        <v>6628.8160000000053</v>
      </c>
      <c r="O516" s="27" t="e">
        <f>IF(TableauCB[[#This Row],[Etat]]="xc",O515-TableauCB[[#This Row],[Débit]]+TableauCB[[#This Row],[Crédit]],O515-TableauCB[[#This Row],[Débit]])</f>
        <v>#VALUE!</v>
      </c>
      <c r="P516" s="27">
        <f>IF(AND(ISBLANK(TableauCB[[#This Row],[Débit]]),ISBLANK(TableauCB[[#This Row],[Crédit]])),"",P515+TableauCB[[#This Row],[Crédit]]-TableauCB[[#This Row],[Débit]])</f>
        <v>5662.8160000000062</v>
      </c>
      <c r="Q516" s="26"/>
      <c r="T516" s="10"/>
      <c r="U516" s="10"/>
      <c r="V516" s="9"/>
      <c r="W516" s="2"/>
      <c r="X516" s="9"/>
      <c r="Y516" s="8"/>
      <c r="Z516" s="7"/>
      <c r="AA516" s="7"/>
      <c r="AB516" s="6"/>
    </row>
    <row r="517" spans="2:28" ht="30" hidden="1" customHeight="1" thickBot="1">
      <c r="B517" s="46"/>
      <c r="C517" s="11" t="s">
        <v>33</v>
      </c>
      <c r="D517" s="11" t="s">
        <v>5</v>
      </c>
      <c r="E517" s="11"/>
      <c r="F517" s="34">
        <v>42246</v>
      </c>
      <c r="G517"/>
      <c r="H517"/>
      <c r="I517" s="32"/>
      <c r="J517"/>
      <c r="K517" s="31"/>
      <c r="L517" s="30">
        <v>302.10000000000002</v>
      </c>
      <c r="M517" s="29"/>
      <c r="N517" s="28">
        <f>IF(OR(TableauCB[[#This Row],[Etat]]="",TableauCB[[#This Row],[Etat]]="c"),IF(TableauCB[[#This Row],[Solde]]="","",N516),N516-TableauCB[[#This Row],[Débit]]+TableauCB[[#This Row],[Crédit]])</f>
        <v>6326.7160000000049</v>
      </c>
      <c r="O517" s="27" t="e">
        <f>IF(TableauCB[[#This Row],[Etat]]="xc",O516-TableauCB[[#This Row],[Débit]]+TableauCB[[#This Row],[Crédit]],O516-TableauCB[[#This Row],[Débit]])</f>
        <v>#VALUE!</v>
      </c>
      <c r="P517" s="27">
        <f>IF(AND(ISBLANK(TableauCB[[#This Row],[Débit]]),ISBLANK(TableauCB[[#This Row],[Crédit]])),"",P516+TableauCB[[#This Row],[Crédit]]-TableauCB[[#This Row],[Débit]])</f>
        <v>5360.7160000000058</v>
      </c>
      <c r="Q517" s="26"/>
      <c r="R517" s="47" t="s">
        <v>54</v>
      </c>
      <c r="S517" s="47" t="s">
        <v>53</v>
      </c>
      <c r="T517" s="10"/>
      <c r="U517" s="10"/>
      <c r="V517" s="9"/>
      <c r="W517" s="2"/>
      <c r="X517" s="9"/>
      <c r="Y517" s="8"/>
      <c r="Z517" s="7"/>
      <c r="AA517" s="7"/>
      <c r="AB517" s="6"/>
    </row>
    <row r="518" spans="2:28" ht="30" hidden="1" customHeight="1">
      <c r="B518" s="46"/>
      <c r="C518" s="11" t="s">
        <v>33</v>
      </c>
      <c r="D518" s="11" t="s">
        <v>17</v>
      </c>
      <c r="E518" s="11"/>
      <c r="F518" s="34">
        <v>42247</v>
      </c>
      <c r="G518"/>
      <c r="H518"/>
      <c r="I518" s="32"/>
      <c r="J518"/>
      <c r="K518" s="31"/>
      <c r="L518" s="30">
        <v>2.09</v>
      </c>
      <c r="M518" s="29"/>
      <c r="N518" s="28">
        <f>IF(OR(TableauCB[[#This Row],[Etat]]="",TableauCB[[#This Row],[Etat]]="c"),IF(TableauCB[[#This Row],[Solde]]="","",N517),N517-TableauCB[[#This Row],[Débit]]+TableauCB[[#This Row],[Crédit]])</f>
        <v>6324.6260000000048</v>
      </c>
      <c r="O518" s="27" t="e">
        <f>IF(TableauCB[[#This Row],[Etat]]="xc",O517-TableauCB[[#This Row],[Débit]]+TableauCB[[#This Row],[Crédit]],O517-TableauCB[[#This Row],[Débit]])</f>
        <v>#VALUE!</v>
      </c>
      <c r="P518" s="27">
        <f>IF(AND(ISBLANK(TableauCB[[#This Row],[Débit]]),ISBLANK(TableauCB[[#This Row],[Crédit]])),"",P517+TableauCB[[#This Row],[Crédit]]-TableauCB[[#This Row],[Débit]])</f>
        <v>5358.6260000000057</v>
      </c>
      <c r="Q518" s="26"/>
      <c r="R518" s="25">
        <f>SUM(M487:M518)-SUM(L487:L518)</f>
        <v>-159.42000000000053</v>
      </c>
      <c r="S518" s="25">
        <f>R518/1.2</f>
        <v>-132.85000000000045</v>
      </c>
      <c r="T518" s="10"/>
      <c r="U518" s="10"/>
      <c r="V518" s="9"/>
      <c r="W518" s="2"/>
      <c r="X518" s="9"/>
      <c r="Y518" s="8"/>
      <c r="Z518" s="7"/>
      <c r="AA518" s="7"/>
      <c r="AB518" s="6"/>
    </row>
    <row r="519" spans="2:28" ht="30" hidden="1" customHeight="1">
      <c r="B519" s="46" t="s">
        <v>62</v>
      </c>
      <c r="C519" s="11" t="s">
        <v>33</v>
      </c>
      <c r="D519" s="11" t="s">
        <v>58</v>
      </c>
      <c r="E519" s="11"/>
      <c r="F519" s="34">
        <v>42253</v>
      </c>
      <c r="G519"/>
      <c r="H519"/>
      <c r="I519" s="32"/>
      <c r="J519"/>
      <c r="K519" s="31"/>
      <c r="L519" s="30">
        <v>69.989999999999995</v>
      </c>
      <c r="M519" s="29"/>
      <c r="N519" s="28">
        <f>IF(OR(TableauCB[[#This Row],[Etat]]="",TableauCB[[#This Row],[Etat]]="c"),IF(TableauCB[[#This Row],[Solde]]="","",N518),N518-TableauCB[[#This Row],[Débit]]+TableauCB[[#This Row],[Crédit]])</f>
        <v>6254.636000000005</v>
      </c>
      <c r="O519" s="27" t="e">
        <f>IF(TableauCB[[#This Row],[Etat]]="xc",O518-TableauCB[[#This Row],[Débit]]+TableauCB[[#This Row],[Crédit]],O518-TableauCB[[#This Row],[Débit]])</f>
        <v>#VALUE!</v>
      </c>
      <c r="P519" s="27">
        <f>IF(AND(ISBLANK(TableauCB[[#This Row],[Débit]]),ISBLANK(TableauCB[[#This Row],[Crédit]])),"",P518+TableauCB[[#This Row],[Crédit]]-TableauCB[[#This Row],[Débit]])</f>
        <v>5288.6360000000059</v>
      </c>
      <c r="Q519" s="26"/>
      <c r="T519" s="10"/>
      <c r="U519" s="10"/>
      <c r="V519" s="9"/>
      <c r="W519" s="2"/>
      <c r="X519" s="9"/>
      <c r="Y519" s="8"/>
      <c r="Z519" s="7"/>
      <c r="AA519" s="7"/>
      <c r="AB519" s="6"/>
    </row>
    <row r="520" spans="2:28" ht="30" hidden="1" customHeight="1">
      <c r="B520" s="46"/>
      <c r="C520" s="11" t="s">
        <v>33</v>
      </c>
      <c r="D520" s="11" t="s">
        <v>21</v>
      </c>
      <c r="E520" s="11"/>
      <c r="F520" s="34">
        <v>42256</v>
      </c>
      <c r="G520"/>
      <c r="H520"/>
      <c r="I520" s="32"/>
      <c r="J520"/>
      <c r="K520" s="31"/>
      <c r="L520" s="30">
        <v>21.9</v>
      </c>
      <c r="M520" s="29"/>
      <c r="N520" s="28">
        <f>IF(OR(TableauCB[[#This Row],[Etat]]="",TableauCB[[#This Row],[Etat]]="c"),IF(TableauCB[[#This Row],[Solde]]="","",N519),N519-TableauCB[[#This Row],[Débit]]+TableauCB[[#This Row],[Crédit]])</f>
        <v>6232.7360000000053</v>
      </c>
      <c r="O520" s="27" t="e">
        <f>IF(TableauCB[[#This Row],[Etat]]="xc",O519-TableauCB[[#This Row],[Débit]]+TableauCB[[#This Row],[Crédit]],O519-TableauCB[[#This Row],[Débit]])</f>
        <v>#VALUE!</v>
      </c>
      <c r="P520" s="27">
        <f>IF(AND(ISBLANK(TableauCB[[#This Row],[Débit]]),ISBLANK(TableauCB[[#This Row],[Crédit]])),"",P519+TableauCB[[#This Row],[Crédit]]-TableauCB[[#This Row],[Débit]])</f>
        <v>5266.7360000000062</v>
      </c>
      <c r="Q520" s="26"/>
      <c r="T520" s="10"/>
      <c r="U520" s="10"/>
      <c r="V520" s="9"/>
      <c r="W520" s="2"/>
      <c r="X520" s="9"/>
      <c r="Y520" s="8"/>
      <c r="Z520" s="7"/>
      <c r="AA520" s="7"/>
      <c r="AB520" s="6"/>
    </row>
    <row r="521" spans="2:28" ht="30" hidden="1" customHeight="1">
      <c r="B521" s="46"/>
      <c r="C521" s="11" t="s">
        <v>33</v>
      </c>
      <c r="D521" s="11" t="s">
        <v>61</v>
      </c>
      <c r="E521" s="11"/>
      <c r="F521" s="34">
        <v>42261</v>
      </c>
      <c r="G521"/>
      <c r="H521"/>
      <c r="I521" s="32">
        <v>42266</v>
      </c>
      <c r="J521"/>
      <c r="K521" s="31"/>
      <c r="L521" s="30"/>
      <c r="M521" s="29">
        <v>1680</v>
      </c>
      <c r="N521" s="28">
        <f>IF(OR(TableauCB[[#This Row],[Etat]]="",TableauCB[[#This Row],[Etat]]="c"),IF(TableauCB[[#This Row],[Solde]]="","",N520),N520-TableauCB[[#This Row],[Débit]]+TableauCB[[#This Row],[Crédit]])</f>
        <v>7912.7360000000053</v>
      </c>
      <c r="O521" s="27" t="e">
        <f>IF(TableauCB[[#This Row],[Etat]]="xc",O520-TableauCB[[#This Row],[Débit]]+TableauCB[[#This Row],[Crédit]],O520-TableauCB[[#This Row],[Débit]])</f>
        <v>#VALUE!</v>
      </c>
      <c r="P521" s="27">
        <f>IF(AND(ISBLANK(TableauCB[[#This Row],[Débit]]),ISBLANK(TableauCB[[#This Row],[Crédit]])),"",P520+TableauCB[[#This Row],[Crédit]]-TableauCB[[#This Row],[Débit]])</f>
        <v>6946.7360000000062</v>
      </c>
      <c r="Q521" s="26"/>
      <c r="T521" s="10"/>
      <c r="U521" s="10"/>
      <c r="V521" s="9"/>
      <c r="W521" s="2"/>
      <c r="X521" s="9"/>
      <c r="Y521" s="8"/>
      <c r="Z521" s="7"/>
      <c r="AA521" s="7"/>
      <c r="AB521" s="6"/>
    </row>
    <row r="522" spans="2:28" ht="30" hidden="1" customHeight="1">
      <c r="B522" s="46"/>
      <c r="C522" s="11" t="s">
        <v>33</v>
      </c>
      <c r="D522" s="11" t="s">
        <v>15</v>
      </c>
      <c r="E522" s="11"/>
      <c r="F522" s="34">
        <v>42262</v>
      </c>
      <c r="G522"/>
      <c r="H522"/>
      <c r="I522" s="32"/>
      <c r="J522"/>
      <c r="K522" s="31"/>
      <c r="L522" s="30">
        <v>38</v>
      </c>
      <c r="M522" s="29"/>
      <c r="N522" s="28">
        <f>IF(OR(TableauCB[[#This Row],[Etat]]="",TableauCB[[#This Row],[Etat]]="c"),IF(TableauCB[[#This Row],[Solde]]="","",N521),N521-TableauCB[[#This Row],[Débit]]+TableauCB[[#This Row],[Crédit]])</f>
        <v>7874.7360000000053</v>
      </c>
      <c r="O522" s="27" t="e">
        <f>IF(TableauCB[[#This Row],[Etat]]="xc",O521-TableauCB[[#This Row],[Débit]]+TableauCB[[#This Row],[Crédit]],O521-TableauCB[[#This Row],[Débit]])</f>
        <v>#VALUE!</v>
      </c>
      <c r="P522" s="27">
        <f>IF(AND(ISBLANK(TableauCB[[#This Row],[Débit]]),ISBLANK(TableauCB[[#This Row],[Crédit]])),"",P521+TableauCB[[#This Row],[Crédit]]-TableauCB[[#This Row],[Débit]])</f>
        <v>6908.7360000000062</v>
      </c>
      <c r="Q522" s="26"/>
      <c r="T522" s="10"/>
      <c r="U522" s="10"/>
      <c r="V522" s="9"/>
      <c r="W522" s="2"/>
      <c r="X522" s="9"/>
      <c r="Y522" s="8"/>
      <c r="Z522" s="7"/>
      <c r="AA522" s="7"/>
      <c r="AB522" s="6"/>
    </row>
    <row r="523" spans="2:28" ht="30" hidden="1" customHeight="1">
      <c r="B523" s="46"/>
      <c r="C523" s="11" t="s">
        <v>33</v>
      </c>
      <c r="D523" s="11" t="s">
        <v>5</v>
      </c>
      <c r="E523" s="11"/>
      <c r="F523" s="34">
        <v>42263</v>
      </c>
      <c r="G523"/>
      <c r="H523"/>
      <c r="I523" s="32"/>
      <c r="J523"/>
      <c r="K523" s="31"/>
      <c r="L523" s="30">
        <v>80</v>
      </c>
      <c r="M523" s="29"/>
      <c r="N523" s="28">
        <f>IF(OR(TableauCB[[#This Row],[Etat]]="",TableauCB[[#This Row],[Etat]]="c"),IF(TableauCB[[#This Row],[Solde]]="","",N522),N522-TableauCB[[#This Row],[Débit]]+TableauCB[[#This Row],[Crédit]])</f>
        <v>7794.7360000000053</v>
      </c>
      <c r="O523" s="27" t="e">
        <f>IF(TableauCB[[#This Row],[Etat]]="xc",O522-TableauCB[[#This Row],[Débit]]+TableauCB[[#This Row],[Crédit]],O522-TableauCB[[#This Row],[Débit]])</f>
        <v>#VALUE!</v>
      </c>
      <c r="P523" s="27">
        <f>IF(AND(ISBLANK(TableauCB[[#This Row],[Débit]]),ISBLANK(TableauCB[[#This Row],[Crédit]])),"",P522+TableauCB[[#This Row],[Crédit]]-TableauCB[[#This Row],[Débit]])</f>
        <v>6828.7360000000062</v>
      </c>
      <c r="Q523" s="26"/>
      <c r="T523" s="24"/>
      <c r="U523" s="10"/>
      <c r="V523" s="9"/>
      <c r="W523" s="2"/>
      <c r="X523" s="9"/>
      <c r="Y523" s="8"/>
      <c r="Z523" s="7"/>
      <c r="AA523" s="7"/>
      <c r="AB523" s="6"/>
    </row>
    <row r="524" spans="2:28" ht="30" hidden="1" customHeight="1">
      <c r="B524" s="46"/>
      <c r="C524" s="11" t="s">
        <v>33</v>
      </c>
      <c r="D524" s="11" t="s">
        <v>37</v>
      </c>
      <c r="E524" s="11"/>
      <c r="F524" s="34">
        <v>42266</v>
      </c>
      <c r="G524"/>
      <c r="H524"/>
      <c r="I524" s="32"/>
      <c r="J524"/>
      <c r="K524" s="31"/>
      <c r="L524" s="30">
        <v>145</v>
      </c>
      <c r="M524" s="29"/>
      <c r="N524" s="28">
        <f>IF(OR(TableauCB[[#This Row],[Etat]]="",TableauCB[[#This Row],[Etat]]="c"),IF(TableauCB[[#This Row],[Solde]]="","",N523),N523-TableauCB[[#This Row],[Débit]]+TableauCB[[#This Row],[Crédit]])</f>
        <v>7649.7360000000053</v>
      </c>
      <c r="O524" s="27" t="e">
        <f>IF(TableauCB[[#This Row],[Etat]]="xc",O523-TableauCB[[#This Row],[Débit]]+TableauCB[[#This Row],[Crédit]],O523-TableauCB[[#This Row],[Débit]])</f>
        <v>#VALUE!</v>
      </c>
      <c r="P524" s="27">
        <f>IF(AND(ISBLANK(TableauCB[[#This Row],[Débit]]),ISBLANK(TableauCB[[#This Row],[Crédit]])),"",P523+TableauCB[[#This Row],[Crédit]]-TableauCB[[#This Row],[Débit]])</f>
        <v>6683.7360000000062</v>
      </c>
      <c r="Q524" s="26"/>
      <c r="T524" s="24"/>
      <c r="U524" s="10"/>
      <c r="V524" s="9"/>
      <c r="W524" s="2"/>
      <c r="X524" s="9"/>
      <c r="Y524" s="8"/>
      <c r="Z524" s="7"/>
      <c r="AA524" s="7"/>
      <c r="AB524" s="6"/>
    </row>
    <row r="525" spans="2:28" ht="30" hidden="1" customHeight="1">
      <c r="B525" s="46"/>
      <c r="C525" s="11" t="s">
        <v>33</v>
      </c>
      <c r="D525" s="11" t="s">
        <v>17</v>
      </c>
      <c r="E525" s="11"/>
      <c r="F525" s="34">
        <v>42267</v>
      </c>
      <c r="G525"/>
      <c r="H525"/>
      <c r="I525" s="32">
        <v>42272</v>
      </c>
      <c r="J525"/>
      <c r="K525" s="31"/>
      <c r="L525" s="30">
        <v>0.73</v>
      </c>
      <c r="M525" s="29"/>
      <c r="N525" s="28">
        <f>IF(OR(TableauCB[[#This Row],[Etat]]="",TableauCB[[#This Row],[Etat]]="c"),IF(TableauCB[[#This Row],[Solde]]="","",N524),N524-TableauCB[[#This Row],[Débit]]+TableauCB[[#This Row],[Crédit]])</f>
        <v>7649.0060000000058</v>
      </c>
      <c r="O525" s="27" t="e">
        <f>IF(TableauCB[[#This Row],[Etat]]="xc",O524-TableauCB[[#This Row],[Débit]]+TableauCB[[#This Row],[Crédit]],O524-TableauCB[[#This Row],[Débit]])</f>
        <v>#VALUE!</v>
      </c>
      <c r="P525" s="27">
        <f>IF(AND(ISBLANK(TableauCB[[#This Row],[Débit]]),ISBLANK(TableauCB[[#This Row],[Crédit]])),"",P524+TableauCB[[#This Row],[Crédit]]-TableauCB[[#This Row],[Débit]])</f>
        <v>6683.0060000000067</v>
      </c>
      <c r="Q525" s="26"/>
      <c r="T525" s="24"/>
      <c r="U525" s="10"/>
      <c r="V525" s="9"/>
      <c r="W525" s="2"/>
      <c r="X525" s="9"/>
      <c r="Y525" s="8"/>
      <c r="Z525" s="7"/>
      <c r="AA525" s="7"/>
      <c r="AB525" s="6"/>
    </row>
    <row r="526" spans="2:28" ht="30" hidden="1" customHeight="1">
      <c r="B526" s="46"/>
      <c r="C526" s="11" t="s">
        <v>33</v>
      </c>
      <c r="D526" s="11" t="s">
        <v>17</v>
      </c>
      <c r="E526" s="11"/>
      <c r="F526" s="34">
        <v>42268</v>
      </c>
      <c r="G526"/>
      <c r="H526"/>
      <c r="I526" s="32"/>
      <c r="J526"/>
      <c r="K526" s="31"/>
      <c r="L526" s="30">
        <v>41.4</v>
      </c>
      <c r="M526" s="29"/>
      <c r="N526" s="28">
        <f>IF(OR(TableauCB[[#This Row],[Etat]]="",TableauCB[[#This Row],[Etat]]="c"),IF(TableauCB[[#This Row],[Solde]]="","",N525),N525-TableauCB[[#This Row],[Débit]]+TableauCB[[#This Row],[Crédit]])</f>
        <v>7607.6060000000061</v>
      </c>
      <c r="O526" s="27" t="e">
        <f>IF(TableauCB[[#This Row],[Etat]]="xc",O525-TableauCB[[#This Row],[Débit]]+TableauCB[[#This Row],[Crédit]],O525-TableauCB[[#This Row],[Débit]])</f>
        <v>#VALUE!</v>
      </c>
      <c r="P526" s="27">
        <f>IF(AND(ISBLANK(TableauCB[[#This Row],[Débit]]),ISBLANK(TableauCB[[#This Row],[Crédit]])),"",P525+TableauCB[[#This Row],[Crédit]]-TableauCB[[#This Row],[Débit]])</f>
        <v>6641.606000000007</v>
      </c>
      <c r="Q526" s="26"/>
      <c r="T526" s="24"/>
      <c r="U526" s="10"/>
      <c r="V526" s="9"/>
      <c r="W526" s="2"/>
      <c r="X526" s="9"/>
      <c r="Y526" s="8"/>
      <c r="Z526" s="7"/>
      <c r="AA526" s="7"/>
      <c r="AB526" s="6"/>
    </row>
    <row r="527" spans="2:28" ht="30" hidden="1" customHeight="1">
      <c r="B527" s="46"/>
      <c r="C527" s="11" t="s">
        <v>33</v>
      </c>
      <c r="D527" s="11" t="s">
        <v>61</v>
      </c>
      <c r="E527" s="11"/>
      <c r="F527" s="34">
        <v>42271</v>
      </c>
      <c r="G527"/>
      <c r="H527"/>
      <c r="I527" s="32"/>
      <c r="J527"/>
      <c r="K527" s="31"/>
      <c r="L527" s="30">
        <v>1000</v>
      </c>
      <c r="M527" s="29"/>
      <c r="N527" s="28">
        <f>IF(OR(TableauCB[[#This Row],[Etat]]="",TableauCB[[#This Row],[Etat]]="c"),IF(TableauCB[[#This Row],[Solde]]="","",N526),N526-TableauCB[[#This Row],[Débit]]+TableauCB[[#This Row],[Crédit]])</f>
        <v>6607.6060000000061</v>
      </c>
      <c r="O527" s="27" t="e">
        <f>IF(TableauCB[[#This Row],[Etat]]="xc",O526-TableauCB[[#This Row],[Débit]]+TableauCB[[#This Row],[Crédit]],O526-TableauCB[[#This Row],[Débit]])</f>
        <v>#VALUE!</v>
      </c>
      <c r="P527" s="27">
        <f>IF(AND(ISBLANK(TableauCB[[#This Row],[Débit]]),ISBLANK(TableauCB[[#This Row],[Crédit]])),"",P526+TableauCB[[#This Row],[Crédit]]-TableauCB[[#This Row],[Débit]])</f>
        <v>5641.606000000007</v>
      </c>
      <c r="Q527" s="26"/>
      <c r="T527" s="10"/>
      <c r="U527" s="10"/>
      <c r="V527" s="9"/>
      <c r="W527" s="2"/>
      <c r="X527" s="9"/>
      <c r="Y527" s="8"/>
      <c r="Z527" s="7"/>
      <c r="AA527" s="7"/>
      <c r="AB527" s="6"/>
    </row>
    <row r="528" spans="2:28" ht="30" hidden="1" customHeight="1">
      <c r="B528" s="46"/>
      <c r="C528" s="11" t="s">
        <v>33</v>
      </c>
      <c r="D528" s="11" t="s">
        <v>11</v>
      </c>
      <c r="E528" s="11"/>
      <c r="F528" s="34">
        <v>42277</v>
      </c>
      <c r="G528"/>
      <c r="H528"/>
      <c r="I528" s="32">
        <v>42311</v>
      </c>
      <c r="J528"/>
      <c r="K528" s="31"/>
      <c r="L528" s="30"/>
      <c r="M528" s="29">
        <v>108</v>
      </c>
      <c r="N528" s="28">
        <f>IF(OR(TableauCB[[#This Row],[Etat]]="",TableauCB[[#This Row],[Etat]]="c"),IF(TableauCB[[#This Row],[Solde]]="","",N527),N527-TableauCB[[#This Row],[Débit]]+TableauCB[[#This Row],[Crédit]])</f>
        <v>6715.6060000000061</v>
      </c>
      <c r="O528" s="27" t="e">
        <f>IF(TableauCB[[#This Row],[Etat]]="xc",O527-TableauCB[[#This Row],[Débit]]+TableauCB[[#This Row],[Crédit]],O527-TableauCB[[#This Row],[Débit]])</f>
        <v>#VALUE!</v>
      </c>
      <c r="P528" s="27">
        <f>IF(AND(ISBLANK(TableauCB[[#This Row],[Débit]]),ISBLANK(TableauCB[[#This Row],[Crédit]])),"",P527+TableauCB[[#This Row],[Crédit]]-TableauCB[[#This Row],[Débit]])</f>
        <v>5749.606000000007</v>
      </c>
      <c r="Q528" s="26"/>
      <c r="T528" s="10"/>
      <c r="U528" s="10"/>
      <c r="V528" s="9"/>
      <c r="W528" s="2"/>
      <c r="X528" s="9"/>
      <c r="Y528" s="8"/>
      <c r="Z528" s="7"/>
      <c r="AA528" s="7"/>
      <c r="AB528" s="6"/>
    </row>
    <row r="529" spans="2:28" ht="30" hidden="1" customHeight="1">
      <c r="B529" s="46"/>
      <c r="C529" s="11" t="s">
        <v>33</v>
      </c>
      <c r="D529" s="11" t="s">
        <v>11</v>
      </c>
      <c r="E529" s="11"/>
      <c r="F529" s="34">
        <v>42277</v>
      </c>
      <c r="G529"/>
      <c r="H529"/>
      <c r="I529" s="32">
        <v>42294</v>
      </c>
      <c r="J529"/>
      <c r="K529" s="31"/>
      <c r="L529" s="30"/>
      <c r="M529" s="29">
        <v>198</v>
      </c>
      <c r="N529" s="28">
        <f>IF(OR(TableauCB[[#This Row],[Etat]]="",TableauCB[[#This Row],[Etat]]="c"),IF(TableauCB[[#This Row],[Solde]]="","",N528),N528-TableauCB[[#This Row],[Débit]]+TableauCB[[#This Row],[Crédit]])</f>
        <v>6913.6060000000061</v>
      </c>
      <c r="O529" s="27" t="e">
        <f>IF(TableauCB[[#This Row],[Etat]]="xc",O528-TableauCB[[#This Row],[Débit]]+TableauCB[[#This Row],[Crédit]],O528-TableauCB[[#This Row],[Débit]])</f>
        <v>#VALUE!</v>
      </c>
      <c r="P529" s="27">
        <f>IF(AND(ISBLANK(TableauCB[[#This Row],[Débit]]),ISBLANK(TableauCB[[#This Row],[Crédit]])),"",P528+TableauCB[[#This Row],[Crédit]]-TableauCB[[#This Row],[Débit]])</f>
        <v>5947.606000000007</v>
      </c>
      <c r="Q529" s="26"/>
      <c r="T529" s="10"/>
      <c r="U529" s="10"/>
      <c r="V529" s="9"/>
      <c r="W529" s="2"/>
      <c r="X529" s="9"/>
      <c r="Y529" s="8"/>
      <c r="Z529" s="7"/>
      <c r="AA529" s="7"/>
      <c r="AB529" s="6"/>
    </row>
    <row r="530" spans="2:28" ht="30" hidden="1" customHeight="1">
      <c r="B530" s="46"/>
      <c r="C530" s="11" t="s">
        <v>33</v>
      </c>
      <c r="D530" s="11" t="s">
        <v>11</v>
      </c>
      <c r="E530" s="11"/>
      <c r="F530" s="34">
        <v>42277</v>
      </c>
      <c r="G530"/>
      <c r="H530"/>
      <c r="I530" s="32">
        <v>42350</v>
      </c>
      <c r="J530"/>
      <c r="K530" s="31"/>
      <c r="L530" s="30"/>
      <c r="M530" s="29">
        <v>151.80000000000001</v>
      </c>
      <c r="N530" s="28">
        <f>IF(OR(TableauCB[[#This Row],[Etat]]="",TableauCB[[#This Row],[Etat]]="c"),IF(TableauCB[[#This Row],[Solde]]="","",N529),N529-TableauCB[[#This Row],[Débit]]+TableauCB[[#This Row],[Crédit]])</f>
        <v>7065.4060000000063</v>
      </c>
      <c r="O530" s="27" t="e">
        <f>IF(TableauCB[[#This Row],[Etat]]="xc",O529-TableauCB[[#This Row],[Débit]]+TableauCB[[#This Row],[Crédit]],O529-TableauCB[[#This Row],[Débit]])</f>
        <v>#VALUE!</v>
      </c>
      <c r="P530" s="27">
        <f>IF(AND(ISBLANK(TableauCB[[#This Row],[Débit]]),ISBLANK(TableauCB[[#This Row],[Crédit]])),"",P529+TableauCB[[#This Row],[Crédit]]-TableauCB[[#This Row],[Débit]])</f>
        <v>6099.4060000000072</v>
      </c>
      <c r="Q530" s="26"/>
      <c r="T530" s="10"/>
      <c r="U530" s="10"/>
      <c r="V530" s="9"/>
      <c r="W530" s="2"/>
      <c r="X530" s="9"/>
      <c r="Y530" s="8"/>
      <c r="Z530" s="7"/>
      <c r="AA530" s="7"/>
      <c r="AB530" s="6"/>
    </row>
    <row r="531" spans="2:28" ht="30" hidden="1" customHeight="1">
      <c r="B531" s="46"/>
      <c r="C531" s="11" t="s">
        <v>33</v>
      </c>
      <c r="D531" s="11" t="s">
        <v>11</v>
      </c>
      <c r="E531" s="11"/>
      <c r="F531" s="34">
        <v>42277</v>
      </c>
      <c r="G531"/>
      <c r="H531"/>
      <c r="I531" s="32">
        <v>42285</v>
      </c>
      <c r="J531"/>
      <c r="K531" s="31"/>
      <c r="L531" s="30"/>
      <c r="M531" s="29">
        <v>522</v>
      </c>
      <c r="N531" s="28">
        <f>IF(OR(TableauCB[[#This Row],[Etat]]="",TableauCB[[#This Row],[Etat]]="c"),IF(TableauCB[[#This Row],[Solde]]="","",N530),N530-TableauCB[[#This Row],[Débit]]+TableauCB[[#This Row],[Crédit]])</f>
        <v>7587.4060000000063</v>
      </c>
      <c r="O531" s="27" t="e">
        <f>IF(TableauCB[[#This Row],[Etat]]="xc",O530-TableauCB[[#This Row],[Débit]]+TableauCB[[#This Row],[Crédit]],O530-TableauCB[[#This Row],[Débit]])</f>
        <v>#VALUE!</v>
      </c>
      <c r="P531" s="27">
        <f>IF(AND(ISBLANK(TableauCB[[#This Row],[Débit]]),ISBLANK(TableauCB[[#This Row],[Crédit]])),"",P530+TableauCB[[#This Row],[Crédit]]-TableauCB[[#This Row],[Débit]])</f>
        <v>6621.4060000000072</v>
      </c>
      <c r="Q531" s="26"/>
      <c r="T531" s="10"/>
      <c r="U531" s="10"/>
      <c r="V531" s="9"/>
      <c r="W531" s="2"/>
      <c r="X531" s="9"/>
      <c r="Y531" s="8"/>
      <c r="Z531" s="7"/>
      <c r="AA531" s="7"/>
      <c r="AB531" s="6"/>
    </row>
    <row r="532" spans="2:28" ht="30" hidden="1" customHeight="1">
      <c r="B532" s="46"/>
      <c r="C532" s="11" t="s">
        <v>33</v>
      </c>
      <c r="D532" s="11" t="s">
        <v>11</v>
      </c>
      <c r="E532" s="11"/>
      <c r="F532" s="34">
        <v>42277</v>
      </c>
      <c r="G532"/>
      <c r="H532"/>
      <c r="I532" s="32">
        <v>42318</v>
      </c>
      <c r="J532"/>
      <c r="K532" s="31"/>
      <c r="L532" s="30"/>
      <c r="M532" s="29">
        <v>192</v>
      </c>
      <c r="N532" s="28">
        <f>IF(OR(TableauCB[[#This Row],[Etat]]="",TableauCB[[#This Row],[Etat]]="c"),IF(TableauCB[[#This Row],[Solde]]="","",N531),N531-TableauCB[[#This Row],[Débit]]+TableauCB[[#This Row],[Crédit]])</f>
        <v>7779.4060000000063</v>
      </c>
      <c r="O532" s="27" t="e">
        <f>IF(TableauCB[[#This Row],[Etat]]="xc",O531-TableauCB[[#This Row],[Débit]]+TableauCB[[#This Row],[Crédit]],O531-TableauCB[[#This Row],[Débit]])</f>
        <v>#VALUE!</v>
      </c>
      <c r="P532" s="27">
        <f>IF(AND(ISBLANK(TableauCB[[#This Row],[Débit]]),ISBLANK(TableauCB[[#This Row],[Crédit]])),"",P531+TableauCB[[#This Row],[Crédit]]-TableauCB[[#This Row],[Débit]])</f>
        <v>6813.4060000000072</v>
      </c>
      <c r="Q532" s="26"/>
      <c r="T532" s="10"/>
      <c r="U532" s="10"/>
      <c r="V532" s="9"/>
      <c r="W532" s="2"/>
      <c r="X532" s="9"/>
      <c r="Y532" s="8"/>
      <c r="Z532" s="7"/>
      <c r="AA532" s="7"/>
      <c r="AB532" s="6"/>
    </row>
    <row r="533" spans="2:28" ht="30" hidden="1" customHeight="1">
      <c r="B533" s="46"/>
      <c r="C533" s="11" t="s">
        <v>33</v>
      </c>
      <c r="D533" s="11" t="s">
        <v>11</v>
      </c>
      <c r="E533" s="11"/>
      <c r="F533" s="34">
        <v>42277</v>
      </c>
      <c r="G533"/>
      <c r="H533"/>
      <c r="I533" s="32">
        <v>42311</v>
      </c>
      <c r="J533"/>
      <c r="K533" s="31"/>
      <c r="L533" s="30"/>
      <c r="M533" s="29">
        <v>624</v>
      </c>
      <c r="N533" s="28">
        <f>IF(OR(TableauCB[[#This Row],[Etat]]="",TableauCB[[#This Row],[Etat]]="c"),IF(TableauCB[[#This Row],[Solde]]="","",N532),N532-TableauCB[[#This Row],[Débit]]+TableauCB[[#This Row],[Crédit]])</f>
        <v>8403.4060000000063</v>
      </c>
      <c r="O533" s="27" t="e">
        <f>IF(TableauCB[[#This Row],[Etat]]="xc",O532-TableauCB[[#This Row],[Débit]]+TableauCB[[#This Row],[Crédit]],O532-TableauCB[[#This Row],[Débit]])</f>
        <v>#VALUE!</v>
      </c>
      <c r="P533" s="27">
        <f>IF(AND(ISBLANK(TableauCB[[#This Row],[Débit]]),ISBLANK(TableauCB[[#This Row],[Crédit]])),"",P532+TableauCB[[#This Row],[Crédit]]-TableauCB[[#This Row],[Débit]])</f>
        <v>7437.4060000000072</v>
      </c>
      <c r="Q533" s="26"/>
      <c r="T533" s="10"/>
      <c r="U533" s="10"/>
      <c r="V533" s="9"/>
      <c r="W533" s="2"/>
      <c r="X533" s="9"/>
      <c r="Y533" s="8"/>
      <c r="Z533" s="7"/>
      <c r="AA533" s="7"/>
      <c r="AB533" s="6"/>
    </row>
    <row r="534" spans="2:28" ht="30" hidden="1" customHeight="1">
      <c r="B534" s="46"/>
      <c r="C534" s="11" t="s">
        <v>33</v>
      </c>
      <c r="D534" s="11" t="s">
        <v>11</v>
      </c>
      <c r="E534" s="11"/>
      <c r="F534" s="34">
        <v>42277</v>
      </c>
      <c r="G534"/>
      <c r="H534"/>
      <c r="I534" s="32">
        <v>42294</v>
      </c>
      <c r="J534"/>
      <c r="K534" s="31"/>
      <c r="L534" s="30"/>
      <c r="M534" s="29">
        <v>115.2</v>
      </c>
      <c r="N534" s="28">
        <f>IF(OR(TableauCB[[#This Row],[Etat]]="",TableauCB[[#This Row],[Etat]]="c"),IF(TableauCB[[#This Row],[Solde]]="","",N533),N533-TableauCB[[#This Row],[Débit]]+TableauCB[[#This Row],[Crédit]])</f>
        <v>8518.606000000007</v>
      </c>
      <c r="O534" s="27" t="e">
        <f>IF(TableauCB[[#This Row],[Etat]]="xc",O533-TableauCB[[#This Row],[Débit]]+TableauCB[[#This Row],[Crédit]],O533-TableauCB[[#This Row],[Débit]])</f>
        <v>#VALUE!</v>
      </c>
      <c r="P534" s="27">
        <f>IF(AND(ISBLANK(TableauCB[[#This Row],[Débit]]),ISBLANK(TableauCB[[#This Row],[Crédit]])),"",P533+TableauCB[[#This Row],[Crédit]]-TableauCB[[#This Row],[Débit]])</f>
        <v>7552.606000000007</v>
      </c>
      <c r="Q534" s="26"/>
      <c r="T534" s="10"/>
      <c r="U534" s="10"/>
      <c r="V534" s="9"/>
      <c r="W534" s="2"/>
      <c r="X534" s="9"/>
      <c r="Y534" s="8"/>
      <c r="Z534" s="7"/>
      <c r="AA534" s="7"/>
      <c r="AB534" s="6"/>
    </row>
    <row r="535" spans="2:28" ht="30" hidden="1" customHeight="1">
      <c r="B535" s="46"/>
      <c r="C535" s="11" t="s">
        <v>33</v>
      </c>
      <c r="D535" s="11" t="s">
        <v>11</v>
      </c>
      <c r="E535" s="11"/>
      <c r="F535" s="34">
        <v>42277</v>
      </c>
      <c r="G535"/>
      <c r="H535"/>
      <c r="I535" s="32">
        <v>42318</v>
      </c>
      <c r="J535"/>
      <c r="K535" s="31"/>
      <c r="L535" s="30"/>
      <c r="M535" s="29">
        <v>120</v>
      </c>
      <c r="N535" s="28">
        <f>IF(OR(TableauCB[[#This Row],[Etat]]="",TableauCB[[#This Row],[Etat]]="c"),IF(TableauCB[[#This Row],[Solde]]="","",N534),N534-TableauCB[[#This Row],[Débit]]+TableauCB[[#This Row],[Crédit]])</f>
        <v>8638.606000000007</v>
      </c>
      <c r="O535" s="27" t="e">
        <f>IF(TableauCB[[#This Row],[Etat]]="xc",O534-TableauCB[[#This Row],[Débit]]+TableauCB[[#This Row],[Crédit]],O534-TableauCB[[#This Row],[Débit]])</f>
        <v>#VALUE!</v>
      </c>
      <c r="P535" s="27">
        <f>IF(AND(ISBLANK(TableauCB[[#This Row],[Débit]]),ISBLANK(TableauCB[[#This Row],[Crédit]])),"",P534+TableauCB[[#This Row],[Crédit]]-TableauCB[[#This Row],[Débit]])</f>
        <v>7672.606000000007</v>
      </c>
      <c r="Q535" s="26"/>
      <c r="V535" s="9"/>
      <c r="W535" s="2"/>
      <c r="X535" s="9"/>
      <c r="Y535" s="8"/>
      <c r="Z535" s="7"/>
      <c r="AA535" s="7"/>
      <c r="AB535" s="6"/>
    </row>
    <row r="536" spans="2:28" ht="30" hidden="1" customHeight="1">
      <c r="B536" s="46"/>
      <c r="C536" s="11" t="s">
        <v>33</v>
      </c>
      <c r="D536" s="11" t="s">
        <v>17</v>
      </c>
      <c r="E536" s="11"/>
      <c r="F536" s="34">
        <v>42277</v>
      </c>
      <c r="G536"/>
      <c r="H536"/>
      <c r="I536" s="32"/>
      <c r="J536"/>
      <c r="K536" s="31"/>
      <c r="L536" s="30">
        <v>17.7</v>
      </c>
      <c r="M536" s="29"/>
      <c r="N536" s="28">
        <f>IF(OR(TableauCB[[#This Row],[Etat]]="",TableauCB[[#This Row],[Etat]]="c"),IF(TableauCB[[#This Row],[Solde]]="","",N535),N535-TableauCB[[#This Row],[Débit]]+TableauCB[[#This Row],[Crédit]])</f>
        <v>8620.9060000000063</v>
      </c>
      <c r="O536" s="27" t="e">
        <f>IF(TableauCB[[#This Row],[Etat]]="xc",O535-TableauCB[[#This Row],[Débit]]+TableauCB[[#This Row],[Crédit]],O535-TableauCB[[#This Row],[Débit]])</f>
        <v>#VALUE!</v>
      </c>
      <c r="P536" s="27">
        <f>IF(AND(ISBLANK(TableauCB[[#This Row],[Débit]]),ISBLANK(TableauCB[[#This Row],[Crédit]])),"",P535+TableauCB[[#This Row],[Crédit]]-TableauCB[[#This Row],[Débit]])</f>
        <v>7654.9060000000072</v>
      </c>
      <c r="Q536" s="26"/>
      <c r="V536" s="9"/>
      <c r="W536" s="2"/>
      <c r="X536" s="9"/>
      <c r="Y536" s="8"/>
      <c r="Z536" s="7"/>
      <c r="AA536" s="7"/>
      <c r="AB536" s="6"/>
    </row>
    <row r="537" spans="2:28" ht="30" hidden="1" customHeight="1">
      <c r="B537" s="46"/>
      <c r="C537" s="11" t="s">
        <v>33</v>
      </c>
      <c r="D537" s="11" t="s">
        <v>9</v>
      </c>
      <c r="E537" s="11"/>
      <c r="F537" s="34">
        <v>42277</v>
      </c>
      <c r="G537"/>
      <c r="H537"/>
      <c r="I537" s="32"/>
      <c r="J537"/>
      <c r="K537" s="31"/>
      <c r="L537" s="30">
        <v>240</v>
      </c>
      <c r="M537" s="29"/>
      <c r="N537" s="28">
        <f>IF(OR(TableauCB[[#This Row],[Etat]]="",TableauCB[[#This Row],[Etat]]="c"),IF(TableauCB[[#This Row],[Solde]]="","",N536),N536-TableauCB[[#This Row],[Débit]]+TableauCB[[#This Row],[Crédit]])</f>
        <v>8380.9060000000063</v>
      </c>
      <c r="O537" s="27" t="e">
        <f>IF(TableauCB[[#This Row],[Etat]]="xc",O536-TableauCB[[#This Row],[Débit]]+TableauCB[[#This Row],[Crédit]],O536-TableauCB[[#This Row],[Débit]])</f>
        <v>#VALUE!</v>
      </c>
      <c r="P537" s="27">
        <f>IF(AND(ISBLANK(TableauCB[[#This Row],[Débit]]),ISBLANK(TableauCB[[#This Row],[Crédit]])),"",P536+TableauCB[[#This Row],[Crédit]]-TableauCB[[#This Row],[Débit]])</f>
        <v>7414.9060000000072</v>
      </c>
      <c r="Q537" s="26"/>
      <c r="T537" s="37" t="s">
        <v>60</v>
      </c>
      <c r="U537" s="37"/>
      <c r="V537" s="9"/>
      <c r="W537" s="2"/>
      <c r="X537" s="9"/>
      <c r="Y537" s="8"/>
      <c r="Z537" s="7"/>
      <c r="AA537" s="7"/>
      <c r="AB537" s="6"/>
    </row>
    <row r="538" spans="2:28" ht="30" hidden="1" customHeight="1" thickBot="1">
      <c r="B538" s="46"/>
      <c r="C538" s="11" t="s">
        <v>33</v>
      </c>
      <c r="D538" s="11" t="s">
        <v>5</v>
      </c>
      <c r="E538" s="11"/>
      <c r="F538" s="34">
        <v>42277</v>
      </c>
      <c r="G538"/>
      <c r="H538"/>
      <c r="I538" s="32">
        <v>42292</v>
      </c>
      <c r="J538"/>
      <c r="K538" s="31"/>
      <c r="L538" s="30">
        <v>750.89</v>
      </c>
      <c r="M538" s="29"/>
      <c r="N538" s="28">
        <f>IF(OR(TableauCB[[#This Row],[Etat]]="",TableauCB[[#This Row],[Etat]]="c"),IF(TableauCB[[#This Row],[Solde]]="","",N537),N537-TableauCB[[#This Row],[Débit]]+TableauCB[[#This Row],[Crédit]])</f>
        <v>7630.016000000006</v>
      </c>
      <c r="O538" s="27" t="e">
        <f>IF(TableauCB[[#This Row],[Etat]]="xc",O537-TableauCB[[#This Row],[Débit]]+TableauCB[[#This Row],[Crédit]],O537-TableauCB[[#This Row],[Débit]])</f>
        <v>#VALUE!</v>
      </c>
      <c r="P538" s="27">
        <f>IF(AND(ISBLANK(TableauCB[[#This Row],[Débit]]),ISBLANK(TableauCB[[#This Row],[Crédit]])),"",P537+TableauCB[[#This Row],[Crédit]]-TableauCB[[#This Row],[Débit]])</f>
        <v>6664.0160000000069</v>
      </c>
      <c r="Q538" s="26"/>
      <c r="R538" s="47" t="s">
        <v>54</v>
      </c>
      <c r="S538" s="47" t="s">
        <v>53</v>
      </c>
      <c r="T538" s="48" t="s">
        <v>54</v>
      </c>
      <c r="U538" s="47" t="s">
        <v>53</v>
      </c>
      <c r="V538" s="9"/>
      <c r="W538" s="2"/>
      <c r="X538" s="9"/>
      <c r="Y538" s="8"/>
      <c r="Z538" s="7"/>
      <c r="AA538" s="7"/>
      <c r="AB538" s="6"/>
    </row>
    <row r="539" spans="2:28" ht="30" hidden="1" customHeight="1">
      <c r="B539" s="46"/>
      <c r="C539" s="11" t="s">
        <v>33</v>
      </c>
      <c r="D539" s="11" t="s">
        <v>5</v>
      </c>
      <c r="E539" s="11"/>
      <c r="F539" s="34">
        <v>42277</v>
      </c>
      <c r="G539"/>
      <c r="H539"/>
      <c r="I539" s="32">
        <v>42282</v>
      </c>
      <c r="J539"/>
      <c r="K539" s="31"/>
      <c r="L539" s="30">
        <v>533.11</v>
      </c>
      <c r="M539" s="29"/>
      <c r="N539" s="28">
        <f>IF(OR(TableauCB[[#This Row],[Etat]]="",TableauCB[[#This Row],[Etat]]="c"),IF(TableauCB[[#This Row],[Solde]]="","",N538),N538-TableauCB[[#This Row],[Débit]]+TableauCB[[#This Row],[Crédit]])</f>
        <v>7096.9060000000063</v>
      </c>
      <c r="O539" s="27" t="e">
        <f>IF(TableauCB[[#This Row],[Etat]]="xc",O538-TableauCB[[#This Row],[Débit]]+TableauCB[[#This Row],[Crédit]],O538-TableauCB[[#This Row],[Débit]])</f>
        <v>#VALUE!</v>
      </c>
      <c r="P539" s="27">
        <f>IF(AND(ISBLANK(TableauCB[[#This Row],[Débit]]),ISBLANK(TableauCB[[#This Row],[Crédit]])),"",P538+TableauCB[[#This Row],[Crédit]]-TableauCB[[#This Row],[Débit]])</f>
        <v>6130.9060000000072</v>
      </c>
      <c r="Q539" s="26"/>
      <c r="R539" s="25">
        <f>SUM(M519:M539)-SUM(L519:L539)</f>
        <v>772.27999999999975</v>
      </c>
      <c r="S539" s="25">
        <f>R539/1.2</f>
        <v>643.56666666666649</v>
      </c>
      <c r="T539" s="45">
        <f>R539+TTCAOUT2015+TTCJUILETTE2015</f>
        <v>-2385.3500000000008</v>
      </c>
      <c r="U539" s="44">
        <f>S539+HTAOUT2015+HTJUILLET2015</f>
        <v>-1987.7916666666677</v>
      </c>
      <c r="V539" s="9"/>
      <c r="W539" s="2"/>
      <c r="X539" s="9"/>
      <c r="Y539" s="8"/>
      <c r="Z539" s="7"/>
      <c r="AA539" s="7"/>
      <c r="AB539" s="6"/>
    </row>
    <row r="540" spans="2:28" ht="30" hidden="1" customHeight="1">
      <c r="B540" s="46" t="s">
        <v>59</v>
      </c>
      <c r="C540" s="11" t="s">
        <v>33</v>
      </c>
      <c r="D540" s="11" t="s">
        <v>21</v>
      </c>
      <c r="E540" s="11"/>
      <c r="F540" s="34">
        <v>42278</v>
      </c>
      <c r="G540"/>
      <c r="H540"/>
      <c r="I540" s="32"/>
      <c r="J540"/>
      <c r="K540" s="31"/>
      <c r="L540" s="30">
        <v>7.86</v>
      </c>
      <c r="M540" s="29"/>
      <c r="N540" s="28">
        <f>IF(OR(TableauCB[[#This Row],[Etat]]="",TableauCB[[#This Row],[Etat]]="c"),IF(TableauCB[[#This Row],[Solde]]="","",N539),N539-TableauCB[[#This Row],[Débit]]+TableauCB[[#This Row],[Crédit]])</f>
        <v>7089.0460000000066</v>
      </c>
      <c r="O540" s="27" t="e">
        <f>IF(TableauCB[[#This Row],[Etat]]="xc",O539-TableauCB[[#This Row],[Débit]]+TableauCB[[#This Row],[Crédit]],O539-TableauCB[[#This Row],[Débit]])</f>
        <v>#VALUE!</v>
      </c>
      <c r="P540" s="27">
        <f>IF(AND(ISBLANK(TableauCB[[#This Row],[Débit]]),ISBLANK(TableauCB[[#This Row],[Crédit]])),"",P539+TableauCB[[#This Row],[Crédit]]-TableauCB[[#This Row],[Débit]])</f>
        <v>6123.0460000000076</v>
      </c>
      <c r="Q540" s="26"/>
      <c r="T540" s="10"/>
      <c r="U540" s="10"/>
      <c r="V540" s="9"/>
      <c r="W540" s="2"/>
      <c r="X540" s="9"/>
      <c r="Y540" s="8"/>
      <c r="Z540" s="7"/>
      <c r="AA540" s="7"/>
      <c r="AB540" s="6"/>
    </row>
    <row r="541" spans="2:28" ht="30" hidden="1" customHeight="1">
      <c r="B541" s="46"/>
      <c r="C541" s="11" t="s">
        <v>33</v>
      </c>
      <c r="D541" s="11" t="s">
        <v>41</v>
      </c>
      <c r="E541" s="11"/>
      <c r="F541" s="34">
        <v>42283</v>
      </c>
      <c r="G541"/>
      <c r="H541"/>
      <c r="I541" s="32"/>
      <c r="J541"/>
      <c r="K541" s="31"/>
      <c r="L541" s="30">
        <v>28.5</v>
      </c>
      <c r="M541" s="29"/>
      <c r="N541" s="28">
        <f>IF(OR(TableauCB[[#This Row],[Etat]]="",TableauCB[[#This Row],[Etat]]="c"),IF(TableauCB[[#This Row],[Solde]]="","",N540),N540-TableauCB[[#This Row],[Débit]]+TableauCB[[#This Row],[Crédit]])</f>
        <v>7060.5460000000066</v>
      </c>
      <c r="O541" s="27" t="e">
        <f>IF(TableauCB[[#This Row],[Etat]]="xc",O540-TableauCB[[#This Row],[Débit]]+TableauCB[[#This Row],[Crédit]],O540-TableauCB[[#This Row],[Débit]])</f>
        <v>#VALUE!</v>
      </c>
      <c r="P541" s="27">
        <f>IF(AND(ISBLANK(TableauCB[[#This Row],[Débit]]),ISBLANK(TableauCB[[#This Row],[Crédit]])),"",P540+TableauCB[[#This Row],[Crédit]]-TableauCB[[#This Row],[Débit]])</f>
        <v>6094.5460000000076</v>
      </c>
      <c r="Q541" s="26"/>
      <c r="T541" s="10"/>
      <c r="U541" s="10"/>
      <c r="V541" s="9"/>
      <c r="W541" s="2"/>
      <c r="X541" s="9"/>
      <c r="Y541" s="8"/>
      <c r="Z541" s="7"/>
      <c r="AA541" s="7"/>
      <c r="AB541" s="6"/>
    </row>
    <row r="542" spans="2:28" ht="30" hidden="1" customHeight="1">
      <c r="B542" s="46"/>
      <c r="C542" s="11" t="s">
        <v>33</v>
      </c>
      <c r="D542" s="11" t="s">
        <v>15</v>
      </c>
      <c r="E542" s="11"/>
      <c r="F542" s="34">
        <v>42285</v>
      </c>
      <c r="G542"/>
      <c r="H542"/>
      <c r="I542" s="32">
        <v>42303</v>
      </c>
      <c r="J542"/>
      <c r="K542" s="31"/>
      <c r="L542" s="30"/>
      <c r="M542" s="29">
        <v>112</v>
      </c>
      <c r="N542" s="28">
        <f>IF(OR(TableauCB[[#This Row],[Etat]]="",TableauCB[[#This Row],[Etat]]="c"),IF(TableauCB[[#This Row],[Solde]]="","",N541),N541-TableauCB[[#This Row],[Débit]]+TableauCB[[#This Row],[Crédit]])</f>
        <v>7172.5460000000066</v>
      </c>
      <c r="O542" s="27" t="e">
        <f>IF(TableauCB[[#This Row],[Etat]]="xc",O541-TableauCB[[#This Row],[Débit]]+TableauCB[[#This Row],[Crédit]],O541-TableauCB[[#This Row],[Débit]])</f>
        <v>#VALUE!</v>
      </c>
      <c r="P542" s="27">
        <f>IF(AND(ISBLANK(TableauCB[[#This Row],[Débit]]),ISBLANK(TableauCB[[#This Row],[Crédit]])),"",P541+TableauCB[[#This Row],[Crédit]]-TableauCB[[#This Row],[Débit]])</f>
        <v>6206.5460000000076</v>
      </c>
      <c r="Q542" s="26"/>
      <c r="T542" s="24"/>
      <c r="U542" s="10"/>
      <c r="V542" s="9"/>
      <c r="W542" s="2"/>
      <c r="X542" s="9"/>
      <c r="Y542" s="8"/>
      <c r="Z542" s="7"/>
      <c r="AA542" s="7"/>
      <c r="AB542" s="6"/>
    </row>
    <row r="543" spans="2:28" ht="30" hidden="1" customHeight="1">
      <c r="B543" s="46"/>
      <c r="C543" s="11" t="s">
        <v>33</v>
      </c>
      <c r="D543" s="11" t="s">
        <v>41</v>
      </c>
      <c r="E543" s="11"/>
      <c r="F543" s="34">
        <v>42285</v>
      </c>
      <c r="G543"/>
      <c r="H543"/>
      <c r="I543" s="32"/>
      <c r="J543"/>
      <c r="K543" s="31"/>
      <c r="L543" s="30">
        <v>67.61</v>
      </c>
      <c r="M543" s="29"/>
      <c r="N543" s="28">
        <f>IF(OR(TableauCB[[#This Row],[Etat]]="",TableauCB[[#This Row],[Etat]]="c"),IF(TableauCB[[#This Row],[Solde]]="","",N542),N542-TableauCB[[#This Row],[Débit]]+TableauCB[[#This Row],[Crédit]])</f>
        <v>7104.936000000007</v>
      </c>
      <c r="O543" s="27" t="e">
        <f>IF(TableauCB[[#This Row],[Etat]]="xc",O542-TableauCB[[#This Row],[Débit]]+TableauCB[[#This Row],[Crédit]],O542-TableauCB[[#This Row],[Débit]])</f>
        <v>#VALUE!</v>
      </c>
      <c r="P543" s="27">
        <f>IF(AND(ISBLANK(TableauCB[[#This Row],[Débit]]),ISBLANK(TableauCB[[#This Row],[Crédit]])),"",P542+TableauCB[[#This Row],[Crédit]]-TableauCB[[#This Row],[Débit]])</f>
        <v>6138.9360000000079</v>
      </c>
      <c r="Q543" s="26"/>
      <c r="T543" s="24"/>
      <c r="U543" s="10"/>
      <c r="V543" s="9"/>
      <c r="W543" s="2"/>
      <c r="X543" s="9"/>
      <c r="Y543" s="8"/>
      <c r="Z543" s="7"/>
      <c r="AA543" s="7"/>
      <c r="AB543" s="6"/>
    </row>
    <row r="544" spans="2:28" ht="30" hidden="1" customHeight="1">
      <c r="B544" s="46"/>
      <c r="C544" s="11" t="s">
        <v>33</v>
      </c>
      <c r="D544" s="11" t="s">
        <v>21</v>
      </c>
      <c r="E544" s="11"/>
      <c r="F544" s="34">
        <v>42286</v>
      </c>
      <c r="G544"/>
      <c r="H544"/>
      <c r="I544" s="32"/>
      <c r="J544"/>
      <c r="K544" s="31"/>
      <c r="L544" s="30">
        <v>22.2</v>
      </c>
      <c r="M544" s="29"/>
      <c r="N544" s="28">
        <f>IF(OR(TableauCB[[#This Row],[Etat]]="",TableauCB[[#This Row],[Etat]]="c"),IF(TableauCB[[#This Row],[Solde]]="","",N543),N543-TableauCB[[#This Row],[Débit]]+TableauCB[[#This Row],[Crédit]])</f>
        <v>7082.7360000000072</v>
      </c>
      <c r="O544" s="27" t="e">
        <f>IF(TableauCB[[#This Row],[Etat]]="xc",O543-TableauCB[[#This Row],[Débit]]+TableauCB[[#This Row],[Crédit]],O543-TableauCB[[#This Row],[Débit]])</f>
        <v>#VALUE!</v>
      </c>
      <c r="P544" s="27">
        <f>IF(AND(ISBLANK(TableauCB[[#This Row],[Débit]]),ISBLANK(TableauCB[[#This Row],[Crédit]])),"",P543+TableauCB[[#This Row],[Crédit]]-TableauCB[[#This Row],[Débit]])</f>
        <v>6116.7360000000081</v>
      </c>
      <c r="Q544" s="26"/>
      <c r="T544" s="24"/>
      <c r="U544" s="10"/>
      <c r="V544" s="9"/>
      <c r="W544" s="2"/>
      <c r="X544" s="9"/>
      <c r="Y544" s="8"/>
      <c r="Z544" s="7"/>
      <c r="AA544" s="7"/>
      <c r="AB544" s="6"/>
    </row>
    <row r="545" spans="2:28" ht="30" hidden="1" customHeight="1">
      <c r="B545" s="46"/>
      <c r="C545" s="11" t="s">
        <v>33</v>
      </c>
      <c r="D545" s="11" t="s">
        <v>15</v>
      </c>
      <c r="E545" s="11"/>
      <c r="F545" s="34">
        <v>42292</v>
      </c>
      <c r="G545"/>
      <c r="H545"/>
      <c r="I545" s="32"/>
      <c r="J545"/>
      <c r="K545" s="31"/>
      <c r="L545" s="30">
        <v>38</v>
      </c>
      <c r="M545" s="29"/>
      <c r="N545" s="28">
        <f>IF(OR(TableauCB[[#This Row],[Etat]]="",TableauCB[[#This Row],[Etat]]="c"),IF(TableauCB[[#This Row],[Solde]]="","",N544),N544-TableauCB[[#This Row],[Débit]]+TableauCB[[#This Row],[Crédit]])</f>
        <v>7044.7360000000072</v>
      </c>
      <c r="O545" s="27" t="e">
        <f>IF(TableauCB[[#This Row],[Etat]]="xc",O544-TableauCB[[#This Row],[Débit]]+TableauCB[[#This Row],[Crédit]],O544-TableauCB[[#This Row],[Débit]])</f>
        <v>#VALUE!</v>
      </c>
      <c r="P545" s="27">
        <f>IF(AND(ISBLANK(TableauCB[[#This Row],[Débit]]),ISBLANK(TableauCB[[#This Row],[Crédit]])),"",P544+TableauCB[[#This Row],[Crédit]]-TableauCB[[#This Row],[Débit]])</f>
        <v>6078.7360000000081</v>
      </c>
      <c r="Q545" s="26"/>
      <c r="T545" s="24"/>
      <c r="U545" s="10"/>
      <c r="V545" s="9"/>
      <c r="W545" s="2"/>
      <c r="X545" s="9"/>
      <c r="Y545" s="8"/>
      <c r="Z545" s="7"/>
      <c r="AA545" s="7"/>
      <c r="AB545" s="6"/>
    </row>
    <row r="546" spans="2:28" ht="30" hidden="1" customHeight="1">
      <c r="B546" s="46"/>
      <c r="C546" s="11" t="s">
        <v>33</v>
      </c>
      <c r="D546" s="11" t="s">
        <v>15</v>
      </c>
      <c r="E546" s="11"/>
      <c r="F546" s="34">
        <v>42292</v>
      </c>
      <c r="G546"/>
      <c r="H546"/>
      <c r="I546" s="32">
        <v>42284</v>
      </c>
      <c r="J546"/>
      <c r="K546" s="31"/>
      <c r="L546" s="30">
        <v>38</v>
      </c>
      <c r="M546" s="29"/>
      <c r="N546" s="28">
        <f>IF(OR(TableauCB[[#This Row],[Etat]]="",TableauCB[[#This Row],[Etat]]="c"),IF(TableauCB[[#This Row],[Solde]]="","",N545),N545-TableauCB[[#This Row],[Débit]]+TableauCB[[#This Row],[Crédit]])</f>
        <v>7006.7360000000072</v>
      </c>
      <c r="O546" s="27" t="e">
        <f>IF(TableauCB[[#This Row],[Etat]]="xc",O545-TableauCB[[#This Row],[Débit]]+TableauCB[[#This Row],[Crédit]],O545-TableauCB[[#This Row],[Débit]])</f>
        <v>#VALUE!</v>
      </c>
      <c r="P546" s="27">
        <f>IF(AND(ISBLANK(TableauCB[[#This Row],[Débit]]),ISBLANK(TableauCB[[#This Row],[Crédit]])),"",P545+TableauCB[[#This Row],[Crédit]]-TableauCB[[#This Row],[Débit]])</f>
        <v>6040.7360000000081</v>
      </c>
      <c r="Q546" s="26"/>
      <c r="T546" s="24"/>
      <c r="U546" s="10"/>
      <c r="V546" s="9"/>
      <c r="W546" s="2"/>
      <c r="X546" s="9"/>
      <c r="Y546" s="8"/>
      <c r="Z546" s="7"/>
      <c r="AA546" s="7"/>
      <c r="AB546" s="6"/>
    </row>
    <row r="547" spans="2:28" ht="30" hidden="1" customHeight="1">
      <c r="B547" s="46"/>
      <c r="C547" s="11" t="s">
        <v>33</v>
      </c>
      <c r="D547" s="11" t="s">
        <v>15</v>
      </c>
      <c r="E547" s="11"/>
      <c r="F547" s="34">
        <v>42292</v>
      </c>
      <c r="G547"/>
      <c r="H547"/>
      <c r="I547" s="32">
        <v>42284</v>
      </c>
      <c r="J547"/>
      <c r="K547" s="31"/>
      <c r="L547" s="30">
        <v>10</v>
      </c>
      <c r="M547" s="29"/>
      <c r="N547" s="28">
        <f>IF(OR(TableauCB[[#This Row],[Etat]]="",TableauCB[[#This Row],[Etat]]="c"),IF(TableauCB[[#This Row],[Solde]]="","",N546),N546-TableauCB[[#This Row],[Débit]]+TableauCB[[#This Row],[Crédit]])</f>
        <v>6996.7360000000072</v>
      </c>
      <c r="O547" s="27" t="e">
        <f>IF(TableauCB[[#This Row],[Etat]]="xc",O546-TableauCB[[#This Row],[Débit]]+TableauCB[[#This Row],[Crédit]],O546-TableauCB[[#This Row],[Débit]])</f>
        <v>#VALUE!</v>
      </c>
      <c r="P547" s="27">
        <f>IF(AND(ISBLANK(TableauCB[[#This Row],[Débit]]),ISBLANK(TableauCB[[#This Row],[Crédit]])),"",P546+TableauCB[[#This Row],[Crédit]]-TableauCB[[#This Row],[Débit]])</f>
        <v>6030.7360000000081</v>
      </c>
      <c r="Q547" s="26"/>
      <c r="T547" s="24"/>
      <c r="U547" s="10"/>
      <c r="V547" s="9"/>
      <c r="W547" s="2"/>
      <c r="X547" s="9"/>
      <c r="Y547" s="8"/>
      <c r="Z547" s="7"/>
      <c r="AA547" s="7"/>
      <c r="AB547" s="6"/>
    </row>
    <row r="548" spans="2:28" ht="30" hidden="1" customHeight="1">
      <c r="B548" s="46"/>
      <c r="C548" s="11" t="s">
        <v>33</v>
      </c>
      <c r="D548" s="11" t="s">
        <v>15</v>
      </c>
      <c r="E548" s="11"/>
      <c r="F548" s="34">
        <v>42292</v>
      </c>
      <c r="G548"/>
      <c r="H548"/>
      <c r="I548" s="32">
        <v>42284</v>
      </c>
      <c r="J548"/>
      <c r="K548" s="31"/>
      <c r="L548" s="30">
        <v>1290</v>
      </c>
      <c r="M548" s="29"/>
      <c r="N548" s="28">
        <f>IF(OR(TableauCB[[#This Row],[Etat]]="",TableauCB[[#This Row],[Etat]]="c"),IF(TableauCB[[#This Row],[Solde]]="","",N547),N547-TableauCB[[#This Row],[Débit]]+TableauCB[[#This Row],[Crédit]])</f>
        <v>5706.7360000000072</v>
      </c>
      <c r="O548" s="27" t="e">
        <f>IF(TableauCB[[#This Row],[Etat]]="xc",O547-TableauCB[[#This Row],[Débit]]+TableauCB[[#This Row],[Crédit]],O547-TableauCB[[#This Row],[Débit]])</f>
        <v>#VALUE!</v>
      </c>
      <c r="P548" s="27">
        <f>IF(AND(ISBLANK(TableauCB[[#This Row],[Débit]]),ISBLANK(TableauCB[[#This Row],[Crédit]])),"",P547+TableauCB[[#This Row],[Crédit]]-TableauCB[[#This Row],[Débit]])</f>
        <v>4740.7360000000081</v>
      </c>
      <c r="Q548" s="26"/>
      <c r="T548" s="24"/>
      <c r="U548" s="10"/>
      <c r="V548" s="9"/>
      <c r="W548" s="2"/>
      <c r="X548" s="9"/>
      <c r="Y548" s="8"/>
      <c r="Z548" s="7"/>
      <c r="AA548" s="7"/>
      <c r="AB548" s="6"/>
    </row>
    <row r="549" spans="2:28" ht="30" hidden="1" customHeight="1">
      <c r="B549" s="46"/>
      <c r="C549" s="11" t="s">
        <v>33</v>
      </c>
      <c r="D549" s="11" t="s">
        <v>15</v>
      </c>
      <c r="E549" s="11"/>
      <c r="F549" s="34">
        <v>42292</v>
      </c>
      <c r="G549"/>
      <c r="H549"/>
      <c r="I549" s="32">
        <v>42284</v>
      </c>
      <c r="J549"/>
      <c r="K549" s="31"/>
      <c r="L549" s="30">
        <v>531.71</v>
      </c>
      <c r="M549" s="29"/>
      <c r="N549" s="28">
        <f>IF(OR(TableauCB[[#This Row],[Etat]]="",TableauCB[[#This Row],[Etat]]="c"),IF(TableauCB[[#This Row],[Solde]]="","",N548),N548-TableauCB[[#This Row],[Débit]]+TableauCB[[#This Row],[Crédit]])</f>
        <v>5175.0260000000071</v>
      </c>
      <c r="O549" s="27" t="e">
        <f>IF(TableauCB[[#This Row],[Etat]]="xc",O548-TableauCB[[#This Row],[Débit]]+TableauCB[[#This Row],[Crédit]],O548-TableauCB[[#This Row],[Débit]])</f>
        <v>#VALUE!</v>
      </c>
      <c r="P549" s="27">
        <f>IF(AND(ISBLANK(TableauCB[[#This Row],[Débit]]),ISBLANK(TableauCB[[#This Row],[Crédit]])),"",P548+TableauCB[[#This Row],[Crédit]]-TableauCB[[#This Row],[Débit]])</f>
        <v>4209.026000000008</v>
      </c>
      <c r="Q549" s="26"/>
      <c r="T549" s="24"/>
      <c r="U549" s="10"/>
      <c r="V549" s="9"/>
      <c r="W549" s="2"/>
      <c r="X549" s="9"/>
      <c r="Y549" s="8"/>
      <c r="Z549" s="7"/>
      <c r="AA549" s="7"/>
      <c r="AB549" s="6"/>
    </row>
    <row r="550" spans="2:28" ht="30" hidden="1" customHeight="1">
      <c r="B550" s="46"/>
      <c r="C550" s="11" t="s">
        <v>33</v>
      </c>
      <c r="D550" s="11" t="s">
        <v>41</v>
      </c>
      <c r="E550" s="11"/>
      <c r="F550" s="34">
        <v>42292</v>
      </c>
      <c r="G550"/>
      <c r="H550"/>
      <c r="I550" s="32"/>
      <c r="J550"/>
      <c r="K550" s="31"/>
      <c r="L550" s="30">
        <v>157.72999999999999</v>
      </c>
      <c r="M550" s="29"/>
      <c r="N550" s="28">
        <f>IF(OR(TableauCB[[#This Row],[Etat]]="",TableauCB[[#This Row],[Etat]]="c"),IF(TableauCB[[#This Row],[Solde]]="","",N549),N549-TableauCB[[#This Row],[Débit]]+TableauCB[[#This Row],[Crédit]])</f>
        <v>5017.2960000000076</v>
      </c>
      <c r="O550" s="27" t="e">
        <f>IF(TableauCB[[#This Row],[Etat]]="xc",O549-TableauCB[[#This Row],[Débit]]+TableauCB[[#This Row],[Crédit]],O549-TableauCB[[#This Row],[Débit]])</f>
        <v>#VALUE!</v>
      </c>
      <c r="P550" s="27">
        <f>IF(AND(ISBLANK(TableauCB[[#This Row],[Débit]]),ISBLANK(TableauCB[[#This Row],[Crédit]])),"",P549+TableauCB[[#This Row],[Crédit]]-TableauCB[[#This Row],[Débit]])</f>
        <v>4051.296000000008</v>
      </c>
      <c r="Q550" s="26"/>
      <c r="T550" s="24"/>
      <c r="U550" s="10"/>
      <c r="V550" s="9"/>
      <c r="W550" s="2"/>
      <c r="X550" s="9"/>
      <c r="Y550" s="8"/>
      <c r="Z550" s="7"/>
      <c r="AA550" s="7"/>
      <c r="AB550" s="6"/>
    </row>
    <row r="551" spans="2:28" ht="30" hidden="1" customHeight="1">
      <c r="B551" s="46"/>
      <c r="C551" s="11" t="s">
        <v>33</v>
      </c>
      <c r="D551" s="11" t="s">
        <v>5</v>
      </c>
      <c r="E551" s="11"/>
      <c r="F551" s="34">
        <v>42297</v>
      </c>
      <c r="G551"/>
      <c r="H551"/>
      <c r="I551" s="32">
        <v>42298</v>
      </c>
      <c r="J551"/>
      <c r="K551" s="31"/>
      <c r="L551" s="30">
        <v>550</v>
      </c>
      <c r="M551" s="29"/>
      <c r="N551" s="28">
        <f>IF(OR(TableauCB[[#This Row],[Etat]]="",TableauCB[[#This Row],[Etat]]="c"),IF(TableauCB[[#This Row],[Solde]]="","",N550),N550-TableauCB[[#This Row],[Débit]]+TableauCB[[#This Row],[Crédit]])</f>
        <v>4467.2960000000076</v>
      </c>
      <c r="O551" s="27" t="e">
        <f>IF(TableauCB[[#This Row],[Etat]]="xc",O550-TableauCB[[#This Row],[Débit]]+TableauCB[[#This Row],[Crédit]],O550-TableauCB[[#This Row],[Débit]])</f>
        <v>#VALUE!</v>
      </c>
      <c r="P551" s="27">
        <f>IF(AND(ISBLANK(TableauCB[[#This Row],[Débit]]),ISBLANK(TableauCB[[#This Row],[Crédit]])),"",P550+TableauCB[[#This Row],[Crédit]]-TableauCB[[#This Row],[Débit]])</f>
        <v>3501.296000000008</v>
      </c>
      <c r="Q551" s="26"/>
      <c r="T551" s="24"/>
      <c r="U551" s="10"/>
      <c r="V551" s="9"/>
      <c r="W551" s="2"/>
      <c r="X551" s="9"/>
      <c r="Y551" s="8"/>
      <c r="Z551" s="7"/>
      <c r="AA551" s="7"/>
      <c r="AB551" s="6"/>
    </row>
    <row r="552" spans="2:28" ht="30" hidden="1" customHeight="1">
      <c r="B552" s="46"/>
      <c r="C552" s="11" t="s">
        <v>33</v>
      </c>
      <c r="D552" s="11" t="s">
        <v>17</v>
      </c>
      <c r="E552" s="11"/>
      <c r="F552" s="34">
        <v>42297</v>
      </c>
      <c r="G552"/>
      <c r="H552"/>
      <c r="I552" s="32"/>
      <c r="J552"/>
      <c r="K552" s="31"/>
      <c r="L552" s="30">
        <v>3.59</v>
      </c>
      <c r="M552" s="29"/>
      <c r="N552" s="28">
        <f>IF(OR(TableauCB[[#This Row],[Etat]]="",TableauCB[[#This Row],[Etat]]="c"),IF(TableauCB[[#This Row],[Solde]]="","",N551),N551-TableauCB[[#This Row],[Débit]]+TableauCB[[#This Row],[Crédit]])</f>
        <v>4463.7060000000074</v>
      </c>
      <c r="O552" s="27" t="e">
        <f>IF(TableauCB[[#This Row],[Etat]]="xc",O551-TableauCB[[#This Row],[Débit]]+TableauCB[[#This Row],[Crédit]],O551-TableauCB[[#This Row],[Débit]])</f>
        <v>#VALUE!</v>
      </c>
      <c r="P552" s="27">
        <f>IF(AND(ISBLANK(TableauCB[[#This Row],[Débit]]),ISBLANK(TableauCB[[#This Row],[Crédit]])),"",P551+TableauCB[[#This Row],[Crédit]]-TableauCB[[#This Row],[Débit]])</f>
        <v>3497.7060000000079</v>
      </c>
      <c r="Q552" s="26"/>
      <c r="T552" s="24"/>
      <c r="U552" s="10"/>
      <c r="V552" s="9"/>
      <c r="W552" s="2"/>
      <c r="X552" s="9"/>
      <c r="Y552" s="8"/>
      <c r="Z552" s="7"/>
      <c r="AA552" s="7"/>
      <c r="AB552" s="6"/>
    </row>
    <row r="553" spans="2:28" ht="30" hidden="1" customHeight="1">
      <c r="B553" s="46"/>
      <c r="C553" s="11" t="s">
        <v>33</v>
      </c>
      <c r="D553" s="11" t="s">
        <v>17</v>
      </c>
      <c r="E553" s="11"/>
      <c r="F553" s="34">
        <v>42298</v>
      </c>
      <c r="G553"/>
      <c r="H553"/>
      <c r="I553" s="32"/>
      <c r="J553"/>
      <c r="K553" s="31"/>
      <c r="L553" s="30">
        <v>41.4</v>
      </c>
      <c r="M553" s="29"/>
      <c r="N553" s="28">
        <f>IF(OR(TableauCB[[#This Row],[Etat]]="",TableauCB[[#This Row],[Etat]]="c"),IF(TableauCB[[#This Row],[Solde]]="","",N552),N552-TableauCB[[#This Row],[Débit]]+TableauCB[[#This Row],[Crédit]])</f>
        <v>4422.3060000000078</v>
      </c>
      <c r="O553" s="27" t="e">
        <f>IF(TableauCB[[#This Row],[Etat]]="xc",O552-TableauCB[[#This Row],[Débit]]+TableauCB[[#This Row],[Crédit]],O552-TableauCB[[#This Row],[Débit]])</f>
        <v>#VALUE!</v>
      </c>
      <c r="P553" s="27">
        <f>IF(AND(ISBLANK(TableauCB[[#This Row],[Débit]]),ISBLANK(TableauCB[[#This Row],[Crédit]])),"",P552+TableauCB[[#This Row],[Crédit]]-TableauCB[[#This Row],[Débit]])</f>
        <v>3456.3060000000078</v>
      </c>
      <c r="Q553" s="26"/>
      <c r="T553" s="10"/>
      <c r="U553" s="10"/>
      <c r="V553" s="9"/>
      <c r="W553" s="2"/>
      <c r="X553" s="9"/>
      <c r="Y553" s="8"/>
      <c r="Z553" s="7"/>
      <c r="AA553" s="7"/>
      <c r="AB553" s="6"/>
    </row>
    <row r="554" spans="2:28" ht="30" hidden="1" customHeight="1">
      <c r="B554" s="46"/>
      <c r="C554" s="11" t="s">
        <v>33</v>
      </c>
      <c r="D554" s="11" t="s">
        <v>41</v>
      </c>
      <c r="E554" s="11"/>
      <c r="F554" s="34">
        <v>42300</v>
      </c>
      <c r="G554"/>
      <c r="H554"/>
      <c r="I554" s="32"/>
      <c r="J554"/>
      <c r="K554" s="31"/>
      <c r="L554" s="30">
        <v>74.45</v>
      </c>
      <c r="M554" s="29"/>
      <c r="N554" s="28">
        <f>IF(OR(TableauCB[[#This Row],[Etat]]="",TableauCB[[#This Row],[Etat]]="c"),IF(TableauCB[[#This Row],[Solde]]="","",N553),N553-TableauCB[[#This Row],[Débit]]+TableauCB[[#This Row],[Crédit]])</f>
        <v>4347.856000000008</v>
      </c>
      <c r="O554" s="27" t="e">
        <f>IF(TableauCB[[#This Row],[Etat]]="xc",O553-TableauCB[[#This Row],[Débit]]+TableauCB[[#This Row],[Crédit]],O553-TableauCB[[#This Row],[Débit]])</f>
        <v>#VALUE!</v>
      </c>
      <c r="P554" s="27">
        <f>IF(AND(ISBLANK(TableauCB[[#This Row],[Débit]]),ISBLANK(TableauCB[[#This Row],[Crédit]])),"",P553+TableauCB[[#This Row],[Crédit]]-TableauCB[[#This Row],[Débit]])</f>
        <v>3381.856000000008</v>
      </c>
      <c r="Q554" s="26"/>
      <c r="T554" s="10"/>
      <c r="U554" s="10"/>
      <c r="V554" s="9"/>
      <c r="W554" s="2"/>
      <c r="X554" s="9"/>
      <c r="Y554" s="8"/>
      <c r="Z554" s="7"/>
      <c r="AA554" s="7"/>
      <c r="AB554" s="6"/>
    </row>
    <row r="555" spans="2:28" ht="30" hidden="1" customHeight="1">
      <c r="B555" s="46"/>
      <c r="C555" s="11" t="s">
        <v>33</v>
      </c>
      <c r="D555" s="11" t="s">
        <v>58</v>
      </c>
      <c r="E555" s="11"/>
      <c r="F555" s="34">
        <v>42301</v>
      </c>
      <c r="G555"/>
      <c r="H555"/>
      <c r="I555" s="32"/>
      <c r="J555"/>
      <c r="K555" s="31"/>
      <c r="L555" s="30">
        <v>52.8</v>
      </c>
      <c r="M555" s="29"/>
      <c r="N555" s="28">
        <f>IF(OR(TableauCB[[#This Row],[Etat]]="",TableauCB[[#This Row],[Etat]]="c"),IF(TableauCB[[#This Row],[Solde]]="","",N554),N554-TableauCB[[#This Row],[Débit]]+TableauCB[[#This Row],[Crédit]])</f>
        <v>4295.0560000000078</v>
      </c>
      <c r="O555" s="27" t="e">
        <f>IF(TableauCB[[#This Row],[Etat]]="xc",O554-TableauCB[[#This Row],[Débit]]+TableauCB[[#This Row],[Crédit]],O554-TableauCB[[#This Row],[Débit]])</f>
        <v>#VALUE!</v>
      </c>
      <c r="P555" s="27">
        <f>IF(AND(ISBLANK(TableauCB[[#This Row],[Débit]]),ISBLANK(TableauCB[[#This Row],[Crédit]])),"",P554+TableauCB[[#This Row],[Crédit]]-TableauCB[[#This Row],[Débit]])</f>
        <v>3329.0560000000078</v>
      </c>
      <c r="Q555" s="26"/>
      <c r="T555" s="10"/>
      <c r="U555" s="10"/>
      <c r="V555" s="9"/>
      <c r="W555" s="2"/>
      <c r="X555" s="9"/>
      <c r="Y555" s="8"/>
      <c r="Z555" s="7"/>
      <c r="AA555" s="7"/>
      <c r="AB555" s="6"/>
    </row>
    <row r="556" spans="2:28" ht="30" hidden="1" customHeight="1">
      <c r="B556" s="46"/>
      <c r="C556" s="11" t="s">
        <v>33</v>
      </c>
      <c r="D556" s="11" t="s">
        <v>17</v>
      </c>
      <c r="E556" s="11"/>
      <c r="F556" s="34">
        <v>42307</v>
      </c>
      <c r="G556"/>
      <c r="H556"/>
      <c r="I556" s="32"/>
      <c r="J556"/>
      <c r="K556" s="31"/>
      <c r="L556" s="30">
        <v>16.71</v>
      </c>
      <c r="M556" s="29"/>
      <c r="N556" s="28">
        <f>IF(OR(TableauCB[[#This Row],[Etat]]="",TableauCB[[#This Row],[Etat]]="c"),IF(TableauCB[[#This Row],[Solde]]="","",N555),N555-TableauCB[[#This Row],[Débit]]+TableauCB[[#This Row],[Crédit]])</f>
        <v>4278.3460000000077</v>
      </c>
      <c r="O556" s="27" t="e">
        <f>IF(TableauCB[[#This Row],[Etat]]="xc",O555-TableauCB[[#This Row],[Débit]]+TableauCB[[#This Row],[Crédit]],O555-TableauCB[[#This Row],[Débit]])</f>
        <v>#VALUE!</v>
      </c>
      <c r="P556" s="27">
        <f>IF(AND(ISBLANK(TableauCB[[#This Row],[Débit]]),ISBLANK(TableauCB[[#This Row],[Crédit]])),"",P555+TableauCB[[#This Row],[Crédit]]-TableauCB[[#This Row],[Débit]])</f>
        <v>3312.3460000000077</v>
      </c>
      <c r="Q556" s="26"/>
      <c r="T556" s="10"/>
      <c r="U556" s="10"/>
      <c r="V556" s="9"/>
      <c r="W556" s="2"/>
      <c r="X556" s="9"/>
      <c r="Y556" s="8"/>
      <c r="Z556" s="7"/>
      <c r="AA556" s="7"/>
      <c r="AB556" s="6"/>
    </row>
    <row r="557" spans="2:28" ht="30" hidden="1" customHeight="1">
      <c r="B557" s="46"/>
      <c r="C557" s="11" t="s">
        <v>33</v>
      </c>
      <c r="D557" s="11" t="s">
        <v>11</v>
      </c>
      <c r="E557" s="11"/>
      <c r="F557" s="34">
        <v>42307</v>
      </c>
      <c r="G557"/>
      <c r="H557"/>
      <c r="I557" s="32">
        <v>42339</v>
      </c>
      <c r="J557"/>
      <c r="K557" s="31"/>
      <c r="L557" s="30"/>
      <c r="M557" s="29">
        <v>150.47999999999999</v>
      </c>
      <c r="N557" s="28">
        <f>IF(OR(TableauCB[[#This Row],[Etat]]="",TableauCB[[#This Row],[Etat]]="c"),IF(TableauCB[[#This Row],[Solde]]="","",N556),N556-TableauCB[[#This Row],[Débit]]+TableauCB[[#This Row],[Crédit]])</f>
        <v>4428.8260000000073</v>
      </c>
      <c r="O557" s="27" t="e">
        <f>IF(TableauCB[[#This Row],[Etat]]="xc",O556-TableauCB[[#This Row],[Débit]]+TableauCB[[#This Row],[Crédit]],O556-TableauCB[[#This Row],[Débit]])</f>
        <v>#VALUE!</v>
      </c>
      <c r="P557" s="27">
        <f>IF(AND(ISBLANK(TableauCB[[#This Row],[Débit]]),ISBLANK(TableauCB[[#This Row],[Crédit]])),"",P556+TableauCB[[#This Row],[Crédit]]-TableauCB[[#This Row],[Débit]])</f>
        <v>3462.8260000000078</v>
      </c>
      <c r="Q557" s="26"/>
      <c r="T557" s="10"/>
      <c r="U557" s="10"/>
      <c r="V557" s="9"/>
      <c r="W557" s="2"/>
      <c r="X557" s="9"/>
      <c r="Y557" s="8"/>
      <c r="Z557" s="7"/>
      <c r="AA557" s="7"/>
      <c r="AB557" s="6"/>
    </row>
    <row r="558" spans="2:28" ht="30" hidden="1" customHeight="1">
      <c r="B558" s="46"/>
      <c r="C558" s="11" t="s">
        <v>33</v>
      </c>
      <c r="D558" s="11" t="s">
        <v>11</v>
      </c>
      <c r="E558" s="11"/>
      <c r="F558" s="34">
        <v>42307</v>
      </c>
      <c r="G558"/>
      <c r="H558"/>
      <c r="I558" s="32">
        <v>42321</v>
      </c>
      <c r="J558"/>
      <c r="K558" s="31"/>
      <c r="L558" s="30"/>
      <c r="M558" s="29">
        <v>198</v>
      </c>
      <c r="N558" s="28">
        <f>IF(OR(TableauCB[[#This Row],[Etat]]="",TableauCB[[#This Row],[Etat]]="c"),IF(TableauCB[[#This Row],[Solde]]="","",N557),N557-TableauCB[[#This Row],[Débit]]+TableauCB[[#This Row],[Crédit]])</f>
        <v>4626.8260000000073</v>
      </c>
      <c r="O558" s="27" t="e">
        <f>IF(TableauCB[[#This Row],[Etat]]="xc",O557-TableauCB[[#This Row],[Débit]]+TableauCB[[#This Row],[Crédit]],O557-TableauCB[[#This Row],[Débit]])</f>
        <v>#VALUE!</v>
      </c>
      <c r="P558" s="27">
        <f>IF(AND(ISBLANK(TableauCB[[#This Row],[Débit]]),ISBLANK(TableauCB[[#This Row],[Crédit]])),"",P557+TableauCB[[#This Row],[Crédit]]-TableauCB[[#This Row],[Débit]])</f>
        <v>3660.8260000000078</v>
      </c>
      <c r="Q558" s="26"/>
      <c r="T558" s="10"/>
      <c r="U558" s="10"/>
      <c r="V558" s="9"/>
      <c r="W558" s="2"/>
      <c r="X558" s="9"/>
      <c r="Y558" s="8"/>
      <c r="Z558" s="7"/>
      <c r="AA558" s="7"/>
      <c r="AB558" s="6"/>
    </row>
    <row r="559" spans="2:28" ht="30" hidden="1" customHeight="1">
      <c r="B559" s="46"/>
      <c r="C559" s="11" t="s">
        <v>33</v>
      </c>
      <c r="D559" s="11" t="s">
        <v>11</v>
      </c>
      <c r="E559" s="11"/>
      <c r="F559" s="34">
        <v>42307</v>
      </c>
      <c r="G559"/>
      <c r="H559"/>
      <c r="I559" s="32">
        <v>42383</v>
      </c>
      <c r="J559"/>
      <c r="K559" s="31"/>
      <c r="L559" s="30"/>
      <c r="M559" s="29">
        <v>151.80000000000001</v>
      </c>
      <c r="N559" s="28">
        <f>IF(OR(TableauCB[[#This Row],[Etat]]="",TableauCB[[#This Row],[Etat]]="c"),IF(TableauCB[[#This Row],[Solde]]="","",N558),N558-TableauCB[[#This Row],[Débit]]+TableauCB[[#This Row],[Crédit]])</f>
        <v>4778.6260000000075</v>
      </c>
      <c r="O559" s="27" t="e">
        <f>IF(TableauCB[[#This Row],[Etat]]="xc",O558-TableauCB[[#This Row],[Débit]]+TableauCB[[#This Row],[Crédit]],O558-TableauCB[[#This Row],[Débit]])</f>
        <v>#VALUE!</v>
      </c>
      <c r="P559" s="27">
        <f>IF(AND(ISBLANK(TableauCB[[#This Row],[Débit]]),ISBLANK(TableauCB[[#This Row],[Crédit]])),"",P558+TableauCB[[#This Row],[Crédit]]-TableauCB[[#This Row],[Débit]])</f>
        <v>3812.6260000000079</v>
      </c>
      <c r="Q559" s="26"/>
      <c r="T559" s="10"/>
      <c r="U559" s="10"/>
      <c r="V559" s="9"/>
      <c r="W559" s="2"/>
      <c r="X559" s="9"/>
      <c r="Y559" s="8"/>
      <c r="Z559" s="7"/>
      <c r="AA559" s="7"/>
      <c r="AB559" s="6"/>
    </row>
    <row r="560" spans="2:28" ht="30" hidden="1" customHeight="1">
      <c r="B560" s="46"/>
      <c r="C560" s="11" t="s">
        <v>33</v>
      </c>
      <c r="D560" s="11" t="s">
        <v>11</v>
      </c>
      <c r="E560" s="11"/>
      <c r="F560" s="34">
        <v>42307</v>
      </c>
      <c r="G560"/>
      <c r="H560"/>
      <c r="I560" s="32">
        <v>42329</v>
      </c>
      <c r="J560"/>
      <c r="K560" s="31"/>
      <c r="L560" s="30"/>
      <c r="M560" s="29">
        <v>522</v>
      </c>
      <c r="N560" s="28">
        <f>IF(OR(TableauCB[[#This Row],[Etat]]="",TableauCB[[#This Row],[Etat]]="c"),IF(TableauCB[[#This Row],[Solde]]="","",N559),N559-TableauCB[[#This Row],[Débit]]+TableauCB[[#This Row],[Crédit]])</f>
        <v>5300.6260000000075</v>
      </c>
      <c r="O560" s="27" t="e">
        <f>IF(TableauCB[[#This Row],[Etat]]="xc",O559-TableauCB[[#This Row],[Débit]]+TableauCB[[#This Row],[Crédit]],O559-TableauCB[[#This Row],[Débit]])</f>
        <v>#VALUE!</v>
      </c>
      <c r="P560" s="27">
        <f>IF(AND(ISBLANK(TableauCB[[#This Row],[Débit]]),ISBLANK(TableauCB[[#This Row],[Crédit]])),"",P559+TableauCB[[#This Row],[Crédit]]-TableauCB[[#This Row],[Débit]])</f>
        <v>4334.6260000000075</v>
      </c>
      <c r="Q560" s="26"/>
      <c r="T560" s="10"/>
      <c r="U560" s="10"/>
      <c r="V560" s="9"/>
      <c r="W560" s="2"/>
      <c r="X560" s="9"/>
      <c r="Y560" s="8"/>
      <c r="Z560" s="7"/>
      <c r="AA560" s="7"/>
      <c r="AB560" s="6"/>
    </row>
    <row r="561" spans="2:28" ht="30" hidden="1" customHeight="1">
      <c r="B561" s="46"/>
      <c r="C561" s="11" t="s">
        <v>33</v>
      </c>
      <c r="D561" s="11" t="s">
        <v>11</v>
      </c>
      <c r="E561" s="11"/>
      <c r="F561" s="34">
        <v>42307</v>
      </c>
      <c r="G561"/>
      <c r="H561"/>
      <c r="I561" s="32">
        <v>42341</v>
      </c>
      <c r="J561"/>
      <c r="K561" s="31"/>
      <c r="L561" s="30"/>
      <c r="M561" s="29">
        <v>192</v>
      </c>
      <c r="N561" s="28">
        <f>IF(OR(TableauCB[[#This Row],[Etat]]="",TableauCB[[#This Row],[Etat]]="c"),IF(TableauCB[[#This Row],[Solde]]="","",N560),N560-TableauCB[[#This Row],[Débit]]+TableauCB[[#This Row],[Crédit]])</f>
        <v>5492.6260000000075</v>
      </c>
      <c r="O561" s="27" t="e">
        <f>IF(TableauCB[[#This Row],[Etat]]="xc",O560-TableauCB[[#This Row],[Débit]]+TableauCB[[#This Row],[Crédit]],O560-TableauCB[[#This Row],[Débit]])</f>
        <v>#VALUE!</v>
      </c>
      <c r="P561" s="27">
        <f>IF(AND(ISBLANK(TableauCB[[#This Row],[Débit]]),ISBLANK(TableauCB[[#This Row],[Crédit]])),"",P560+TableauCB[[#This Row],[Crédit]]-TableauCB[[#This Row],[Débit]])</f>
        <v>4526.6260000000075</v>
      </c>
      <c r="Q561" s="26"/>
      <c r="T561" s="10"/>
      <c r="U561" s="10"/>
      <c r="V561" s="9"/>
      <c r="W561" s="2"/>
      <c r="X561" s="9"/>
      <c r="Y561" s="8"/>
      <c r="Z561" s="7"/>
      <c r="AA561" s="7"/>
      <c r="AB561" s="6"/>
    </row>
    <row r="562" spans="2:28" ht="30" hidden="1" customHeight="1">
      <c r="B562" s="46"/>
      <c r="C562" s="11" t="s">
        <v>33</v>
      </c>
      <c r="D562" s="11" t="s">
        <v>11</v>
      </c>
      <c r="E562" s="11"/>
      <c r="F562" s="34">
        <v>42307</v>
      </c>
      <c r="G562"/>
      <c r="H562"/>
      <c r="I562" s="32">
        <v>42339</v>
      </c>
      <c r="J562"/>
      <c r="K562" s="31"/>
      <c r="L562" s="30"/>
      <c r="M562" s="29">
        <v>624</v>
      </c>
      <c r="N562" s="28">
        <f>IF(OR(TableauCB[[#This Row],[Etat]]="",TableauCB[[#This Row],[Etat]]="c"),IF(TableauCB[[#This Row],[Solde]]="","",N561),N561-TableauCB[[#This Row],[Débit]]+TableauCB[[#This Row],[Crédit]])</f>
        <v>6116.6260000000075</v>
      </c>
      <c r="O562" s="27" t="e">
        <f>IF(TableauCB[[#This Row],[Etat]]="xc",O561-TableauCB[[#This Row],[Débit]]+TableauCB[[#This Row],[Crédit]],O561-TableauCB[[#This Row],[Débit]])</f>
        <v>#VALUE!</v>
      </c>
      <c r="P562" s="27">
        <f>IF(AND(ISBLANK(TableauCB[[#This Row],[Débit]]),ISBLANK(TableauCB[[#This Row],[Crédit]])),"",P561+TableauCB[[#This Row],[Crédit]]-TableauCB[[#This Row],[Débit]])</f>
        <v>5150.6260000000075</v>
      </c>
      <c r="Q562" s="26"/>
      <c r="T562" s="10"/>
      <c r="U562" s="10"/>
      <c r="V562" s="9"/>
      <c r="W562" s="2"/>
      <c r="X562" s="9"/>
      <c r="Y562" s="8"/>
      <c r="Z562" s="7"/>
      <c r="AA562" s="7"/>
      <c r="AB562" s="6"/>
    </row>
    <row r="563" spans="2:28" ht="30" hidden="1" customHeight="1">
      <c r="B563" s="46"/>
      <c r="C563" s="11" t="s">
        <v>33</v>
      </c>
      <c r="D563" s="11" t="s">
        <v>11</v>
      </c>
      <c r="E563" s="11"/>
      <c r="F563" s="34">
        <v>42307</v>
      </c>
      <c r="G563"/>
      <c r="H563"/>
      <c r="I563" s="32">
        <v>42318</v>
      </c>
      <c r="J563"/>
      <c r="K563" s="31"/>
      <c r="L563" s="30"/>
      <c r="M563" s="29">
        <v>115.2</v>
      </c>
      <c r="N563" s="28">
        <f>IF(OR(TableauCB[[#This Row],[Etat]]="",TableauCB[[#This Row],[Etat]]="c"),IF(TableauCB[[#This Row],[Solde]]="","",N562),N562-TableauCB[[#This Row],[Débit]]+TableauCB[[#This Row],[Crédit]])</f>
        <v>6231.8260000000073</v>
      </c>
      <c r="O563" s="27" t="e">
        <f>IF(TableauCB[[#This Row],[Etat]]="xc",O562-TableauCB[[#This Row],[Débit]]+TableauCB[[#This Row],[Crédit]],O562-TableauCB[[#This Row],[Débit]])</f>
        <v>#VALUE!</v>
      </c>
      <c r="P563" s="27">
        <f>IF(AND(ISBLANK(TableauCB[[#This Row],[Débit]]),ISBLANK(TableauCB[[#This Row],[Crédit]])),"",P562+TableauCB[[#This Row],[Crédit]]-TableauCB[[#This Row],[Débit]])</f>
        <v>5265.8260000000073</v>
      </c>
      <c r="Q563" s="26"/>
    </row>
    <row r="564" spans="2:28" ht="30" hidden="1" customHeight="1">
      <c r="B564" s="46"/>
      <c r="C564" s="11" t="s">
        <v>33</v>
      </c>
      <c r="D564" s="11" t="s">
        <v>11</v>
      </c>
      <c r="E564" s="11"/>
      <c r="F564" s="34">
        <v>42307</v>
      </c>
      <c r="G564"/>
      <c r="H564"/>
      <c r="I564" s="32">
        <v>42318</v>
      </c>
      <c r="J564"/>
      <c r="K564" s="31"/>
      <c r="L564" s="30"/>
      <c r="M564" s="29">
        <v>92.4</v>
      </c>
      <c r="N564" s="28">
        <f>IF(OR(TableauCB[[#This Row],[Etat]]="",TableauCB[[#This Row],[Etat]]="c"),IF(TableauCB[[#This Row],[Solde]]="","",N563),N563-TableauCB[[#This Row],[Débit]]+TableauCB[[#This Row],[Crédit]])</f>
        <v>6324.2260000000069</v>
      </c>
      <c r="O564" s="27" t="e">
        <f>IF(TableauCB[[#This Row],[Etat]]="xc",O563-TableauCB[[#This Row],[Débit]]+TableauCB[[#This Row],[Crédit]],O563-TableauCB[[#This Row],[Débit]])</f>
        <v>#VALUE!</v>
      </c>
      <c r="P564" s="27">
        <f>IF(AND(ISBLANK(TableauCB[[#This Row],[Débit]]),ISBLANK(TableauCB[[#This Row],[Crédit]])),"",P563+TableauCB[[#This Row],[Crédit]]-TableauCB[[#This Row],[Débit]])</f>
        <v>5358.2260000000069</v>
      </c>
      <c r="Q564" s="26"/>
    </row>
    <row r="565" spans="2:28" ht="30" hidden="1" customHeight="1">
      <c r="B565" s="46"/>
      <c r="C565" s="11" t="s">
        <v>33</v>
      </c>
      <c r="D565" s="11" t="s">
        <v>11</v>
      </c>
      <c r="E565" s="11"/>
      <c r="F565" s="34">
        <v>42307</v>
      </c>
      <c r="G565"/>
      <c r="H565"/>
      <c r="I565" s="32">
        <v>42350</v>
      </c>
      <c r="J565"/>
      <c r="K565" s="31"/>
      <c r="L565" s="30"/>
      <c r="M565" s="29">
        <v>120</v>
      </c>
      <c r="N565" s="28">
        <f>IF(OR(TableauCB[[#This Row],[Etat]]="",TableauCB[[#This Row],[Etat]]="c"),IF(TableauCB[[#This Row],[Solde]]="","",N564),N564-TableauCB[[#This Row],[Débit]]+TableauCB[[#This Row],[Crédit]])</f>
        <v>6444.2260000000069</v>
      </c>
      <c r="O565" s="27" t="e">
        <f>IF(TableauCB[[#This Row],[Etat]]="xc",O564-TableauCB[[#This Row],[Débit]]+TableauCB[[#This Row],[Crédit]],O564-TableauCB[[#This Row],[Débit]])</f>
        <v>#VALUE!</v>
      </c>
      <c r="P565" s="27">
        <f>IF(AND(ISBLANK(TableauCB[[#This Row],[Débit]]),ISBLANK(TableauCB[[#This Row],[Crédit]])),"",P564+TableauCB[[#This Row],[Crédit]]-TableauCB[[#This Row],[Débit]])</f>
        <v>5478.2260000000069</v>
      </c>
      <c r="Q565" s="26"/>
    </row>
    <row r="566" spans="2:28" ht="30" hidden="1" customHeight="1">
      <c r="B566" s="46"/>
      <c r="C566" s="11" t="s">
        <v>33</v>
      </c>
      <c r="D566" s="11" t="s">
        <v>9</v>
      </c>
      <c r="E566" s="11"/>
      <c r="F566" s="34">
        <v>42307</v>
      </c>
      <c r="G566"/>
      <c r="H566"/>
      <c r="I566" s="32"/>
      <c r="J566"/>
      <c r="K566" s="31"/>
      <c r="L566" s="30">
        <v>240</v>
      </c>
      <c r="M566" s="29"/>
      <c r="N566" s="28">
        <f>IF(OR(TableauCB[[#This Row],[Etat]]="",TableauCB[[#This Row],[Etat]]="c"),IF(TableauCB[[#This Row],[Solde]]="","",N565),N565-TableauCB[[#This Row],[Débit]]+TableauCB[[#This Row],[Crédit]])</f>
        <v>6204.2260000000069</v>
      </c>
      <c r="O566" s="27" t="e">
        <f>IF(TableauCB[[#This Row],[Etat]]="xc",O565-TableauCB[[#This Row],[Débit]]+TableauCB[[#This Row],[Crédit]],O565-TableauCB[[#This Row],[Débit]])</f>
        <v>#VALUE!</v>
      </c>
      <c r="P566" s="27">
        <f>IF(AND(ISBLANK(TableauCB[[#This Row],[Débit]]),ISBLANK(TableauCB[[#This Row],[Crédit]])),"",P565+TableauCB[[#This Row],[Crédit]]-TableauCB[[#This Row],[Débit]])</f>
        <v>5238.2260000000069</v>
      </c>
      <c r="Q566" s="26"/>
      <c r="T566" s="10"/>
      <c r="U566" s="10"/>
      <c r="V566" s="9"/>
      <c r="W566" s="2"/>
      <c r="X566" s="9"/>
      <c r="Y566" s="8"/>
      <c r="Z566" s="7"/>
      <c r="AA566" s="7"/>
      <c r="AB566" s="6"/>
    </row>
    <row r="567" spans="2:28" ht="30" hidden="1" customHeight="1" thickBot="1">
      <c r="B567" s="46"/>
      <c r="C567" s="11" t="s">
        <v>33</v>
      </c>
      <c r="D567" s="11" t="s">
        <v>5</v>
      </c>
      <c r="E567" s="11"/>
      <c r="F567" s="34">
        <v>42307</v>
      </c>
      <c r="G567"/>
      <c r="H567"/>
      <c r="I567" s="32"/>
      <c r="J567"/>
      <c r="K567" s="31"/>
      <c r="L567" s="30">
        <v>163.61000000000001</v>
      </c>
      <c r="M567" s="29"/>
      <c r="N567" s="28">
        <f>IF(OR(TableauCB[[#This Row],[Etat]]="",TableauCB[[#This Row],[Etat]]="c"),IF(TableauCB[[#This Row],[Solde]]="","",N566),N566-TableauCB[[#This Row],[Débit]]+TableauCB[[#This Row],[Crédit]])</f>
        <v>6040.6160000000073</v>
      </c>
      <c r="O567" s="27" t="e">
        <f>IF(TableauCB[[#This Row],[Etat]]="xc",O566-TableauCB[[#This Row],[Débit]]+TableauCB[[#This Row],[Crédit]],O566-TableauCB[[#This Row],[Débit]])</f>
        <v>#VALUE!</v>
      </c>
      <c r="P567" s="27">
        <f>IF(AND(ISBLANK(TableauCB[[#This Row],[Débit]]),ISBLANK(TableauCB[[#This Row],[Crédit]])),"",P566+TableauCB[[#This Row],[Crédit]]-TableauCB[[#This Row],[Débit]])</f>
        <v>5074.6160000000073</v>
      </c>
      <c r="Q567" s="26"/>
      <c r="R567" s="47" t="s">
        <v>54</v>
      </c>
      <c r="S567" s="47" t="s">
        <v>53</v>
      </c>
      <c r="T567" s="10"/>
      <c r="U567" s="10"/>
      <c r="V567" s="9"/>
      <c r="W567" s="2"/>
      <c r="X567" s="9"/>
      <c r="Y567" s="8"/>
      <c r="Z567" s="7"/>
      <c r="AA567" s="7"/>
      <c r="AB567" s="6"/>
    </row>
    <row r="568" spans="2:28" ht="30" hidden="1" customHeight="1">
      <c r="B568" s="46"/>
      <c r="C568" s="11" t="s">
        <v>33</v>
      </c>
      <c r="D568" s="11" t="s">
        <v>5</v>
      </c>
      <c r="E568" s="11"/>
      <c r="F568" s="34">
        <v>42307</v>
      </c>
      <c r="G568"/>
      <c r="H568"/>
      <c r="I568" s="32"/>
      <c r="J568"/>
      <c r="K568" s="31"/>
      <c r="L568" s="30">
        <v>11.8</v>
      </c>
      <c r="M568" s="29"/>
      <c r="N568" s="28">
        <f>IF(OR(TableauCB[[#This Row],[Etat]]="",TableauCB[[#This Row],[Etat]]="c"),IF(TableauCB[[#This Row],[Solde]]="","",N567),N567-TableauCB[[#This Row],[Débit]]+TableauCB[[#This Row],[Crédit]])</f>
        <v>6028.8160000000071</v>
      </c>
      <c r="O568" s="27" t="e">
        <f>IF(TableauCB[[#This Row],[Etat]]="xc",O567-TableauCB[[#This Row],[Débit]]+TableauCB[[#This Row],[Crédit]],O567-TableauCB[[#This Row],[Débit]])</f>
        <v>#VALUE!</v>
      </c>
      <c r="P568" s="27">
        <f>IF(AND(ISBLANK(TableauCB[[#This Row],[Débit]]),ISBLANK(TableauCB[[#This Row],[Crédit]])),"",P567+TableauCB[[#This Row],[Crédit]]-TableauCB[[#This Row],[Débit]])</f>
        <v>5062.8160000000071</v>
      </c>
      <c r="Q568" s="26"/>
      <c r="R568" s="25">
        <f>SUM(M540:M568)-SUM(L540:L568)</f>
        <v>-1068.0900000000006</v>
      </c>
      <c r="S568" s="25">
        <f>R568/1.2</f>
        <v>-890.0750000000005</v>
      </c>
      <c r="T568" s="10"/>
      <c r="U568" s="10"/>
      <c r="V568" s="9"/>
      <c r="W568" s="2"/>
      <c r="X568" s="9"/>
      <c r="Y568" s="8"/>
      <c r="Z568" s="7"/>
      <c r="AA568" s="7"/>
      <c r="AB568" s="6"/>
    </row>
    <row r="569" spans="2:28" ht="30" hidden="1" customHeight="1">
      <c r="B569" s="46" t="s">
        <v>57</v>
      </c>
      <c r="C569" s="11" t="s">
        <v>33</v>
      </c>
      <c r="D569" s="11" t="s">
        <v>21</v>
      </c>
      <c r="E569" s="11"/>
      <c r="F569" s="34">
        <v>42317</v>
      </c>
      <c r="G569"/>
      <c r="H569"/>
      <c r="I569" s="32"/>
      <c r="J569"/>
      <c r="K569" s="31"/>
      <c r="L569" s="30">
        <v>22.2</v>
      </c>
      <c r="M569" s="29"/>
      <c r="N569" s="28">
        <f>IF(OR(TableauCB[[#This Row],[Etat]]="",TableauCB[[#This Row],[Etat]]="c"),IF(TableauCB[[#This Row],[Solde]]="","",N568),N568-TableauCB[[#This Row],[Débit]]+TableauCB[[#This Row],[Crédit]])</f>
        <v>6006.6160000000073</v>
      </c>
      <c r="O569" s="27" t="e">
        <f>IF(TableauCB[[#This Row],[Etat]]="xc",O568-TableauCB[[#This Row],[Débit]]+TableauCB[[#This Row],[Crédit]],O568-TableauCB[[#This Row],[Débit]])</f>
        <v>#VALUE!</v>
      </c>
      <c r="P569" s="27">
        <f>IF(AND(ISBLANK(TableauCB[[#This Row],[Débit]]),ISBLANK(TableauCB[[#This Row],[Crédit]])),"",P568+TableauCB[[#This Row],[Crédit]]-TableauCB[[#This Row],[Débit]])</f>
        <v>5040.6160000000073</v>
      </c>
      <c r="Q569" s="26"/>
      <c r="T569" s="10"/>
      <c r="U569" s="10"/>
      <c r="V569" s="9"/>
      <c r="W569" s="2"/>
      <c r="X569" s="9"/>
      <c r="Y569" s="8"/>
      <c r="Z569" s="7"/>
      <c r="AA569" s="7"/>
      <c r="AB569" s="6"/>
    </row>
    <row r="570" spans="2:28" ht="30" hidden="1" customHeight="1">
      <c r="B570" s="46"/>
      <c r="C570" s="11" t="s">
        <v>33</v>
      </c>
      <c r="D570" s="11" t="s">
        <v>45</v>
      </c>
      <c r="E570" s="11"/>
      <c r="F570" s="34">
        <v>42317</v>
      </c>
      <c r="G570"/>
      <c r="H570"/>
      <c r="I570" s="32">
        <v>42362</v>
      </c>
      <c r="J570"/>
      <c r="K570" s="31"/>
      <c r="L570" s="30"/>
      <c r="M570" s="29">
        <v>800</v>
      </c>
      <c r="N570" s="28">
        <f>IF(OR(TableauCB[[#This Row],[Etat]]="",TableauCB[[#This Row],[Etat]]="c"),IF(TableauCB[[#This Row],[Solde]]="","",N569),N569-TableauCB[[#This Row],[Débit]]+TableauCB[[#This Row],[Crédit]])</f>
        <v>6806.6160000000073</v>
      </c>
      <c r="O570" s="27" t="e">
        <f>IF(TableauCB[[#This Row],[Etat]]="xc",O569-TableauCB[[#This Row],[Débit]]+TableauCB[[#This Row],[Crédit]],O569-TableauCB[[#This Row],[Débit]])</f>
        <v>#VALUE!</v>
      </c>
      <c r="P570" s="27">
        <f>IF(AND(ISBLANK(TableauCB[[#This Row],[Débit]]),ISBLANK(TableauCB[[#This Row],[Crédit]])),"",P569+TableauCB[[#This Row],[Crédit]]-TableauCB[[#This Row],[Débit]])</f>
        <v>5840.6160000000073</v>
      </c>
      <c r="Q570" s="26"/>
      <c r="T570" s="24"/>
      <c r="U570" s="10"/>
      <c r="V570" s="9"/>
      <c r="W570" s="2"/>
      <c r="X570" s="9"/>
      <c r="Y570" s="8"/>
      <c r="Z570" s="7"/>
      <c r="AA570" s="7"/>
      <c r="AB570" s="6"/>
    </row>
    <row r="571" spans="2:28" ht="30" hidden="1" customHeight="1">
      <c r="B571" s="46"/>
      <c r="C571" s="11" t="s">
        <v>33</v>
      </c>
      <c r="D571" s="11" t="s">
        <v>30</v>
      </c>
      <c r="E571" s="11"/>
      <c r="F571" s="34">
        <v>42320</v>
      </c>
      <c r="G571"/>
      <c r="H571"/>
      <c r="I571" s="32"/>
      <c r="J571"/>
      <c r="K571" s="31"/>
      <c r="L571" s="30">
        <v>4.72</v>
      </c>
      <c r="M571" s="29"/>
      <c r="N571" s="28">
        <f>IF(OR(TableauCB[[#This Row],[Etat]]="",TableauCB[[#This Row],[Etat]]="c"),IF(TableauCB[[#This Row],[Solde]]="","",N570),N570-TableauCB[[#This Row],[Débit]]+TableauCB[[#This Row],[Crédit]])</f>
        <v>6801.896000000007</v>
      </c>
      <c r="O571" s="27" t="e">
        <f>IF(TableauCB[[#This Row],[Etat]]="xc",O570-TableauCB[[#This Row],[Débit]]+TableauCB[[#This Row],[Crédit]],O570-TableauCB[[#This Row],[Débit]])</f>
        <v>#VALUE!</v>
      </c>
      <c r="P571" s="27">
        <f>IF(AND(ISBLANK(TableauCB[[#This Row],[Débit]]),ISBLANK(TableauCB[[#This Row],[Crédit]])),"",P570+TableauCB[[#This Row],[Crédit]]-TableauCB[[#This Row],[Débit]])</f>
        <v>5835.896000000007</v>
      </c>
      <c r="Q571" s="26"/>
      <c r="T571" s="10"/>
      <c r="U571" s="10"/>
      <c r="V571" s="9"/>
      <c r="W571" s="2"/>
      <c r="X571" s="9"/>
      <c r="Y571" s="8"/>
      <c r="Z571" s="7"/>
      <c r="AA571" s="7"/>
      <c r="AB571" s="6"/>
    </row>
    <row r="572" spans="2:28" ht="30" hidden="1" customHeight="1">
      <c r="B572" s="46"/>
      <c r="C572" s="11" t="s">
        <v>33</v>
      </c>
      <c r="D572" s="11" t="s">
        <v>41</v>
      </c>
      <c r="E572" s="11"/>
      <c r="F572" s="34">
        <v>42325</v>
      </c>
      <c r="G572"/>
      <c r="H572"/>
      <c r="I572" s="32"/>
      <c r="J572"/>
      <c r="K572" s="31"/>
      <c r="L572" s="30">
        <v>74.8</v>
      </c>
      <c r="M572" s="29"/>
      <c r="N572" s="28">
        <f>IF(OR(TableauCB[[#This Row],[Etat]]="",TableauCB[[#This Row],[Etat]]="c"),IF(TableauCB[[#This Row],[Solde]]="","",N571),N571-TableauCB[[#This Row],[Débit]]+TableauCB[[#This Row],[Crédit]])</f>
        <v>6727.0960000000068</v>
      </c>
      <c r="O572" s="27" t="e">
        <f>IF(TableauCB[[#This Row],[Etat]]="xc",O571-TableauCB[[#This Row],[Débit]]+TableauCB[[#This Row],[Crédit]],O571-TableauCB[[#This Row],[Débit]])</f>
        <v>#VALUE!</v>
      </c>
      <c r="P572" s="27">
        <f>IF(AND(ISBLANK(TableauCB[[#This Row],[Débit]]),ISBLANK(TableauCB[[#This Row],[Crédit]])),"",P571+TableauCB[[#This Row],[Crédit]]-TableauCB[[#This Row],[Débit]])</f>
        <v>5761.0960000000068</v>
      </c>
      <c r="Q572" s="26"/>
      <c r="T572" s="10"/>
      <c r="U572" s="10"/>
      <c r="V572" s="9"/>
      <c r="W572" s="2"/>
      <c r="X572" s="9"/>
      <c r="Y572" s="8"/>
      <c r="Z572" s="7"/>
      <c r="AA572" s="7"/>
      <c r="AB572" s="6"/>
    </row>
    <row r="573" spans="2:28" ht="30" hidden="1" customHeight="1">
      <c r="B573" s="46"/>
      <c r="C573" s="11" t="s">
        <v>33</v>
      </c>
      <c r="D573" s="11" t="s">
        <v>30</v>
      </c>
      <c r="E573" s="11"/>
      <c r="F573" s="34">
        <v>42327</v>
      </c>
      <c r="G573"/>
      <c r="H573"/>
      <c r="I573" s="32"/>
      <c r="J573"/>
      <c r="K573" s="31"/>
      <c r="L573" s="30">
        <v>4.72</v>
      </c>
      <c r="M573" s="29"/>
      <c r="N573" s="28">
        <f>IF(OR(TableauCB[[#This Row],[Etat]]="",TableauCB[[#This Row],[Etat]]="c"),IF(TableauCB[[#This Row],[Solde]]="","",N572),N572-TableauCB[[#This Row],[Débit]]+TableauCB[[#This Row],[Crédit]])</f>
        <v>6722.3760000000066</v>
      </c>
      <c r="O573" s="27" t="e">
        <f>IF(TableauCB[[#This Row],[Etat]]="xc",O572-TableauCB[[#This Row],[Débit]]+TableauCB[[#This Row],[Crédit]],O572-TableauCB[[#This Row],[Débit]])</f>
        <v>#VALUE!</v>
      </c>
      <c r="P573" s="27">
        <f>IF(AND(ISBLANK(TableauCB[[#This Row],[Débit]]),ISBLANK(TableauCB[[#This Row],[Crédit]])),"",P572+TableauCB[[#This Row],[Crédit]]-TableauCB[[#This Row],[Débit]])</f>
        <v>5756.3760000000066</v>
      </c>
      <c r="Q573" s="26"/>
      <c r="T573" s="10"/>
      <c r="U573" s="10"/>
      <c r="V573" s="9"/>
      <c r="W573" s="2"/>
      <c r="X573" s="9"/>
      <c r="Y573" s="8"/>
      <c r="Z573" s="7"/>
      <c r="AA573" s="7"/>
      <c r="AB573" s="6"/>
    </row>
    <row r="574" spans="2:28" ht="30" hidden="1" customHeight="1">
      <c r="B574" s="46"/>
      <c r="C574" s="11" t="s">
        <v>33</v>
      </c>
      <c r="D574" s="11" t="s">
        <v>17</v>
      </c>
      <c r="E574" s="11"/>
      <c r="F574" s="34">
        <v>42328</v>
      </c>
      <c r="G574"/>
      <c r="H574"/>
      <c r="I574" s="32"/>
      <c r="J574"/>
      <c r="K574" s="31"/>
      <c r="L574" s="30">
        <v>3.59</v>
      </c>
      <c r="M574" s="29"/>
      <c r="N574" s="28">
        <f>IF(OR(TableauCB[[#This Row],[Etat]]="",TableauCB[[#This Row],[Etat]]="c"),IF(TableauCB[[#This Row],[Solde]]="","",N573),N573-TableauCB[[#This Row],[Débit]]+TableauCB[[#This Row],[Crédit]])</f>
        <v>6718.7860000000064</v>
      </c>
      <c r="O574" s="27" t="e">
        <f>IF(TableauCB[[#This Row],[Etat]]="xc",O573-TableauCB[[#This Row],[Débit]]+TableauCB[[#This Row],[Crédit]],O573-TableauCB[[#This Row],[Débit]])</f>
        <v>#VALUE!</v>
      </c>
      <c r="P574" s="27">
        <f>IF(AND(ISBLANK(TableauCB[[#This Row],[Débit]]),ISBLANK(TableauCB[[#This Row],[Crédit]])),"",P573+TableauCB[[#This Row],[Crédit]]-TableauCB[[#This Row],[Débit]])</f>
        <v>5752.7860000000064</v>
      </c>
      <c r="Q574" s="26"/>
      <c r="T574" s="10"/>
      <c r="U574" s="10"/>
      <c r="V574" s="51"/>
      <c r="W574" s="2"/>
      <c r="X574" s="9"/>
      <c r="Y574" s="8"/>
      <c r="Z574" s="7"/>
      <c r="AA574" s="7"/>
      <c r="AB574" s="6"/>
    </row>
    <row r="575" spans="2:28" ht="30" hidden="1" customHeight="1">
      <c r="B575" s="46"/>
      <c r="C575" s="11" t="s">
        <v>33</v>
      </c>
      <c r="D575" s="11" t="s">
        <v>17</v>
      </c>
      <c r="E575" s="11"/>
      <c r="F575" s="34">
        <v>42329</v>
      </c>
      <c r="G575"/>
      <c r="H575"/>
      <c r="I575" s="32"/>
      <c r="J575"/>
      <c r="K575" s="31"/>
      <c r="L575" s="30">
        <v>41.4</v>
      </c>
      <c r="M575" s="29"/>
      <c r="N575" s="28">
        <f>IF(OR(TableauCB[[#This Row],[Etat]]="",TableauCB[[#This Row],[Etat]]="c"),IF(TableauCB[[#This Row],[Solde]]="","",N574),N574-TableauCB[[#This Row],[Débit]]+TableauCB[[#This Row],[Crédit]])</f>
        <v>6677.3860000000068</v>
      </c>
      <c r="O575" s="27" t="e">
        <f>IF(TableauCB[[#This Row],[Etat]]="xc",O574-TableauCB[[#This Row],[Débit]]+TableauCB[[#This Row],[Crédit]],O574-TableauCB[[#This Row],[Débit]])</f>
        <v>#VALUE!</v>
      </c>
      <c r="P575" s="27">
        <f>IF(AND(ISBLANK(TableauCB[[#This Row],[Débit]]),ISBLANK(TableauCB[[#This Row],[Crédit]])),"",P574+TableauCB[[#This Row],[Crédit]]-TableauCB[[#This Row],[Débit]])</f>
        <v>5711.3860000000068</v>
      </c>
      <c r="Q575" s="26"/>
      <c r="T575" s="10"/>
      <c r="U575" s="10"/>
      <c r="V575" s="9"/>
      <c r="W575" s="2"/>
      <c r="X575" s="9"/>
      <c r="Y575" s="8"/>
      <c r="Z575" s="7"/>
      <c r="AA575" s="7"/>
      <c r="AB575" s="6"/>
    </row>
    <row r="576" spans="2:28" ht="30" hidden="1" customHeight="1">
      <c r="B576" s="46"/>
      <c r="C576" s="11" t="s">
        <v>33</v>
      </c>
      <c r="D576" s="11" t="s">
        <v>11</v>
      </c>
      <c r="E576" s="11"/>
      <c r="F576" s="34">
        <v>42338</v>
      </c>
      <c r="G576"/>
      <c r="H576"/>
      <c r="I576" s="32">
        <v>42374</v>
      </c>
      <c r="J576"/>
      <c r="K576" s="31"/>
      <c r="L576" s="30"/>
      <c r="M576" s="29">
        <v>108</v>
      </c>
      <c r="N576" s="28">
        <f>IF(OR(TableauCB[[#This Row],[Etat]]="",TableauCB[[#This Row],[Etat]]="c"),IF(TableauCB[[#This Row],[Solde]]="","",N575),N575-TableauCB[[#This Row],[Débit]]+TableauCB[[#This Row],[Crédit]])</f>
        <v>6785.3860000000068</v>
      </c>
      <c r="O576" s="27" t="e">
        <f>IF(TableauCB[[#This Row],[Etat]]="xc",O575-TableauCB[[#This Row],[Débit]]+TableauCB[[#This Row],[Crédit]],O575-TableauCB[[#This Row],[Débit]])</f>
        <v>#VALUE!</v>
      </c>
      <c r="P576" s="27">
        <f>IF(AND(ISBLANK(TableauCB[[#This Row],[Débit]]),ISBLANK(TableauCB[[#This Row],[Crédit]])),"",P575+TableauCB[[#This Row],[Crédit]]-TableauCB[[#This Row],[Débit]])</f>
        <v>5819.3860000000068</v>
      </c>
      <c r="Q576" s="26"/>
      <c r="T576" s="10"/>
      <c r="U576" s="10"/>
      <c r="V576" s="9"/>
      <c r="W576" s="2"/>
      <c r="X576" s="9"/>
      <c r="Y576" s="8"/>
      <c r="Z576" s="7"/>
      <c r="AA576" s="7"/>
      <c r="AB576" s="6"/>
    </row>
    <row r="577" spans="2:28" ht="30" hidden="1" customHeight="1">
      <c r="B577" s="46"/>
      <c r="C577" s="11" t="s">
        <v>33</v>
      </c>
      <c r="D577" s="11" t="s">
        <v>11</v>
      </c>
      <c r="E577" s="11"/>
      <c r="F577" s="34">
        <v>42338</v>
      </c>
      <c r="G577"/>
      <c r="H577"/>
      <c r="I577" s="32">
        <v>42381</v>
      </c>
      <c r="J577"/>
      <c r="K577" s="31"/>
      <c r="L577" s="30"/>
      <c r="M577" s="29">
        <v>152.46</v>
      </c>
      <c r="N577" s="28">
        <f>IF(OR(TableauCB[[#This Row],[Etat]]="",TableauCB[[#This Row],[Etat]]="c"),IF(TableauCB[[#This Row],[Solde]]="","",N576),N576-TableauCB[[#This Row],[Débit]]+TableauCB[[#This Row],[Crédit]])</f>
        <v>6937.8460000000068</v>
      </c>
      <c r="O577" s="27" t="e">
        <f>IF(TableauCB[[#This Row],[Etat]]="xc",O576-TableauCB[[#This Row],[Débit]]+TableauCB[[#This Row],[Crédit]],O576-TableauCB[[#This Row],[Débit]])</f>
        <v>#VALUE!</v>
      </c>
      <c r="P577" s="27">
        <f>IF(AND(ISBLANK(TableauCB[[#This Row],[Débit]]),ISBLANK(TableauCB[[#This Row],[Crédit]])),"",P576+TableauCB[[#This Row],[Crédit]]-TableauCB[[#This Row],[Débit]])</f>
        <v>5971.8460000000068</v>
      </c>
      <c r="Q577" s="26"/>
      <c r="T577" s="10"/>
      <c r="U577" s="10"/>
      <c r="V577" s="9"/>
      <c r="W577" s="2"/>
      <c r="X577" s="9"/>
      <c r="Y577" s="8"/>
      <c r="Z577" s="7"/>
      <c r="AA577" s="7"/>
      <c r="AB577" s="6"/>
    </row>
    <row r="578" spans="2:28" ht="30" hidden="1" customHeight="1">
      <c r="B578" s="46"/>
      <c r="C578" s="11" t="s">
        <v>33</v>
      </c>
      <c r="D578" s="11" t="s">
        <v>11</v>
      </c>
      <c r="E578" s="11"/>
      <c r="F578" s="34">
        <v>42338</v>
      </c>
      <c r="G578"/>
      <c r="H578"/>
      <c r="I578" s="32">
        <v>42415</v>
      </c>
      <c r="J578"/>
      <c r="K578" s="31"/>
      <c r="L578" s="30"/>
      <c r="M578" s="29">
        <v>151.80000000000001</v>
      </c>
      <c r="N578" s="28">
        <f>IF(OR(TableauCB[[#This Row],[Etat]]="",TableauCB[[#This Row],[Etat]]="c"),IF(TableauCB[[#This Row],[Solde]]="","",N577),N577-TableauCB[[#This Row],[Débit]]+TableauCB[[#This Row],[Crédit]])</f>
        <v>7089.646000000007</v>
      </c>
      <c r="O578" s="27" t="e">
        <f>IF(TableauCB[[#This Row],[Etat]]="xc",O577-TableauCB[[#This Row],[Débit]]+TableauCB[[#This Row],[Crédit]],O577-TableauCB[[#This Row],[Débit]])</f>
        <v>#VALUE!</v>
      </c>
      <c r="P578" s="27">
        <f>IF(AND(ISBLANK(TableauCB[[#This Row],[Débit]]),ISBLANK(TableauCB[[#This Row],[Crédit]])),"",P577+TableauCB[[#This Row],[Crédit]]-TableauCB[[#This Row],[Débit]])</f>
        <v>6123.646000000007</v>
      </c>
      <c r="Q578" s="26"/>
      <c r="T578" s="10"/>
      <c r="U578" s="10"/>
      <c r="V578" s="9"/>
      <c r="W578" s="2"/>
      <c r="X578" s="9"/>
      <c r="Y578" s="8"/>
      <c r="Z578" s="7"/>
      <c r="AA578" s="7"/>
      <c r="AB578" s="6"/>
    </row>
    <row r="579" spans="2:28" ht="30" hidden="1" customHeight="1">
      <c r="B579" s="46"/>
      <c r="C579" s="11" t="s">
        <v>33</v>
      </c>
      <c r="D579" s="11" t="s">
        <v>11</v>
      </c>
      <c r="E579" s="11"/>
      <c r="F579" s="34">
        <v>42338</v>
      </c>
      <c r="G579"/>
      <c r="H579"/>
      <c r="I579" s="32">
        <v>42387</v>
      </c>
      <c r="J579"/>
      <c r="K579" s="31"/>
      <c r="L579" s="30"/>
      <c r="M579" s="29">
        <v>522</v>
      </c>
      <c r="N579" s="28">
        <f>IF(OR(TableauCB[[#This Row],[Etat]]="",TableauCB[[#This Row],[Etat]]="c"),IF(TableauCB[[#This Row],[Solde]]="","",N578),N578-TableauCB[[#This Row],[Débit]]+TableauCB[[#This Row],[Crédit]])</f>
        <v>7611.646000000007</v>
      </c>
      <c r="O579" s="27" t="e">
        <f>IF(TableauCB[[#This Row],[Etat]]="xc",O578-TableauCB[[#This Row],[Débit]]+TableauCB[[#This Row],[Crédit]],O578-TableauCB[[#This Row],[Débit]])</f>
        <v>#VALUE!</v>
      </c>
      <c r="P579" s="27">
        <f>IF(AND(ISBLANK(TableauCB[[#This Row],[Débit]]),ISBLANK(TableauCB[[#This Row],[Crédit]])),"",P578+TableauCB[[#This Row],[Crédit]]-TableauCB[[#This Row],[Débit]])</f>
        <v>6645.646000000007</v>
      </c>
      <c r="Q579" s="26"/>
      <c r="T579" s="10"/>
      <c r="U579" s="10"/>
      <c r="V579" s="9"/>
      <c r="W579" s="2"/>
      <c r="X579" s="9"/>
      <c r="Y579" s="8"/>
      <c r="Z579" s="7"/>
      <c r="AA579" s="7"/>
      <c r="AB579" s="6"/>
    </row>
    <row r="580" spans="2:28" ht="30" hidden="1" customHeight="1">
      <c r="B580" s="46"/>
      <c r="C580" s="11" t="s">
        <v>33</v>
      </c>
      <c r="D580" s="11" t="s">
        <v>11</v>
      </c>
      <c r="E580" s="11"/>
      <c r="F580" s="34">
        <v>42338</v>
      </c>
      <c r="G580"/>
      <c r="H580"/>
      <c r="I580" s="32">
        <v>42342</v>
      </c>
      <c r="J580"/>
      <c r="K580" s="31"/>
      <c r="L580" s="30"/>
      <c r="M580" s="29">
        <v>192</v>
      </c>
      <c r="N580" s="28">
        <f>IF(OR(TableauCB[[#This Row],[Etat]]="",TableauCB[[#This Row],[Etat]]="c"),IF(TableauCB[[#This Row],[Solde]]="","",N579),N579-TableauCB[[#This Row],[Débit]]+TableauCB[[#This Row],[Crédit]])</f>
        <v>7803.646000000007</v>
      </c>
      <c r="O580" s="27" t="e">
        <f>IF(TableauCB[[#This Row],[Etat]]="xc",O579-TableauCB[[#This Row],[Débit]]+TableauCB[[#This Row],[Crédit]],O579-TableauCB[[#This Row],[Débit]])</f>
        <v>#VALUE!</v>
      </c>
      <c r="P580" s="27">
        <f>IF(AND(ISBLANK(TableauCB[[#This Row],[Débit]]),ISBLANK(TableauCB[[#This Row],[Crédit]])),"",P579+TableauCB[[#This Row],[Crédit]]-TableauCB[[#This Row],[Débit]])</f>
        <v>6837.646000000007</v>
      </c>
      <c r="Q580" s="26"/>
      <c r="T580" s="10"/>
      <c r="U580" s="10"/>
      <c r="V580" s="9"/>
      <c r="W580" s="2"/>
      <c r="X580" s="9"/>
      <c r="Y580" s="8"/>
      <c r="Z580" s="7"/>
      <c r="AA580" s="7"/>
      <c r="AB580" s="6"/>
    </row>
    <row r="581" spans="2:28" ht="30" hidden="1" customHeight="1">
      <c r="B581" s="46"/>
      <c r="C581" s="11" t="s">
        <v>33</v>
      </c>
      <c r="D581" s="11" t="s">
        <v>11</v>
      </c>
      <c r="E581" s="11"/>
      <c r="F581" s="34">
        <v>42338</v>
      </c>
      <c r="G581"/>
      <c r="H581"/>
      <c r="I581" s="32">
        <v>42373</v>
      </c>
      <c r="J581"/>
      <c r="K581" s="31"/>
      <c r="L581" s="30"/>
      <c r="M581" s="29">
        <v>624</v>
      </c>
      <c r="N581" s="28">
        <f>IF(OR(TableauCB[[#This Row],[Etat]]="",TableauCB[[#This Row],[Etat]]="c"),IF(TableauCB[[#This Row],[Solde]]="","",N580),N580-TableauCB[[#This Row],[Débit]]+TableauCB[[#This Row],[Crédit]])</f>
        <v>8427.6460000000079</v>
      </c>
      <c r="O581" s="27" t="e">
        <f>IF(TableauCB[[#This Row],[Etat]]="xc",O580-TableauCB[[#This Row],[Débit]]+TableauCB[[#This Row],[Crédit]],O580-TableauCB[[#This Row],[Débit]])</f>
        <v>#VALUE!</v>
      </c>
      <c r="P581" s="27">
        <f>IF(AND(ISBLANK(TableauCB[[#This Row],[Débit]]),ISBLANK(TableauCB[[#This Row],[Crédit]])),"",P580+TableauCB[[#This Row],[Crédit]]-TableauCB[[#This Row],[Débit]])</f>
        <v>7461.646000000007</v>
      </c>
      <c r="Q581" s="26"/>
      <c r="T581" s="10"/>
      <c r="U581" s="10"/>
      <c r="V581" s="9"/>
      <c r="W581" s="2"/>
      <c r="X581" s="9"/>
      <c r="Y581" s="8"/>
      <c r="Z581" s="7"/>
      <c r="AA581" s="7"/>
      <c r="AB581" s="6"/>
    </row>
    <row r="582" spans="2:28" ht="30" hidden="1" customHeight="1">
      <c r="B582" s="46"/>
      <c r="C582" s="11" t="s">
        <v>33</v>
      </c>
      <c r="D582" s="11" t="s">
        <v>11</v>
      </c>
      <c r="E582" s="11"/>
      <c r="F582" s="34">
        <v>42338</v>
      </c>
      <c r="G582"/>
      <c r="H582"/>
      <c r="I582" s="32">
        <v>42350</v>
      </c>
      <c r="J582"/>
      <c r="K582" s="31"/>
      <c r="L582" s="30"/>
      <c r="M582" s="29">
        <v>115.2</v>
      </c>
      <c r="N582" s="28">
        <f>IF(OR(TableauCB[[#This Row],[Etat]]="",TableauCB[[#This Row],[Etat]]="c"),IF(TableauCB[[#This Row],[Solde]]="","",N581),N581-TableauCB[[#This Row],[Débit]]+TableauCB[[#This Row],[Crédit]])</f>
        <v>8542.8460000000086</v>
      </c>
      <c r="O582" s="27" t="e">
        <f>IF(TableauCB[[#This Row],[Etat]]="xc",O581-TableauCB[[#This Row],[Débit]]+TableauCB[[#This Row],[Crédit]],O581-TableauCB[[#This Row],[Débit]])</f>
        <v>#VALUE!</v>
      </c>
      <c r="P582" s="27">
        <f>IF(AND(ISBLANK(TableauCB[[#This Row],[Débit]]),ISBLANK(TableauCB[[#This Row],[Crédit]])),"",P581+TableauCB[[#This Row],[Crédit]]-TableauCB[[#This Row],[Débit]])</f>
        <v>7576.8460000000068</v>
      </c>
      <c r="Q582" s="26"/>
      <c r="T582" s="10"/>
      <c r="U582" s="10"/>
      <c r="V582" s="9"/>
      <c r="W582" s="2"/>
      <c r="X582" s="9"/>
      <c r="Y582" s="8"/>
      <c r="Z582" s="7"/>
      <c r="AA582" s="7"/>
      <c r="AB582" s="6"/>
    </row>
    <row r="583" spans="2:28" ht="30" hidden="1" customHeight="1">
      <c r="B583" s="46"/>
      <c r="C583" s="11" t="s">
        <v>33</v>
      </c>
      <c r="D583" s="11" t="s">
        <v>11</v>
      </c>
      <c r="E583" s="11"/>
      <c r="F583" s="34">
        <v>42338</v>
      </c>
      <c r="G583"/>
      <c r="H583"/>
      <c r="I583" s="32">
        <v>42402</v>
      </c>
      <c r="J583"/>
      <c r="K583" s="31"/>
      <c r="L583" s="30"/>
      <c r="M583" s="29">
        <v>120</v>
      </c>
      <c r="N583" s="28">
        <f>IF(OR(TableauCB[[#This Row],[Etat]]="",TableauCB[[#This Row],[Etat]]="c"),IF(TableauCB[[#This Row],[Solde]]="","",N582),N582-TableauCB[[#This Row],[Débit]]+TableauCB[[#This Row],[Crédit]])</f>
        <v>8662.8460000000086</v>
      </c>
      <c r="O583" s="27" t="e">
        <f>IF(TableauCB[[#This Row],[Etat]]="xc",O582-TableauCB[[#This Row],[Débit]]+TableauCB[[#This Row],[Crédit]],O582-TableauCB[[#This Row],[Débit]])</f>
        <v>#VALUE!</v>
      </c>
      <c r="P583" s="27">
        <f>IF(AND(ISBLANK(TableauCB[[#This Row],[Débit]]),ISBLANK(TableauCB[[#This Row],[Crédit]])),"",P582+TableauCB[[#This Row],[Crédit]]-TableauCB[[#This Row],[Débit]])</f>
        <v>7696.8460000000068</v>
      </c>
      <c r="Q583" s="26"/>
      <c r="T583" s="10"/>
      <c r="U583" s="10"/>
      <c r="V583" s="9"/>
      <c r="W583" s="2"/>
      <c r="X583" s="9"/>
      <c r="Y583" s="8"/>
      <c r="Z583" s="7"/>
      <c r="AA583" s="7"/>
      <c r="AB583" s="6"/>
    </row>
    <row r="584" spans="2:28" ht="30" hidden="1" customHeight="1">
      <c r="B584" s="46"/>
      <c r="C584" s="11" t="s">
        <v>33</v>
      </c>
      <c r="D584" s="11" t="s">
        <v>11</v>
      </c>
      <c r="E584" s="11"/>
      <c r="F584" s="34">
        <v>42338</v>
      </c>
      <c r="G584"/>
      <c r="H584"/>
      <c r="I584" s="32">
        <v>42350</v>
      </c>
      <c r="J584"/>
      <c r="K584" s="31"/>
      <c r="L584" s="30"/>
      <c r="M584" s="29">
        <v>120</v>
      </c>
      <c r="N584" s="28">
        <f>IF(OR(TableauCB[[#This Row],[Etat]]="",TableauCB[[#This Row],[Etat]]="c"),IF(TableauCB[[#This Row],[Solde]]="","",N583),N583-TableauCB[[#This Row],[Débit]]+TableauCB[[#This Row],[Crédit]])</f>
        <v>8782.8460000000086</v>
      </c>
      <c r="O584" s="27" t="e">
        <f>IF(TableauCB[[#This Row],[Etat]]="xc",O583-TableauCB[[#This Row],[Débit]]+TableauCB[[#This Row],[Crédit]],O583-TableauCB[[#This Row],[Débit]])</f>
        <v>#VALUE!</v>
      </c>
      <c r="P584" s="27">
        <f>IF(AND(ISBLANK(TableauCB[[#This Row],[Débit]]),ISBLANK(TableauCB[[#This Row],[Crédit]])),"",P583+TableauCB[[#This Row],[Crédit]]-TableauCB[[#This Row],[Débit]])</f>
        <v>7816.8460000000068</v>
      </c>
      <c r="Q584" s="26"/>
      <c r="T584" s="10"/>
      <c r="U584" s="10"/>
      <c r="V584" s="9"/>
      <c r="W584" s="2"/>
      <c r="X584" s="9"/>
      <c r="Y584" s="8"/>
      <c r="Z584" s="7"/>
      <c r="AA584" s="7"/>
      <c r="AB584" s="6"/>
    </row>
    <row r="585" spans="2:28" ht="30" hidden="1" customHeight="1">
      <c r="B585" s="46"/>
      <c r="C585" s="11" t="s">
        <v>33</v>
      </c>
      <c r="D585" s="11" t="s">
        <v>17</v>
      </c>
      <c r="E585" s="11"/>
      <c r="F585" s="34">
        <v>42338</v>
      </c>
      <c r="G585"/>
      <c r="H585"/>
      <c r="I585" s="32"/>
      <c r="J585"/>
      <c r="K585" s="31"/>
      <c r="L585" s="30">
        <v>13.83</v>
      </c>
      <c r="M585" s="29"/>
      <c r="N585" s="28">
        <f>IF(OR(TableauCB[[#This Row],[Etat]]="",TableauCB[[#This Row],[Etat]]="c"),IF(TableauCB[[#This Row],[Solde]]="","",N584),N584-TableauCB[[#This Row],[Débit]]+TableauCB[[#This Row],[Crédit]])</f>
        <v>8769.0160000000087</v>
      </c>
      <c r="O585" s="27" t="e">
        <f>IF(TableauCB[[#This Row],[Etat]]="xc",O584-TableauCB[[#This Row],[Débit]]+TableauCB[[#This Row],[Crédit]],O584-TableauCB[[#This Row],[Débit]])</f>
        <v>#VALUE!</v>
      </c>
      <c r="P585" s="27">
        <f>IF(AND(ISBLANK(TableauCB[[#This Row],[Débit]]),ISBLANK(TableauCB[[#This Row],[Crédit]])),"",P584+TableauCB[[#This Row],[Crédit]]-TableauCB[[#This Row],[Débit]])</f>
        <v>7803.0160000000069</v>
      </c>
      <c r="Q585" s="26"/>
      <c r="T585" s="10"/>
      <c r="U585" s="10"/>
      <c r="V585" s="9"/>
      <c r="W585" s="2"/>
      <c r="X585" s="9"/>
      <c r="Y585" s="8"/>
      <c r="Z585" s="7"/>
      <c r="AA585" s="7"/>
      <c r="AB585" s="6"/>
    </row>
    <row r="586" spans="2:28" ht="30" hidden="1" customHeight="1">
      <c r="B586" s="46"/>
      <c r="C586" s="11" t="s">
        <v>33</v>
      </c>
      <c r="D586" s="11" t="s">
        <v>9</v>
      </c>
      <c r="E586" s="11"/>
      <c r="F586" s="34">
        <v>42338</v>
      </c>
      <c r="G586"/>
      <c r="H586"/>
      <c r="I586" s="32"/>
      <c r="J586"/>
      <c r="K586" s="31"/>
      <c r="L586" s="30">
        <v>240</v>
      </c>
      <c r="M586" s="29"/>
      <c r="N586" s="28">
        <f>IF(OR(TableauCB[[#This Row],[Etat]]="",TableauCB[[#This Row],[Etat]]="c"),IF(TableauCB[[#This Row],[Solde]]="","",N585),N585-TableauCB[[#This Row],[Débit]]+TableauCB[[#This Row],[Crédit]])</f>
        <v>8529.0160000000087</v>
      </c>
      <c r="O586" s="27" t="e">
        <f>IF(TableauCB[[#This Row],[Etat]]="xc",O585-TableauCB[[#This Row],[Débit]]+TableauCB[[#This Row],[Crédit]],O585-TableauCB[[#This Row],[Débit]])</f>
        <v>#VALUE!</v>
      </c>
      <c r="P586" s="27">
        <f>IF(AND(ISBLANK(TableauCB[[#This Row],[Débit]]),ISBLANK(TableauCB[[#This Row],[Crédit]])),"",P585+TableauCB[[#This Row],[Crédit]]-TableauCB[[#This Row],[Débit]])</f>
        <v>7563.0160000000069</v>
      </c>
      <c r="Q586" s="26"/>
      <c r="T586" s="10"/>
      <c r="U586" s="10"/>
      <c r="V586" s="9"/>
      <c r="W586" s="2"/>
      <c r="X586" s="9"/>
      <c r="Y586" s="8"/>
      <c r="Z586" s="7"/>
      <c r="AA586" s="7"/>
      <c r="AB586" s="6"/>
    </row>
    <row r="587" spans="2:28" ht="30" hidden="1" customHeight="1" thickBot="1">
      <c r="B587" s="46"/>
      <c r="C587" s="11" t="s">
        <v>33</v>
      </c>
      <c r="D587" s="11" t="s">
        <v>5</v>
      </c>
      <c r="E587" s="11"/>
      <c r="F587" s="34">
        <v>42338</v>
      </c>
      <c r="G587"/>
      <c r="H587"/>
      <c r="I587" s="32"/>
      <c r="J587"/>
      <c r="K587" s="31"/>
      <c r="L587" s="30">
        <v>311.68</v>
      </c>
      <c r="M587" s="29"/>
      <c r="N587" s="28">
        <f>IF(OR(TableauCB[[#This Row],[Etat]]="",TableauCB[[#This Row],[Etat]]="c"),IF(TableauCB[[#This Row],[Solde]]="","",N586),N586-TableauCB[[#This Row],[Débit]]+TableauCB[[#This Row],[Crédit]])</f>
        <v>8217.3360000000084</v>
      </c>
      <c r="O587" s="27" t="e">
        <f>IF(TableauCB[[#This Row],[Etat]]="xc",O586-TableauCB[[#This Row],[Débit]]+TableauCB[[#This Row],[Crédit]],O586-TableauCB[[#This Row],[Débit]])</f>
        <v>#VALUE!</v>
      </c>
      <c r="P587" s="27">
        <f>IF(AND(ISBLANK(TableauCB[[#This Row],[Débit]]),ISBLANK(TableauCB[[#This Row],[Crédit]])),"",P586+TableauCB[[#This Row],[Crédit]]-TableauCB[[#This Row],[Débit]])</f>
        <v>7251.3360000000066</v>
      </c>
      <c r="Q587" s="26"/>
      <c r="R587" s="47" t="s">
        <v>54</v>
      </c>
      <c r="S587" s="47" t="s">
        <v>53</v>
      </c>
      <c r="T587" s="10"/>
      <c r="U587" s="10"/>
      <c r="V587" s="9"/>
      <c r="W587" s="2"/>
      <c r="X587" s="9"/>
      <c r="Y587" s="8"/>
      <c r="Z587" s="7"/>
      <c r="AA587" s="7"/>
      <c r="AB587" s="6"/>
    </row>
    <row r="588" spans="2:28" ht="30" hidden="1" customHeight="1">
      <c r="B588" s="46"/>
      <c r="C588" s="11" t="s">
        <v>33</v>
      </c>
      <c r="D588" s="11" t="s">
        <v>5</v>
      </c>
      <c r="E588" s="11"/>
      <c r="F588" s="34">
        <v>42338</v>
      </c>
      <c r="G588"/>
      <c r="H588"/>
      <c r="I588" s="32"/>
      <c r="J588"/>
      <c r="K588" s="31"/>
      <c r="L588" s="30">
        <v>660.41</v>
      </c>
      <c r="M588" s="29"/>
      <c r="N588" s="28">
        <f>IF(OR(TableauCB[[#This Row],[Etat]]="",TableauCB[[#This Row],[Etat]]="c"),IF(TableauCB[[#This Row],[Solde]]="","",N587),N587-TableauCB[[#This Row],[Débit]]+TableauCB[[#This Row],[Crédit]])</f>
        <v>7556.9260000000086</v>
      </c>
      <c r="O588" s="27" t="e">
        <f>IF(TableauCB[[#This Row],[Etat]]="xc",O587-TableauCB[[#This Row],[Débit]]+TableauCB[[#This Row],[Crédit]],O587-TableauCB[[#This Row],[Débit]])</f>
        <v>#VALUE!</v>
      </c>
      <c r="P588" s="27">
        <f>IF(AND(ISBLANK(TableauCB[[#This Row],[Débit]]),ISBLANK(TableauCB[[#This Row],[Crédit]])),"",P587+TableauCB[[#This Row],[Crédit]]-TableauCB[[#This Row],[Débit]])</f>
        <v>6590.9260000000068</v>
      </c>
      <c r="Q588" s="26"/>
      <c r="R588" s="25">
        <f>SUM(M569:M588)-SUM(L569:L588)</f>
        <v>1528.1100000000001</v>
      </c>
      <c r="S588" s="25">
        <f>(R588/1.2)+(800*0.2)</f>
        <v>1433.4250000000002</v>
      </c>
      <c r="T588" s="10"/>
      <c r="U588" s="10"/>
      <c r="V588" s="9"/>
      <c r="W588" s="2"/>
      <c r="X588" s="9"/>
      <c r="Y588" s="8"/>
      <c r="Z588" s="7"/>
      <c r="AA588" s="7"/>
      <c r="AB588" s="6"/>
    </row>
    <row r="589" spans="2:28" ht="30" hidden="1" customHeight="1">
      <c r="B589" s="46" t="s">
        <v>55</v>
      </c>
      <c r="C589" s="11" t="s">
        <v>33</v>
      </c>
      <c r="D589" s="11" t="s">
        <v>15</v>
      </c>
      <c r="E589" s="11"/>
      <c r="F589" s="34">
        <v>42346</v>
      </c>
      <c r="G589"/>
      <c r="H589"/>
      <c r="I589" s="32"/>
      <c r="J589"/>
      <c r="K589" s="31"/>
      <c r="L589" s="30">
        <v>17</v>
      </c>
      <c r="M589" s="29"/>
      <c r="N589" s="28">
        <f>IF(OR(TableauCB[[#This Row],[Etat]]="",TableauCB[[#This Row],[Etat]]="c"),IF(TableauCB[[#This Row],[Solde]]="","",N588),N588-TableauCB[[#This Row],[Débit]]+TableauCB[[#This Row],[Crédit]])</f>
        <v>7539.9260000000086</v>
      </c>
      <c r="O589" s="27" t="e">
        <f>IF(TableauCB[[#This Row],[Etat]]="xc",O588-TableauCB[[#This Row],[Débit]]+TableauCB[[#This Row],[Crédit]],O588-TableauCB[[#This Row],[Débit]])</f>
        <v>#VALUE!</v>
      </c>
      <c r="P589" s="27">
        <f>IF(AND(ISBLANK(TableauCB[[#This Row],[Débit]]),ISBLANK(TableauCB[[#This Row],[Crédit]])),"",P588+TableauCB[[#This Row],[Crédit]]-TableauCB[[#This Row],[Débit]])</f>
        <v>6573.9260000000068</v>
      </c>
      <c r="Q589" s="26"/>
      <c r="T589" s="24"/>
      <c r="U589" s="10"/>
      <c r="V589" s="9"/>
      <c r="W589" s="2"/>
      <c r="X589" s="9"/>
      <c r="Y589" s="8"/>
      <c r="Z589" s="7"/>
      <c r="AA589" s="7"/>
      <c r="AB589" s="6"/>
    </row>
    <row r="590" spans="2:28" ht="30" hidden="1" customHeight="1">
      <c r="B590" s="46"/>
      <c r="C590" s="11" t="s">
        <v>33</v>
      </c>
      <c r="D590" s="11" t="s">
        <v>15</v>
      </c>
      <c r="E590" s="11"/>
      <c r="F590" s="34">
        <v>42346</v>
      </c>
      <c r="G590"/>
      <c r="H590"/>
      <c r="I590" s="32"/>
      <c r="J590"/>
      <c r="K590" s="31"/>
      <c r="L590" s="30">
        <v>1259</v>
      </c>
      <c r="M590" s="29"/>
      <c r="N590" s="28">
        <f>IF(OR(TableauCB[[#This Row],[Etat]]="",TableauCB[[#This Row],[Etat]]="c"),IF(TableauCB[[#This Row],[Solde]]="","",N589),N589-TableauCB[[#This Row],[Débit]]+TableauCB[[#This Row],[Crédit]])</f>
        <v>6280.9260000000086</v>
      </c>
      <c r="O590" s="27" t="e">
        <f>IF(TableauCB[[#This Row],[Etat]]="xc",O589-TableauCB[[#This Row],[Débit]]+TableauCB[[#This Row],[Crédit]],O589-TableauCB[[#This Row],[Débit]])</f>
        <v>#VALUE!</v>
      </c>
      <c r="P590" s="27">
        <f>IF(AND(ISBLANK(TableauCB[[#This Row],[Débit]]),ISBLANK(TableauCB[[#This Row],[Crédit]])),"",P589+TableauCB[[#This Row],[Crédit]]-TableauCB[[#This Row],[Débit]])</f>
        <v>5314.9260000000068</v>
      </c>
      <c r="Q590" s="26"/>
      <c r="T590" s="10"/>
      <c r="U590" s="10"/>
      <c r="V590" s="9"/>
      <c r="W590" s="2"/>
      <c r="X590" s="9"/>
      <c r="Y590" s="8"/>
      <c r="Z590" s="7"/>
      <c r="AA590" s="7"/>
      <c r="AB590" s="6"/>
    </row>
    <row r="591" spans="2:28" ht="30" hidden="1" customHeight="1">
      <c r="B591" s="46"/>
      <c r="C591" s="11" t="s">
        <v>33</v>
      </c>
      <c r="D591" s="11" t="s">
        <v>21</v>
      </c>
      <c r="E591" s="11"/>
      <c r="F591" s="34">
        <v>42347</v>
      </c>
      <c r="G591"/>
      <c r="H591"/>
      <c r="I591" s="32"/>
      <c r="J591"/>
      <c r="K591" s="31"/>
      <c r="L591" s="30">
        <v>22.2</v>
      </c>
      <c r="M591" s="29"/>
      <c r="N591" s="28">
        <f>IF(OR(TableauCB[[#This Row],[Etat]]="",TableauCB[[#This Row],[Etat]]="c"),IF(TableauCB[[#This Row],[Solde]]="","",N590),N590-TableauCB[[#This Row],[Débit]]+TableauCB[[#This Row],[Crédit]])</f>
        <v>6258.7260000000088</v>
      </c>
      <c r="O591" s="27" t="e">
        <f>IF(TableauCB[[#This Row],[Etat]]="xc",O590-TableauCB[[#This Row],[Débit]]+TableauCB[[#This Row],[Crédit]],O590-TableauCB[[#This Row],[Débit]])</f>
        <v>#VALUE!</v>
      </c>
      <c r="P591" s="27">
        <f>IF(AND(ISBLANK(TableauCB[[#This Row],[Débit]]),ISBLANK(TableauCB[[#This Row],[Crédit]])),"",P590+TableauCB[[#This Row],[Crédit]]-TableauCB[[#This Row],[Débit]])</f>
        <v>5292.7260000000069</v>
      </c>
      <c r="Q591" s="26"/>
      <c r="T591" s="10"/>
      <c r="U591" s="10"/>
      <c r="V591" s="9"/>
      <c r="W591" s="2"/>
      <c r="X591" s="9"/>
      <c r="Y591" s="8"/>
      <c r="Z591" s="7"/>
      <c r="AA591" s="7"/>
      <c r="AB591" s="6"/>
    </row>
    <row r="592" spans="2:28" ht="30" hidden="1" customHeight="1">
      <c r="B592" s="46"/>
      <c r="C592" s="11" t="s">
        <v>33</v>
      </c>
      <c r="D592" s="11" t="s">
        <v>5</v>
      </c>
      <c r="E592" s="11"/>
      <c r="F592" s="34">
        <v>42351</v>
      </c>
      <c r="G592"/>
      <c r="H592"/>
      <c r="I592" s="32"/>
      <c r="J592"/>
      <c r="K592" s="31"/>
      <c r="L592" s="30">
        <v>800.24</v>
      </c>
      <c r="M592" s="29"/>
      <c r="N592" s="28">
        <f>IF(OR(TableauCB[[#This Row],[Etat]]="",TableauCB[[#This Row],[Etat]]="c"),IF(TableauCB[[#This Row],[Solde]]="","",N591),N591-TableauCB[[#This Row],[Débit]]+TableauCB[[#This Row],[Crédit]])</f>
        <v>5458.486000000009</v>
      </c>
      <c r="O592" s="27" t="e">
        <f>IF(TableauCB[[#This Row],[Etat]]="xc",O591-TableauCB[[#This Row],[Débit]]+TableauCB[[#This Row],[Crédit]],O591-TableauCB[[#This Row],[Débit]])</f>
        <v>#VALUE!</v>
      </c>
      <c r="P592" s="27">
        <f>IF(AND(ISBLANK(TableauCB[[#This Row],[Débit]]),ISBLANK(TableauCB[[#This Row],[Crédit]])),"",P591+TableauCB[[#This Row],[Crédit]]-TableauCB[[#This Row],[Débit]])</f>
        <v>4492.4860000000072</v>
      </c>
      <c r="Q592" s="26"/>
      <c r="T592" s="10"/>
      <c r="U592" s="10"/>
      <c r="V592" s="9"/>
      <c r="W592" s="2"/>
      <c r="X592" s="9"/>
      <c r="Y592" s="8"/>
      <c r="Z592" s="7"/>
      <c r="AA592" s="7"/>
      <c r="AB592" s="6"/>
    </row>
    <row r="593" spans="2:28" ht="30" hidden="1" customHeight="1">
      <c r="B593" s="46"/>
      <c r="C593" s="11" t="s">
        <v>33</v>
      </c>
      <c r="D593" s="11" t="s">
        <v>41</v>
      </c>
      <c r="E593" s="11"/>
      <c r="F593" s="34">
        <v>42352</v>
      </c>
      <c r="G593"/>
      <c r="H593"/>
      <c r="I593" s="32"/>
      <c r="J593"/>
      <c r="K593" s="31"/>
      <c r="L593" s="30">
        <v>229.61</v>
      </c>
      <c r="M593" s="29"/>
      <c r="N593" s="28">
        <f>IF(OR(TableauCB[[#This Row],[Etat]]="",TableauCB[[#This Row],[Etat]]="c"),IF(TableauCB[[#This Row],[Solde]]="","",N592),N592-TableauCB[[#This Row],[Débit]]+TableauCB[[#This Row],[Crédit]])</f>
        <v>5228.8760000000093</v>
      </c>
      <c r="O593" s="27" t="e">
        <f>IF(TableauCB[[#This Row],[Etat]]="xc",O592-TableauCB[[#This Row],[Débit]]+TableauCB[[#This Row],[Crédit]],O592-TableauCB[[#This Row],[Débit]])</f>
        <v>#VALUE!</v>
      </c>
      <c r="P593" s="27">
        <f>IF(AND(ISBLANK(TableauCB[[#This Row],[Débit]]),ISBLANK(TableauCB[[#This Row],[Crédit]])),"",P592+TableauCB[[#This Row],[Crédit]]-TableauCB[[#This Row],[Débit]])</f>
        <v>4262.8760000000075</v>
      </c>
      <c r="Q593" s="26"/>
      <c r="T593" s="10"/>
      <c r="U593" s="10"/>
      <c r="V593" s="9"/>
      <c r="W593" s="2"/>
      <c r="X593" s="9"/>
      <c r="Y593" s="8"/>
      <c r="Z593" s="7"/>
      <c r="AA593" s="7"/>
      <c r="AB593" s="6"/>
    </row>
    <row r="594" spans="2:28" ht="30" hidden="1" customHeight="1">
      <c r="B594" s="46"/>
      <c r="C594" s="11" t="s">
        <v>33</v>
      </c>
      <c r="D594" s="11" t="s">
        <v>15</v>
      </c>
      <c r="E594" s="11"/>
      <c r="F594" s="34">
        <v>42352</v>
      </c>
      <c r="G594"/>
      <c r="H594"/>
      <c r="I594" s="32"/>
      <c r="J594"/>
      <c r="K594" s="31"/>
      <c r="L594" s="30">
        <v>146.91999999999999</v>
      </c>
      <c r="M594" s="29"/>
      <c r="N594" s="28">
        <f>IF(OR(TableauCB[[#This Row],[Etat]]="",TableauCB[[#This Row],[Etat]]="c"),IF(TableauCB[[#This Row],[Solde]]="","",N593),N593-TableauCB[[#This Row],[Débit]]+TableauCB[[#This Row],[Crédit]])</f>
        <v>5081.9560000000092</v>
      </c>
      <c r="O594" s="27" t="e">
        <f>IF(TableauCB[[#This Row],[Etat]]="xc",O593-TableauCB[[#This Row],[Débit]]+TableauCB[[#This Row],[Crédit]],O593-TableauCB[[#This Row],[Débit]])</f>
        <v>#VALUE!</v>
      </c>
      <c r="P594" s="27">
        <f>IF(AND(ISBLANK(TableauCB[[#This Row],[Débit]]),ISBLANK(TableauCB[[#This Row],[Crédit]])),"",P593+TableauCB[[#This Row],[Crédit]]-TableauCB[[#This Row],[Débit]])</f>
        <v>4115.9560000000074</v>
      </c>
      <c r="Q594" s="26"/>
      <c r="T594" s="10"/>
      <c r="U594" s="10"/>
      <c r="V594" s="9"/>
      <c r="W594" s="2"/>
      <c r="X594" s="9"/>
      <c r="Y594" s="8"/>
      <c r="Z594" s="7"/>
      <c r="AA594" s="7"/>
      <c r="AB594" s="6"/>
    </row>
    <row r="595" spans="2:28" ht="30" hidden="1" customHeight="1">
      <c r="B595" s="46"/>
      <c r="C595" s="11" t="s">
        <v>33</v>
      </c>
      <c r="D595" s="11" t="s">
        <v>41</v>
      </c>
      <c r="E595" s="11"/>
      <c r="F595" s="34">
        <v>42355</v>
      </c>
      <c r="G595"/>
      <c r="H595"/>
      <c r="I595" s="32">
        <v>42019</v>
      </c>
      <c r="J595"/>
      <c r="K595" s="31"/>
      <c r="L595" s="30">
        <v>146.93</v>
      </c>
      <c r="M595" s="29"/>
      <c r="N595" s="28">
        <f>IF(OR(TableauCB[[#This Row],[Etat]]="",TableauCB[[#This Row],[Etat]]="c"),IF(TableauCB[[#This Row],[Solde]]="","",N594),N594-TableauCB[[#This Row],[Débit]]+TableauCB[[#This Row],[Crédit]])</f>
        <v>4935.0260000000089</v>
      </c>
      <c r="O595" s="27" t="e">
        <f>IF(TableauCB[[#This Row],[Etat]]="xc",O594-TableauCB[[#This Row],[Débit]]+TableauCB[[#This Row],[Crédit]],O594-TableauCB[[#This Row],[Débit]])</f>
        <v>#VALUE!</v>
      </c>
      <c r="P595" s="27">
        <f>IF(AND(ISBLANK(TableauCB[[#This Row],[Débit]]),ISBLANK(TableauCB[[#This Row],[Crédit]])),"",P594+TableauCB[[#This Row],[Crédit]]-TableauCB[[#This Row],[Débit]])</f>
        <v>3969.0260000000076</v>
      </c>
      <c r="Q595" s="26"/>
      <c r="T595" s="10"/>
      <c r="U595" s="10"/>
      <c r="V595" s="9"/>
      <c r="W595" s="2"/>
      <c r="X595" s="9"/>
      <c r="Y595" s="8"/>
      <c r="Z595" s="7"/>
      <c r="AA595" s="7"/>
      <c r="AB595" s="6"/>
    </row>
    <row r="596" spans="2:28" ht="30" hidden="1" customHeight="1">
      <c r="B596" s="46"/>
      <c r="C596" s="11" t="s">
        <v>33</v>
      </c>
      <c r="D596" s="11" t="s">
        <v>17</v>
      </c>
      <c r="E596" s="11"/>
      <c r="F596" s="34">
        <v>42358</v>
      </c>
      <c r="G596"/>
      <c r="H596"/>
      <c r="I596" s="32"/>
      <c r="J596"/>
      <c r="K596" s="31"/>
      <c r="L596" s="30">
        <v>3.59</v>
      </c>
      <c r="M596" s="29"/>
      <c r="N596" s="28">
        <f>IF(OR(TableauCB[[#This Row],[Etat]]="",TableauCB[[#This Row],[Etat]]="c"),IF(TableauCB[[#This Row],[Solde]]="","",N595),N595-TableauCB[[#This Row],[Débit]]+TableauCB[[#This Row],[Crédit]])</f>
        <v>4931.4360000000088</v>
      </c>
      <c r="O596" s="27" t="e">
        <f>IF(TableauCB[[#This Row],[Etat]]="xc",O595-TableauCB[[#This Row],[Débit]]+TableauCB[[#This Row],[Crédit]],O595-TableauCB[[#This Row],[Débit]])</f>
        <v>#VALUE!</v>
      </c>
      <c r="P596" s="27">
        <f>IF(AND(ISBLANK(TableauCB[[#This Row],[Débit]]),ISBLANK(TableauCB[[#This Row],[Crédit]])),"",P595+TableauCB[[#This Row],[Crédit]]-TableauCB[[#This Row],[Débit]])</f>
        <v>3965.4360000000074</v>
      </c>
      <c r="Q596" s="26"/>
    </row>
    <row r="597" spans="2:28" ht="30" hidden="1" customHeight="1">
      <c r="B597" s="46"/>
      <c r="C597" s="11" t="s">
        <v>33</v>
      </c>
      <c r="D597" s="11" t="s">
        <v>17</v>
      </c>
      <c r="E597" s="11"/>
      <c r="F597" s="34">
        <v>42359</v>
      </c>
      <c r="G597"/>
      <c r="H597"/>
      <c r="I597" s="32"/>
      <c r="J597"/>
      <c r="K597" s="31"/>
      <c r="L597" s="30">
        <v>41.4</v>
      </c>
      <c r="M597" s="29"/>
      <c r="N597" s="28">
        <f>IF(OR(TableauCB[[#This Row],[Etat]]="",TableauCB[[#This Row],[Etat]]="c"),IF(TableauCB[[#This Row],[Solde]]="","",N596),N596-TableauCB[[#This Row],[Débit]]+TableauCB[[#This Row],[Crédit]])</f>
        <v>4890.0360000000092</v>
      </c>
      <c r="O597" s="27" t="e">
        <f>IF(TableauCB[[#This Row],[Etat]]="xc",O596-TableauCB[[#This Row],[Débit]]+TableauCB[[#This Row],[Crédit]],O596-TableauCB[[#This Row],[Débit]])</f>
        <v>#VALUE!</v>
      </c>
      <c r="P597" s="27">
        <f>IF(AND(ISBLANK(TableauCB[[#This Row],[Débit]]),ISBLANK(TableauCB[[#This Row],[Crédit]])),"",P596+TableauCB[[#This Row],[Crédit]]-TableauCB[[#This Row],[Débit]])</f>
        <v>3924.0360000000073</v>
      </c>
      <c r="Q597" s="26"/>
    </row>
    <row r="598" spans="2:28" ht="30" hidden="1" customHeight="1">
      <c r="B598" s="46"/>
      <c r="C598" s="11" t="s">
        <v>33</v>
      </c>
      <c r="D598" s="11" t="s">
        <v>5</v>
      </c>
      <c r="E598" s="11"/>
      <c r="F598" s="34">
        <v>42362</v>
      </c>
      <c r="G598"/>
      <c r="H598"/>
      <c r="I598" s="32"/>
      <c r="J598"/>
      <c r="K598" s="31"/>
      <c r="L598" s="30">
        <v>490.83</v>
      </c>
      <c r="M598" s="29"/>
      <c r="N598" s="28">
        <f>IF(OR(TableauCB[[#This Row],[Etat]]="",TableauCB[[#This Row],[Etat]]="c"),IF(TableauCB[[#This Row],[Solde]]="","",N597),N597-TableauCB[[#This Row],[Débit]]+TableauCB[[#This Row],[Crédit]])</f>
        <v>4399.2060000000092</v>
      </c>
      <c r="O598" s="27" t="e">
        <f>IF(TableauCB[[#This Row],[Etat]]="xc",O597-TableauCB[[#This Row],[Débit]]+TableauCB[[#This Row],[Crédit]],O597-TableauCB[[#This Row],[Débit]])</f>
        <v>#VALUE!</v>
      </c>
      <c r="P598" s="27">
        <f>IF(AND(ISBLANK(TableauCB[[#This Row],[Débit]]),ISBLANK(TableauCB[[#This Row],[Crédit]])),"",P597+TableauCB[[#This Row],[Crédit]]-TableauCB[[#This Row],[Débit]])</f>
        <v>3433.2060000000074</v>
      </c>
      <c r="Q598" s="26"/>
      <c r="T598" s="50"/>
    </row>
    <row r="599" spans="2:28" ht="30" hidden="1" customHeight="1">
      <c r="B599" s="46"/>
      <c r="C599" s="11" t="s">
        <v>33</v>
      </c>
      <c r="D599" s="11" t="s">
        <v>11</v>
      </c>
      <c r="E599" s="11"/>
      <c r="F599" s="34">
        <v>42368</v>
      </c>
      <c r="G599"/>
      <c r="H599"/>
      <c r="I599" s="32">
        <v>42034</v>
      </c>
      <c r="J599"/>
      <c r="K599" s="31"/>
      <c r="L599" s="30"/>
      <c r="M599" s="29">
        <v>108</v>
      </c>
      <c r="N599" s="28">
        <f>IF(OR(TableauCB[[#This Row],[Etat]]="",TableauCB[[#This Row],[Etat]]="c"),IF(TableauCB[[#This Row],[Solde]]="","",N598),N598-TableauCB[[#This Row],[Débit]]+TableauCB[[#This Row],[Crédit]])</f>
        <v>4507.2060000000092</v>
      </c>
      <c r="O599" s="27" t="e">
        <f>IF(TableauCB[[#This Row],[Etat]]="xc",O598-TableauCB[[#This Row],[Débit]]+TableauCB[[#This Row],[Crédit]],O598-TableauCB[[#This Row],[Débit]])</f>
        <v>#VALUE!</v>
      </c>
      <c r="P599" s="27">
        <f>IF(AND(ISBLANK(TableauCB[[#This Row],[Débit]]),ISBLANK(TableauCB[[#This Row],[Crédit]])),"",P598+TableauCB[[#This Row],[Crédit]]-TableauCB[[#This Row],[Débit]])</f>
        <v>3541.2060000000074</v>
      </c>
      <c r="Q599" s="26"/>
    </row>
    <row r="600" spans="2:28" ht="30" hidden="1" customHeight="1">
      <c r="B600" s="46"/>
      <c r="C600" s="11" t="s">
        <v>33</v>
      </c>
      <c r="D600" s="11" t="s">
        <v>11</v>
      </c>
      <c r="E600" s="11"/>
      <c r="F600" s="34">
        <v>42368</v>
      </c>
      <c r="G600"/>
      <c r="H600"/>
      <c r="I600" s="32">
        <v>42381</v>
      </c>
      <c r="J600"/>
      <c r="K600" s="31"/>
      <c r="L600" s="30"/>
      <c r="M600" s="29">
        <v>152.46</v>
      </c>
      <c r="N600" s="28">
        <f>IF(OR(TableauCB[[#This Row],[Etat]]="",TableauCB[[#This Row],[Etat]]="c"),IF(TableauCB[[#This Row],[Solde]]="","",N599),N599-TableauCB[[#This Row],[Débit]]+TableauCB[[#This Row],[Crédit]])</f>
        <v>4659.6660000000093</v>
      </c>
      <c r="O600" s="27" t="e">
        <f>IF(TableauCB[[#This Row],[Etat]]="xc",O599-TableauCB[[#This Row],[Débit]]+TableauCB[[#This Row],[Crédit]],O599-TableauCB[[#This Row],[Débit]])</f>
        <v>#VALUE!</v>
      </c>
      <c r="P600" s="27">
        <f>IF(AND(ISBLANK(TableauCB[[#This Row],[Débit]]),ISBLANK(TableauCB[[#This Row],[Crédit]])),"",P599+TableauCB[[#This Row],[Crédit]]-TableauCB[[#This Row],[Débit]])</f>
        <v>3693.6660000000074</v>
      </c>
      <c r="Q600" s="26"/>
      <c r="T600" s="10"/>
      <c r="U600" s="10"/>
      <c r="V600" s="9"/>
      <c r="W600" s="2"/>
      <c r="X600" s="9"/>
      <c r="Y600" s="8"/>
      <c r="Z600" s="7"/>
      <c r="AA600" s="7"/>
      <c r="AB600" s="6"/>
    </row>
    <row r="601" spans="2:28" ht="30" hidden="1" customHeight="1">
      <c r="B601" s="46"/>
      <c r="C601" s="11" t="s">
        <v>33</v>
      </c>
      <c r="D601" s="11" t="s">
        <v>11</v>
      </c>
      <c r="E601" s="11"/>
      <c r="F601" s="34">
        <v>42368</v>
      </c>
      <c r="G601"/>
      <c r="H601"/>
      <c r="I601" s="32">
        <v>42441</v>
      </c>
      <c r="J601"/>
      <c r="K601" s="31"/>
      <c r="L601" s="30"/>
      <c r="M601" s="29">
        <v>151.80000000000001</v>
      </c>
      <c r="N601" s="28">
        <f>IF(OR(TableauCB[[#This Row],[Etat]]="",TableauCB[[#This Row],[Etat]]="c"),IF(TableauCB[[#This Row],[Solde]]="","",N600),N600-TableauCB[[#This Row],[Débit]]+TableauCB[[#This Row],[Crédit]])</f>
        <v>4811.4660000000094</v>
      </c>
      <c r="O601" s="27"/>
      <c r="P601" s="27">
        <f>IF(AND(ISBLANK(TableauCB[[#This Row],[Débit]]),ISBLANK(TableauCB[[#This Row],[Crédit]])),"",P600+TableauCB[[#This Row],[Crédit]]-TableauCB[[#This Row],[Débit]])</f>
        <v>3845.4660000000076</v>
      </c>
      <c r="Q601" s="26"/>
      <c r="T601" s="10"/>
      <c r="U601" s="10"/>
      <c r="V601" s="9"/>
      <c r="W601" s="2"/>
      <c r="X601" s="9"/>
      <c r="Y601" s="8"/>
      <c r="Z601" s="7"/>
      <c r="AA601" s="7"/>
      <c r="AB601" s="6"/>
    </row>
    <row r="602" spans="2:28" ht="30" hidden="1" customHeight="1">
      <c r="B602" s="46"/>
      <c r="C602" s="11" t="s">
        <v>33</v>
      </c>
      <c r="D602" s="11" t="s">
        <v>11</v>
      </c>
      <c r="E602" s="11"/>
      <c r="F602" s="34">
        <v>42368</v>
      </c>
      <c r="G602"/>
      <c r="H602"/>
      <c r="I602" s="32">
        <v>42077</v>
      </c>
      <c r="J602"/>
      <c r="K602" s="31"/>
      <c r="L602" s="30"/>
      <c r="M602" s="29">
        <v>522</v>
      </c>
      <c r="N602" s="28">
        <f>IF(OR(TableauCB[[#This Row],[Etat]]="",TableauCB[[#This Row],[Etat]]="c"),IF(TableauCB[[#This Row],[Solde]]="","",N601),N601-TableauCB[[#This Row],[Débit]]+TableauCB[[#This Row],[Crédit]])</f>
        <v>5333.4660000000094</v>
      </c>
      <c r="O602" s="27"/>
      <c r="P602" s="27">
        <f>IF(AND(ISBLANK(TableauCB[[#This Row],[Débit]]),ISBLANK(TableauCB[[#This Row],[Crédit]])),"",P601+TableauCB[[#This Row],[Crédit]]-TableauCB[[#This Row],[Débit]])</f>
        <v>4367.4660000000076</v>
      </c>
      <c r="Q602" s="26"/>
      <c r="T602" s="10"/>
      <c r="U602" s="10"/>
      <c r="V602" s="9"/>
      <c r="W602" s="2"/>
      <c r="X602" s="9"/>
      <c r="Y602" s="8"/>
      <c r="Z602" s="7"/>
      <c r="AA602" s="7"/>
      <c r="AB602" s="6"/>
    </row>
    <row r="603" spans="2:28" ht="30" hidden="1" customHeight="1">
      <c r="B603" s="46"/>
      <c r="C603" s="11" t="s">
        <v>33</v>
      </c>
      <c r="D603" s="11" t="s">
        <v>11</v>
      </c>
      <c r="E603" s="11"/>
      <c r="F603" s="34">
        <v>42368</v>
      </c>
      <c r="G603"/>
      <c r="H603"/>
      <c r="I603" s="32">
        <v>42017</v>
      </c>
      <c r="J603"/>
      <c r="K603" s="31"/>
      <c r="L603" s="30"/>
      <c r="M603" s="29">
        <v>192</v>
      </c>
      <c r="N603" s="28">
        <f>IF(OR(TableauCB[[#This Row],[Etat]]="",TableauCB[[#This Row],[Etat]]="c"),IF(TableauCB[[#This Row],[Solde]]="","",N602),N602-TableauCB[[#This Row],[Débit]]+TableauCB[[#This Row],[Crédit]])</f>
        <v>5525.4660000000094</v>
      </c>
      <c r="O603" s="27">
        <f>IF(TableauCB[[#This Row],[Etat]]="xc",O602-TableauCB[[#This Row],[Débit]]+TableauCB[[#This Row],[Crédit]],O602-TableauCB[[#This Row],[Débit]])</f>
        <v>192</v>
      </c>
      <c r="P603" s="27">
        <f>IF(AND(ISBLANK(TableauCB[[#This Row],[Débit]]),ISBLANK(TableauCB[[#This Row],[Crédit]])),"",P602+TableauCB[[#This Row],[Crédit]]-TableauCB[[#This Row],[Débit]])</f>
        <v>4559.4660000000076</v>
      </c>
      <c r="Q603" s="26"/>
      <c r="T603" s="10"/>
      <c r="U603" s="10"/>
      <c r="V603" s="9"/>
      <c r="W603" s="2"/>
      <c r="X603" s="9"/>
      <c r="Y603" s="8"/>
      <c r="Z603" s="7"/>
      <c r="AA603" s="7"/>
      <c r="AB603" s="6"/>
    </row>
    <row r="604" spans="2:28" ht="30" hidden="1" customHeight="1">
      <c r="B604" s="46"/>
      <c r="C604" s="11" t="s">
        <v>33</v>
      </c>
      <c r="D604" s="11" t="s">
        <v>11</v>
      </c>
      <c r="E604" s="11"/>
      <c r="F604" s="34">
        <v>42368</v>
      </c>
      <c r="G604"/>
      <c r="H604"/>
      <c r="I604" s="32">
        <v>42401</v>
      </c>
      <c r="J604"/>
      <c r="K604" s="31"/>
      <c r="L604" s="30"/>
      <c r="M604" s="29">
        <v>624</v>
      </c>
      <c r="N604" s="28">
        <f>IF(OR(TableauCB[[#This Row],[Etat]]="",TableauCB[[#This Row],[Etat]]="c"),IF(TableauCB[[#This Row],[Solde]]="","",N603),N603-TableauCB[[#This Row],[Débit]]+TableauCB[[#This Row],[Crédit]])</f>
        <v>6149.4660000000094</v>
      </c>
      <c r="O604" s="27">
        <f>IF(TableauCB[[#This Row],[Etat]]="xc",O603-TableauCB[[#This Row],[Débit]]+TableauCB[[#This Row],[Crédit]],O603-TableauCB[[#This Row],[Débit]])</f>
        <v>816</v>
      </c>
      <c r="P604" s="27">
        <f>IF(AND(ISBLANK(TableauCB[[#This Row],[Débit]]),ISBLANK(TableauCB[[#This Row],[Crédit]])),"",P603+TableauCB[[#This Row],[Crédit]]-TableauCB[[#This Row],[Débit]])</f>
        <v>5183.4660000000076</v>
      </c>
      <c r="Q604" s="26"/>
      <c r="T604" s="10"/>
      <c r="U604" s="10"/>
      <c r="V604" s="9"/>
      <c r="W604" s="2"/>
      <c r="X604" s="9"/>
      <c r="Y604" s="8"/>
      <c r="Z604" s="7"/>
      <c r="AA604" s="7"/>
      <c r="AB604" s="6"/>
    </row>
    <row r="605" spans="2:28" ht="30" hidden="1" customHeight="1">
      <c r="B605" s="46"/>
      <c r="C605" s="11" t="s">
        <v>33</v>
      </c>
      <c r="D605" s="11" t="s">
        <v>11</v>
      </c>
      <c r="E605" s="11"/>
      <c r="F605" s="34">
        <v>42368</v>
      </c>
      <c r="G605"/>
      <c r="H605"/>
      <c r="I605" s="32">
        <v>42390</v>
      </c>
      <c r="J605"/>
      <c r="K605" s="31"/>
      <c r="L605" s="30"/>
      <c r="M605" s="29">
        <v>115.2</v>
      </c>
      <c r="N605" s="28">
        <f>IF(OR(TableauCB[[#This Row],[Etat]]="",TableauCB[[#This Row],[Etat]]="c"),IF(TableauCB[[#This Row],[Solde]]="","",N604),N604-TableauCB[[#This Row],[Débit]]+TableauCB[[#This Row],[Crédit]])</f>
        <v>6264.6660000000093</v>
      </c>
      <c r="O605" s="27">
        <f>IF(TableauCB[[#This Row],[Etat]]="xc",O604-TableauCB[[#This Row],[Débit]]+TableauCB[[#This Row],[Crédit]],O604-TableauCB[[#This Row],[Débit]])</f>
        <v>931.2</v>
      </c>
      <c r="P605" s="27">
        <f>IF(AND(ISBLANK(TableauCB[[#This Row],[Débit]]),ISBLANK(TableauCB[[#This Row],[Crédit]])),"",P604+TableauCB[[#This Row],[Crédit]]-TableauCB[[#This Row],[Débit]])</f>
        <v>5298.6660000000074</v>
      </c>
      <c r="Q605" s="26"/>
      <c r="V605" s="9"/>
      <c r="W605" s="2"/>
      <c r="X605" s="9"/>
      <c r="Y605" s="8"/>
      <c r="Z605" s="7"/>
      <c r="AA605" s="7"/>
      <c r="AB605" s="6"/>
    </row>
    <row r="606" spans="2:28" ht="30" hidden="1" customHeight="1">
      <c r="B606" s="46"/>
      <c r="C606" s="11" t="s">
        <v>33</v>
      </c>
      <c r="D606" s="11" t="s">
        <v>11</v>
      </c>
      <c r="E606" s="11"/>
      <c r="F606" s="34">
        <v>42368</v>
      </c>
      <c r="G606"/>
      <c r="H606"/>
      <c r="I606" s="32">
        <v>42529</v>
      </c>
      <c r="J606"/>
      <c r="K606" s="31"/>
      <c r="L606" s="30"/>
      <c r="M606" s="29">
        <v>120</v>
      </c>
      <c r="N606" s="28">
        <f>IF(OR(TableauCB[[#This Row],[Etat]]="",TableauCB[[#This Row],[Etat]]="c"),IF(TableauCB[[#This Row],[Solde]]="","",N605),N605-TableauCB[[#This Row],[Débit]]+TableauCB[[#This Row],[Crédit]])</f>
        <v>6384.6660000000093</v>
      </c>
      <c r="O606" s="27"/>
      <c r="P606" s="27">
        <f>IF(AND(ISBLANK(TableauCB[[#This Row],[Débit]]),ISBLANK(TableauCB[[#This Row],[Crédit]])),"",P605+TableauCB[[#This Row],[Crédit]]-TableauCB[[#This Row],[Débit]])</f>
        <v>5418.6660000000074</v>
      </c>
      <c r="Q606" s="26"/>
      <c r="V606" s="9"/>
      <c r="W606" s="2"/>
      <c r="X606" s="9"/>
      <c r="Y606" s="8"/>
      <c r="Z606" s="7"/>
      <c r="AA606" s="7"/>
      <c r="AB606" s="6"/>
    </row>
    <row r="607" spans="2:28" ht="30" hidden="1" customHeight="1">
      <c r="B607" s="46"/>
      <c r="C607" s="11" t="s">
        <v>33</v>
      </c>
      <c r="D607" s="11" t="s">
        <v>11</v>
      </c>
      <c r="E607" s="11"/>
      <c r="F607" s="34">
        <v>42368</v>
      </c>
      <c r="G607"/>
      <c r="H607"/>
      <c r="I607" s="32">
        <v>42412</v>
      </c>
      <c r="J607"/>
      <c r="K607" s="31"/>
      <c r="L607" s="30"/>
      <c r="M607" s="29">
        <v>120</v>
      </c>
      <c r="N607" s="28">
        <f>IF(OR(TableauCB[[#This Row],[Etat]]="",TableauCB[[#This Row],[Etat]]="c"),IF(TableauCB[[#This Row],[Solde]]="","",N606),N606-TableauCB[[#This Row],[Débit]]+TableauCB[[#This Row],[Crédit]])</f>
        <v>6504.6660000000093</v>
      </c>
      <c r="O607" s="27">
        <f>IF(TableauCB[[#This Row],[Etat]]="xc",O606-TableauCB[[#This Row],[Débit]]+TableauCB[[#This Row],[Crédit]],O606-TableauCB[[#This Row],[Débit]])</f>
        <v>120</v>
      </c>
      <c r="P607" s="27">
        <f>IF(AND(ISBLANK(TableauCB[[#This Row],[Débit]]),ISBLANK(TableauCB[[#This Row],[Crédit]])),"",P606+TableauCB[[#This Row],[Crédit]]-TableauCB[[#This Row],[Débit]])</f>
        <v>5538.6660000000074</v>
      </c>
      <c r="Q607" s="26"/>
      <c r="V607" s="9"/>
      <c r="W607" s="2"/>
      <c r="X607" s="9"/>
      <c r="Y607" s="8"/>
      <c r="Z607" s="7"/>
      <c r="AA607" s="7"/>
      <c r="AB607" s="6"/>
    </row>
    <row r="608" spans="2:28" ht="30" hidden="1" customHeight="1">
      <c r="B608" s="46"/>
      <c r="C608" s="11" t="s">
        <v>33</v>
      </c>
      <c r="D608" s="11" t="s">
        <v>11</v>
      </c>
      <c r="E608" s="11"/>
      <c r="F608" s="34">
        <v>42368</v>
      </c>
      <c r="G608"/>
      <c r="H608"/>
      <c r="I608" s="32"/>
      <c r="J608"/>
      <c r="K608" s="31"/>
      <c r="L608" s="30"/>
      <c r="M608" s="29">
        <v>96</v>
      </c>
      <c r="N608" s="28">
        <f>IF(OR(TableauCB[[#This Row],[Etat]]="",TableauCB[[#This Row],[Etat]]="c"),IF(TableauCB[[#This Row],[Solde]]="","",N607),N607-TableauCB[[#This Row],[Débit]]+TableauCB[[#This Row],[Crédit]])</f>
        <v>6600.6660000000093</v>
      </c>
      <c r="O608" s="27">
        <f>IF(TableauCB[[#This Row],[Etat]]="xc",O607-TableauCB[[#This Row],[Débit]]+TableauCB[[#This Row],[Crédit]],O607-TableauCB[[#This Row],[Débit]])</f>
        <v>216</v>
      </c>
      <c r="P608" s="27">
        <f>IF(AND(ISBLANK(TableauCB[[#This Row],[Débit]]),ISBLANK(TableauCB[[#This Row],[Crédit]])),"",P607+TableauCB[[#This Row],[Crédit]]-TableauCB[[#This Row],[Débit]])</f>
        <v>5634.6660000000074</v>
      </c>
      <c r="Q608" s="26"/>
      <c r="V608" s="9"/>
      <c r="W608" s="2"/>
      <c r="X608" s="9"/>
      <c r="Y608" s="8"/>
      <c r="Z608" s="7"/>
      <c r="AA608" s="7"/>
      <c r="AB608" s="6"/>
    </row>
    <row r="609" spans="2:28" ht="30" hidden="1" customHeight="1">
      <c r="B609" s="46"/>
      <c r="C609" s="11" t="s">
        <v>33</v>
      </c>
      <c r="D609" s="11" t="s">
        <v>30</v>
      </c>
      <c r="E609" s="11"/>
      <c r="F609" s="34">
        <v>42368</v>
      </c>
      <c r="G609"/>
      <c r="H609"/>
      <c r="I609" s="32"/>
      <c r="J609"/>
      <c r="K609" s="31"/>
      <c r="L609" s="30">
        <v>25.2</v>
      </c>
      <c r="M609" s="29"/>
      <c r="N609" s="28">
        <f>IF(OR(TableauCB[[#This Row],[Etat]]="",TableauCB[[#This Row],[Etat]]="c"),IF(TableauCB[[#This Row],[Solde]]="","",N608),N608-TableauCB[[#This Row],[Débit]]+TableauCB[[#This Row],[Crédit]])</f>
        <v>6575.4660000000094</v>
      </c>
      <c r="O609" s="27">
        <f>IF(TableauCB[[#This Row],[Etat]]="xc",O608-TableauCB[[#This Row],[Débit]]+TableauCB[[#This Row],[Crédit]],O608-TableauCB[[#This Row],[Débit]])</f>
        <v>190.8</v>
      </c>
      <c r="P609" s="27">
        <f>IF(AND(ISBLANK(TableauCB[[#This Row],[Débit]]),ISBLANK(TableauCB[[#This Row],[Crédit]])),"",P608+TableauCB[[#This Row],[Crédit]]-TableauCB[[#This Row],[Débit]])</f>
        <v>5609.4660000000076</v>
      </c>
      <c r="Q609" s="26"/>
      <c r="V609" s="9"/>
      <c r="W609" s="2"/>
      <c r="X609" s="9"/>
      <c r="Y609" s="8"/>
      <c r="Z609" s="7"/>
      <c r="AA609" s="7"/>
      <c r="AB609" s="6"/>
    </row>
    <row r="610" spans="2:28" ht="30" hidden="1" customHeight="1">
      <c r="B610" s="46"/>
      <c r="C610" s="11" t="s">
        <v>33</v>
      </c>
      <c r="D610" s="11" t="s">
        <v>41</v>
      </c>
      <c r="E610" s="11"/>
      <c r="F610" s="34">
        <v>42368</v>
      </c>
      <c r="G610"/>
      <c r="H610"/>
      <c r="I610" s="32"/>
      <c r="J610"/>
      <c r="K610" s="31"/>
      <c r="L610" s="30">
        <v>505.7</v>
      </c>
      <c r="M610" s="29"/>
      <c r="N610" s="28">
        <f>IF(OR(TableauCB[[#This Row],[Etat]]="",TableauCB[[#This Row],[Etat]]="c"),IF(TableauCB[[#This Row],[Solde]]="","",N609),N609-TableauCB[[#This Row],[Débit]]+TableauCB[[#This Row],[Crédit]])</f>
        <v>6069.7660000000096</v>
      </c>
      <c r="O610" s="27">
        <f>IF(TableauCB[[#This Row],[Etat]]="xc",O609-TableauCB[[#This Row],[Débit]]+TableauCB[[#This Row],[Crédit]],O609-TableauCB[[#This Row],[Débit]])</f>
        <v>-314.89999999999998</v>
      </c>
      <c r="P610" s="27">
        <f>IF(AND(ISBLANK(TableauCB[[#This Row],[Débit]]),ISBLANK(TableauCB[[#This Row],[Crédit]])),"",P609+TableauCB[[#This Row],[Crédit]]-TableauCB[[#This Row],[Débit]])</f>
        <v>5103.7660000000078</v>
      </c>
      <c r="Q610" s="26"/>
      <c r="V610" s="9"/>
      <c r="W610" s="2"/>
      <c r="X610" s="9"/>
      <c r="Y610" s="8"/>
      <c r="Z610" s="7"/>
      <c r="AA610" s="7"/>
      <c r="AB610" s="6"/>
    </row>
    <row r="611" spans="2:28" ht="30" hidden="1" customHeight="1">
      <c r="B611" s="46"/>
      <c r="C611" s="11" t="s">
        <v>33</v>
      </c>
      <c r="D611" s="11" t="s">
        <v>17</v>
      </c>
      <c r="E611" s="11"/>
      <c r="F611" s="34">
        <v>42368</v>
      </c>
      <c r="G611"/>
      <c r="H611"/>
      <c r="I611" s="32"/>
      <c r="J611"/>
      <c r="K611" s="31"/>
      <c r="L611" s="30">
        <v>10.4</v>
      </c>
      <c r="M611" s="29"/>
      <c r="N611" s="28">
        <f>IF(OR(TableauCB[[#This Row],[Etat]]="",TableauCB[[#This Row],[Etat]]="c"),IF(TableauCB[[#This Row],[Solde]]="","",N610),N610-TableauCB[[#This Row],[Débit]]+TableauCB[[#This Row],[Crédit]])</f>
        <v>6059.36600000001</v>
      </c>
      <c r="O611" s="27"/>
      <c r="P611" s="27">
        <f>IF(AND(ISBLANK(TableauCB[[#This Row],[Débit]]),ISBLANK(TableauCB[[#This Row],[Crédit]])),"",P610+TableauCB[[#This Row],[Crédit]]-TableauCB[[#This Row],[Débit]])</f>
        <v>5093.3660000000082</v>
      </c>
      <c r="Q611" s="26"/>
      <c r="T611" s="49" t="s">
        <v>56</v>
      </c>
      <c r="U611" s="49"/>
      <c r="V611" s="9"/>
      <c r="W611" s="2"/>
      <c r="X611" s="9"/>
      <c r="Y611" s="8"/>
      <c r="Z611" s="7"/>
      <c r="AA611" s="7"/>
      <c r="AB611" s="6"/>
    </row>
    <row r="612" spans="2:28" ht="30" hidden="1" customHeight="1" thickBot="1">
      <c r="B612" s="46"/>
      <c r="C612" s="11" t="s">
        <v>33</v>
      </c>
      <c r="D612" s="11" t="s">
        <v>9</v>
      </c>
      <c r="E612" s="11"/>
      <c r="F612" s="34">
        <v>42368</v>
      </c>
      <c r="G612"/>
      <c r="H612"/>
      <c r="I612" s="32"/>
      <c r="J612"/>
      <c r="K612" s="31"/>
      <c r="L612" s="30">
        <v>240</v>
      </c>
      <c r="M612" s="29"/>
      <c r="N612" s="28">
        <f>IF(OR(TableauCB[[#This Row],[Etat]]="",TableauCB[[#This Row],[Etat]]="c"),IF(TableauCB[[#This Row],[Solde]]="","",N611),N611-TableauCB[[#This Row],[Débit]]+TableauCB[[#This Row],[Crédit]])</f>
        <v>5819.36600000001</v>
      </c>
      <c r="O612" s="27"/>
      <c r="P612" s="27">
        <f>IF(AND(ISBLANK(TableauCB[[#This Row],[Débit]]),ISBLANK(TableauCB[[#This Row],[Crédit]])),"",P611+TableauCB[[#This Row],[Crédit]]-TableauCB[[#This Row],[Débit]])</f>
        <v>4853.3660000000082</v>
      </c>
      <c r="Q612" s="26"/>
      <c r="R612" s="47" t="s">
        <v>54</v>
      </c>
      <c r="S612" s="47" t="s">
        <v>53</v>
      </c>
      <c r="T612" s="48" t="s">
        <v>54</v>
      </c>
      <c r="U612" s="47" t="s">
        <v>53</v>
      </c>
      <c r="V612" s="9"/>
      <c r="W612" s="2"/>
      <c r="X612" s="9"/>
      <c r="Y612" s="8"/>
      <c r="Z612" s="7"/>
      <c r="AA612" s="7"/>
      <c r="AB612" s="6"/>
    </row>
    <row r="613" spans="2:28" ht="30" hidden="1" customHeight="1">
      <c r="B613" s="46"/>
      <c r="C613" s="11" t="s">
        <v>33</v>
      </c>
      <c r="D613" s="11" t="s">
        <v>5</v>
      </c>
      <c r="E613" s="11"/>
      <c r="F613" s="34">
        <v>42368</v>
      </c>
      <c r="G613"/>
      <c r="H613"/>
      <c r="I613" s="32"/>
      <c r="J613"/>
      <c r="K613" s="31"/>
      <c r="L613" s="30">
        <v>640.88</v>
      </c>
      <c r="M613" s="29"/>
      <c r="N613" s="28">
        <f>IF(OR(TableauCB[[#This Row],[Etat]]="",TableauCB[[#This Row],[Etat]]="c"),IF(TableauCB[[#This Row],[Solde]]="","",N612),N612-TableauCB[[#This Row],[Débit]]+TableauCB[[#This Row],[Crédit]])</f>
        <v>5178.4860000000099</v>
      </c>
      <c r="O613" s="27">
        <v>5058.49</v>
      </c>
      <c r="P613" s="27">
        <f>IF(AND(ISBLANK(TableauCB[[#This Row],[Débit]]),ISBLANK(TableauCB[[#This Row],[Crédit]])),"",P612+TableauCB[[#This Row],[Crédit]]-TableauCB[[#This Row],[Débit]])</f>
        <v>4212.4860000000081</v>
      </c>
      <c r="Q613" s="26"/>
      <c r="R613" s="25">
        <f>SUM(M589:M613)-SUM(L589:L613)</f>
        <v>-2378.4399999999996</v>
      </c>
      <c r="S613" s="25">
        <f>R613/1.2</f>
        <v>-1982.0333333333331</v>
      </c>
      <c r="T613" s="45">
        <f>R613+R588+R568</f>
        <v>-1918.42</v>
      </c>
      <c r="U613" s="44">
        <f>S613+S588+S568</f>
        <v>-1438.6833333333334</v>
      </c>
      <c r="V613" s="9"/>
      <c r="W613" s="2"/>
      <c r="X613" s="9"/>
      <c r="Y613" s="8"/>
      <c r="Z613" s="7"/>
      <c r="AA613" s="7"/>
      <c r="AB613" s="6"/>
    </row>
    <row r="614" spans="2:28" ht="30" hidden="1" customHeight="1">
      <c r="B614" s="35">
        <f>IF(MONTH(F613)&lt;&gt;MONTH(TableauCB[[#This Row],[Date d''éxigibilité]]),(TableauCB[[#This Row],[Date d''éxigibilité]]),"")</f>
        <v>42373</v>
      </c>
      <c r="C614" s="11" t="s">
        <v>33</v>
      </c>
      <c r="D614" s="11" t="s">
        <v>22</v>
      </c>
      <c r="E614" s="11" t="s">
        <v>21</v>
      </c>
      <c r="F614" s="34">
        <v>42373</v>
      </c>
      <c r="G614"/>
      <c r="H614"/>
      <c r="I614" s="32"/>
      <c r="J614"/>
      <c r="K614" s="32"/>
      <c r="L614" s="30">
        <v>8.57</v>
      </c>
      <c r="M614" s="29"/>
      <c r="N614" s="28">
        <f>IF(OR(TableauCB[[#This Row],[Etat]]="",TableauCB[[#This Row],[Etat]]="c"),IF(TableauCB[[#This Row],[Solde]]="","",N613),N613-TableauCB[[#This Row],[Débit]]+TableauCB[[#This Row],[Crédit]])</f>
        <v>5169.9160000000102</v>
      </c>
      <c r="O614" s="27">
        <f>IF(TableauCB[[#This Row],[Etat]]&lt;&gt;"",O613-TableauCB[[#This Row],[Débit]]+TableauCB[[#This Row],[Crédit]],O613-TableauCB[[#This Row],[Débit]])</f>
        <v>5049.92</v>
      </c>
      <c r="P614" s="27">
        <f>IF(AND(ISBLANK(TableauCB[[#This Row],[Débit]]),ISBLANK(TableauCB[[#This Row],[Crédit]])),"",P613+TableauCB[[#This Row],[Crédit]]-TableauCB[[#This Row],[Débit]])</f>
        <v>4203.9160000000084</v>
      </c>
      <c r="Q614" s="26"/>
      <c r="V614" s="9"/>
      <c r="W614" s="2"/>
      <c r="X614" s="9"/>
      <c r="Y614" s="8"/>
      <c r="Z614" s="7"/>
      <c r="AA614" s="7"/>
      <c r="AB614" s="6"/>
    </row>
    <row r="615" spans="2:28" ht="30" hidden="1" customHeight="1">
      <c r="B615" s="35" t="str">
        <f>IF(MONTH(F614)&lt;&gt;MONTH(TableauCB[[#This Row],[Date d''éxigibilité]]),(TableauCB[[#This Row],[Date d''éxigibilité]]),"")</f>
        <v/>
      </c>
      <c r="C615" s="11" t="s">
        <v>33</v>
      </c>
      <c r="D615" s="11" t="s">
        <v>30</v>
      </c>
      <c r="E615" s="11" t="s">
        <v>41</v>
      </c>
      <c r="F615" s="34">
        <v>42376</v>
      </c>
      <c r="G615"/>
      <c r="H615"/>
      <c r="I615" s="32"/>
      <c r="J615"/>
      <c r="K615" s="32"/>
      <c r="L615" s="30">
        <v>11.97</v>
      </c>
      <c r="M615" s="29"/>
      <c r="N615" s="28">
        <f>IF(OR(TableauCB[[#This Row],[Etat]]="",TableauCB[[#This Row],[Etat]]="c"),IF(TableauCB[[#This Row],[Solde]]="","",N614),N614-TableauCB[[#This Row],[Débit]]+TableauCB[[#This Row],[Crédit]])</f>
        <v>5157.9460000000099</v>
      </c>
      <c r="O615" s="27">
        <f>IF(TableauCB[[#This Row],[Etat]]&lt;&gt;"",O614-TableauCB[[#This Row],[Débit]]+TableauCB[[#This Row],[Crédit]],O614-TableauCB[[#This Row],[Débit]])</f>
        <v>5037.95</v>
      </c>
      <c r="P615" s="27">
        <f>IF(AND(ISBLANK(TableauCB[[#This Row],[Débit]]),ISBLANK(TableauCB[[#This Row],[Crédit]])),"",P614+TableauCB[[#This Row],[Crédit]]-TableauCB[[#This Row],[Débit]])</f>
        <v>4191.9460000000081</v>
      </c>
      <c r="Q615" s="26"/>
      <c r="T615" s="24"/>
      <c r="U615" s="24"/>
      <c r="V615" s="9"/>
      <c r="W615" s="2"/>
      <c r="X615" s="9"/>
      <c r="Y615" s="8"/>
      <c r="Z615" s="7"/>
      <c r="AA615" s="7"/>
      <c r="AB615" s="6"/>
    </row>
    <row r="616" spans="2:28" ht="30" hidden="1" customHeight="1">
      <c r="B616" s="35" t="str">
        <f>IF(MONTH(F615)&lt;&gt;MONTH(TableauCB[[#This Row],[Date d''éxigibilité]]),(TableauCB[[#This Row],[Date d''éxigibilité]]),"")</f>
        <v/>
      </c>
      <c r="C616" s="11" t="s">
        <v>33</v>
      </c>
      <c r="D616" s="11" t="s">
        <v>15</v>
      </c>
      <c r="E616" s="11" t="s">
        <v>42</v>
      </c>
      <c r="F616" s="34">
        <v>42376</v>
      </c>
      <c r="G616"/>
      <c r="H616"/>
      <c r="I616" s="32">
        <v>42412</v>
      </c>
      <c r="J616"/>
      <c r="K616" s="32">
        <v>42412</v>
      </c>
      <c r="L616" s="30">
        <v>204</v>
      </c>
      <c r="M616" s="29"/>
      <c r="N616" s="28">
        <f>IF(OR(TableauCB[[#This Row],[Etat]]="",TableauCB[[#This Row],[Etat]]="c"),IF(TableauCB[[#This Row],[Solde]]="","",N615),N615-TableauCB[[#This Row],[Débit]]+TableauCB[[#This Row],[Crédit]])</f>
        <v>4953.9460000000099</v>
      </c>
      <c r="O616" s="27">
        <f>IF(TableauCB[[#This Row],[Etat]]&lt;&gt;"",O615-TableauCB[[#This Row],[Débit]]+TableauCB[[#This Row],[Crédit]],O615-TableauCB[[#This Row],[Débit]])</f>
        <v>4833.95</v>
      </c>
      <c r="P616" s="27">
        <f>IF(AND(ISBLANK(TableauCB[[#This Row],[Débit]]),ISBLANK(TableauCB[[#This Row],[Crédit]])),"",P615+TableauCB[[#This Row],[Crédit]]-TableauCB[[#This Row],[Débit]])</f>
        <v>3987.9460000000081</v>
      </c>
      <c r="Q616" s="26"/>
      <c r="T616" s="24"/>
      <c r="U616" s="24"/>
      <c r="V616" s="9"/>
      <c r="W616" s="2"/>
      <c r="X616" s="9"/>
      <c r="Y616" s="8"/>
      <c r="Z616" s="7"/>
      <c r="AA616" s="7"/>
      <c r="AB616" s="6"/>
    </row>
    <row r="617" spans="2:28" ht="30" hidden="1" customHeight="1">
      <c r="B617" s="35" t="str">
        <f>IF(MONTH(F616)&lt;&gt;MONTH(TableauCB[[#This Row],[Date d''éxigibilité]]),(TableauCB[[#This Row],[Date d''éxigibilité]]),"")</f>
        <v/>
      </c>
      <c r="C617" s="11" t="s">
        <v>33</v>
      </c>
      <c r="D617" s="11" t="s">
        <v>5</v>
      </c>
      <c r="E617" s="11" t="s">
        <v>7</v>
      </c>
      <c r="F617" s="34">
        <v>42377</v>
      </c>
      <c r="G617"/>
      <c r="H617"/>
      <c r="I617" s="32"/>
      <c r="J617"/>
      <c r="K617" s="32"/>
      <c r="L617" s="30">
        <v>300</v>
      </c>
      <c r="M617" s="29"/>
      <c r="N617" s="28">
        <f>IF(OR(TableauCB[[#This Row],[Etat]]="",TableauCB[[#This Row],[Etat]]="c"),IF(TableauCB[[#This Row],[Solde]]="","",N616),N616-TableauCB[[#This Row],[Débit]]+TableauCB[[#This Row],[Crédit]])</f>
        <v>4653.9460000000099</v>
      </c>
      <c r="O617" s="27">
        <f>IF(TableauCB[[#This Row],[Etat]]&lt;&gt;"",O616-TableauCB[[#This Row],[Débit]]+TableauCB[[#This Row],[Crédit]],O616-TableauCB[[#This Row],[Débit]])</f>
        <v>4533.95</v>
      </c>
      <c r="P617" s="27">
        <f>IF(AND(ISBLANK(TableauCB[[#This Row],[Débit]]),ISBLANK(TableauCB[[#This Row],[Crédit]])),"",P616+TableauCB[[#This Row],[Crédit]]-TableauCB[[#This Row],[Débit]])</f>
        <v>3687.9460000000081</v>
      </c>
      <c r="Q617" s="26"/>
      <c r="T617" s="24"/>
      <c r="U617" s="24"/>
      <c r="V617" s="9"/>
      <c r="W617" s="2"/>
      <c r="X617" s="9"/>
      <c r="Y617" s="8"/>
      <c r="Z617" s="7"/>
      <c r="AA617" s="7"/>
      <c r="AB617" s="6"/>
    </row>
    <row r="618" spans="2:28" ht="30" hidden="1" customHeight="1">
      <c r="B618" s="35" t="str">
        <f>IF(MONTH(F617)&lt;&gt;MONTH(TableauCB[[#This Row],[Date d''éxigibilité]]),(TableauCB[[#This Row],[Date d''éxigibilité]]),"")</f>
        <v/>
      </c>
      <c r="C618" s="11" t="s">
        <v>33</v>
      </c>
      <c r="D618" s="11" t="s">
        <v>22</v>
      </c>
      <c r="E618" s="11" t="s">
        <v>21</v>
      </c>
      <c r="F618" s="34">
        <v>42378</v>
      </c>
      <c r="G618"/>
      <c r="H618"/>
      <c r="I618" s="32"/>
      <c r="J618"/>
      <c r="K618" s="32"/>
      <c r="L618" s="30">
        <v>22.2</v>
      </c>
      <c r="M618" s="29"/>
      <c r="N618" s="28">
        <f>IF(OR(TableauCB[[#This Row],[Etat]]="",TableauCB[[#This Row],[Etat]]="c"),IF(TableauCB[[#This Row],[Solde]]="","",N617),N617-TableauCB[[#This Row],[Débit]]+TableauCB[[#This Row],[Crédit]])</f>
        <v>4631.7460000000101</v>
      </c>
      <c r="O618" s="27">
        <f>IF(TableauCB[[#This Row],[Etat]]&lt;&gt;"",O617-TableauCB[[#This Row],[Débit]]+TableauCB[[#This Row],[Crédit]],O617-TableauCB[[#This Row],[Débit]])</f>
        <v>4511.75</v>
      </c>
      <c r="P618" s="27">
        <f>IF(AND(ISBLANK(TableauCB[[#This Row],[Débit]]),ISBLANK(TableauCB[[#This Row],[Crédit]])),"",P617+TableauCB[[#This Row],[Crédit]]-TableauCB[[#This Row],[Débit]])</f>
        <v>3665.7460000000083</v>
      </c>
      <c r="Q618" s="26"/>
      <c r="T618" s="24"/>
      <c r="U618" s="24"/>
      <c r="V618" s="9"/>
      <c r="W618" s="2"/>
      <c r="X618" s="9"/>
      <c r="Y618" s="8"/>
      <c r="Z618" s="7"/>
      <c r="AA618" s="7"/>
      <c r="AB618" s="6"/>
    </row>
    <row r="619" spans="2:28" ht="30" hidden="1" customHeight="1">
      <c r="B619" s="35" t="str">
        <f>IF(MONTH(F618)&lt;&gt;MONTH(TableauCB[[#This Row],[Date d''éxigibilité]]),(TableauCB[[#This Row],[Date d''éxigibilité]]),"")</f>
        <v/>
      </c>
      <c r="C619" s="11" t="s">
        <v>33</v>
      </c>
      <c r="D619" s="11" t="s">
        <v>15</v>
      </c>
      <c r="E619" s="11" t="s">
        <v>25</v>
      </c>
      <c r="F619" s="34">
        <v>42381</v>
      </c>
      <c r="G619"/>
      <c r="H619"/>
      <c r="I619" s="32"/>
      <c r="J619"/>
      <c r="K619" s="32"/>
      <c r="L619" s="30">
        <v>1384</v>
      </c>
      <c r="M619" s="29"/>
      <c r="N619" s="28">
        <f>IF(OR(TableauCB[[#This Row],[Etat]]="",TableauCB[[#This Row],[Etat]]="c"),IF(TableauCB[[#This Row],[Solde]]="","",N618),N618-TableauCB[[#This Row],[Débit]]+TableauCB[[#This Row],[Crédit]])</f>
        <v>3247.7460000000101</v>
      </c>
      <c r="O619" s="27">
        <f>IF(TableauCB[[#This Row],[Etat]]&lt;&gt;"",O618-TableauCB[[#This Row],[Débit]]+TableauCB[[#This Row],[Crédit]],O618-TableauCB[[#This Row],[Débit]])</f>
        <v>3127.75</v>
      </c>
      <c r="P619" s="27">
        <f>IF(AND(ISBLANK(TableauCB[[#This Row],[Débit]]),ISBLANK(TableauCB[[#This Row],[Crédit]])),"",P618+TableauCB[[#This Row],[Crédit]]-TableauCB[[#This Row],[Débit]])</f>
        <v>2281.7460000000083</v>
      </c>
      <c r="Q619" s="26"/>
      <c r="T619" s="24"/>
      <c r="U619" s="24"/>
      <c r="V619" s="9"/>
      <c r="W619" s="2"/>
      <c r="X619" s="9"/>
      <c r="Y619" s="8"/>
      <c r="Z619" s="7"/>
      <c r="AA619" s="7"/>
      <c r="AB619" s="6"/>
    </row>
    <row r="620" spans="2:28" ht="30" hidden="1" customHeight="1">
      <c r="B620" s="35" t="str">
        <f>IF(MONTH(F619)&lt;&gt;MONTH(TableauCB[[#This Row],[Date d''éxigibilité]]),(TableauCB[[#This Row],[Date d''éxigibilité]]),"")</f>
        <v/>
      </c>
      <c r="C620" s="11" t="s">
        <v>33</v>
      </c>
      <c r="D620" s="11" t="s">
        <v>15</v>
      </c>
      <c r="E620" s="11" t="s">
        <v>19</v>
      </c>
      <c r="F620" s="34">
        <v>42384</v>
      </c>
      <c r="G620"/>
      <c r="H620"/>
      <c r="I620" s="32"/>
      <c r="J620"/>
      <c r="K620" s="32"/>
      <c r="L620" s="30">
        <v>39</v>
      </c>
      <c r="M620" s="29"/>
      <c r="N620" s="28">
        <f>IF(OR(TableauCB[[#This Row],[Etat]]="",TableauCB[[#This Row],[Etat]]="c"),IF(TableauCB[[#This Row],[Solde]]="","",N619),N619-TableauCB[[#This Row],[Débit]]+TableauCB[[#This Row],[Crédit]])</f>
        <v>3208.7460000000101</v>
      </c>
      <c r="O620" s="27">
        <f>IF(TableauCB[[#This Row],[Etat]]&lt;&gt;"",O619-TableauCB[[#This Row],[Débit]]+TableauCB[[#This Row],[Crédit]],O619-TableauCB[[#This Row],[Débit]])</f>
        <v>3088.75</v>
      </c>
      <c r="P620" s="27">
        <f>IF(AND(ISBLANK(TableauCB[[#This Row],[Débit]]),ISBLANK(TableauCB[[#This Row],[Crédit]])),"",P619+TableauCB[[#This Row],[Crédit]]-TableauCB[[#This Row],[Débit]])</f>
        <v>2242.7460000000083</v>
      </c>
      <c r="Q620" s="26"/>
      <c r="T620" s="24"/>
      <c r="U620" s="24"/>
      <c r="V620" s="9"/>
      <c r="W620" s="2"/>
      <c r="X620" s="9"/>
      <c r="Y620" s="8"/>
      <c r="Z620" s="7"/>
      <c r="AA620" s="7"/>
      <c r="AB620" s="6"/>
    </row>
    <row r="621" spans="2:28" ht="30" hidden="1" customHeight="1">
      <c r="B621" s="35" t="str">
        <f>IF(MONTH(F620)&lt;&gt;MONTH(TableauCB[[#This Row],[Date d''éxigibilité]]),(TableauCB[[#This Row],[Date d''éxigibilité]]),"")</f>
        <v/>
      </c>
      <c r="C621" s="11" t="s">
        <v>33</v>
      </c>
      <c r="D621" s="11" t="s">
        <v>22</v>
      </c>
      <c r="E621" s="11" t="s">
        <v>17</v>
      </c>
      <c r="F621" s="34">
        <v>42390</v>
      </c>
      <c r="G621"/>
      <c r="H621"/>
      <c r="I621" s="32"/>
      <c r="J621"/>
      <c r="K621" s="32"/>
      <c r="L621" s="30">
        <v>41.4</v>
      </c>
      <c r="M621" s="29"/>
      <c r="N621" s="28">
        <f>IF(OR(TableauCB[[#This Row],[Etat]]="",TableauCB[[#This Row],[Etat]]="c"),IF(TableauCB[[#This Row],[Solde]]="","",N620),N620-TableauCB[[#This Row],[Débit]]+TableauCB[[#This Row],[Crédit]])</f>
        <v>3167.34600000001</v>
      </c>
      <c r="O621" s="27">
        <f>IF(TableauCB[[#This Row],[Etat]]&lt;&gt;"",O620-TableauCB[[#This Row],[Débit]]+TableauCB[[#This Row],[Crédit]],O620-TableauCB[[#This Row],[Débit]])</f>
        <v>3047.35</v>
      </c>
      <c r="P621" s="27">
        <f>IF(AND(ISBLANK(TableauCB[[#This Row],[Débit]]),ISBLANK(TableauCB[[#This Row],[Crédit]])),"",P620+TableauCB[[#This Row],[Crédit]]-TableauCB[[#This Row],[Débit]])</f>
        <v>2201.3460000000082</v>
      </c>
      <c r="Q621" s="26"/>
      <c r="T621" s="24"/>
      <c r="U621" s="24"/>
      <c r="V621" s="9"/>
      <c r="W621" s="2"/>
      <c r="X621" s="9"/>
      <c r="Y621" s="8"/>
      <c r="Z621" s="7"/>
      <c r="AA621" s="7"/>
      <c r="AB621" s="6"/>
    </row>
    <row r="622" spans="2:28" ht="30" hidden="1" customHeight="1">
      <c r="B622" s="35" t="str">
        <f>IF(MONTH(F621)&lt;&gt;MONTH(TableauCB[[#This Row],[Date d''éxigibilité]]),(TableauCB[[#This Row],[Date d''éxigibilité]]),"")</f>
        <v/>
      </c>
      <c r="C622" s="11" t="s">
        <v>33</v>
      </c>
      <c r="D622" s="11" t="s">
        <v>30</v>
      </c>
      <c r="E622" s="11" t="s">
        <v>41</v>
      </c>
      <c r="F622" s="34">
        <v>42391</v>
      </c>
      <c r="G622"/>
      <c r="H622"/>
      <c r="I622" s="32"/>
      <c r="J622"/>
      <c r="K622" s="32"/>
      <c r="L622" s="30">
        <v>49.61</v>
      </c>
      <c r="M622" s="29"/>
      <c r="N622" s="28">
        <f>IF(OR(TableauCB[[#This Row],[Etat]]="",TableauCB[[#This Row],[Etat]]="c"),IF(TableauCB[[#This Row],[Solde]]="","",N621),N621-TableauCB[[#This Row],[Débit]]+TableauCB[[#This Row],[Crédit]])</f>
        <v>3117.7360000000099</v>
      </c>
      <c r="O622" s="27">
        <f>IF(TableauCB[[#This Row],[Etat]]&lt;&gt;"",O621-TableauCB[[#This Row],[Débit]]+TableauCB[[#This Row],[Crédit]],O621-TableauCB[[#This Row],[Débit]])</f>
        <v>2997.74</v>
      </c>
      <c r="P622" s="27">
        <f>IF(AND(ISBLANK(TableauCB[[#This Row],[Débit]]),ISBLANK(TableauCB[[#This Row],[Crédit]])),"",P621+TableauCB[[#This Row],[Crédit]]-TableauCB[[#This Row],[Débit]])</f>
        <v>2151.7360000000081</v>
      </c>
      <c r="Q622" s="26"/>
      <c r="T622" s="24"/>
      <c r="U622" s="24"/>
      <c r="V622" s="9"/>
      <c r="W622" s="2"/>
      <c r="X622" s="9"/>
      <c r="Y622" s="8"/>
      <c r="Z622" s="7"/>
      <c r="AA622" s="7"/>
      <c r="AB622" s="6"/>
    </row>
    <row r="623" spans="2:28" ht="30" hidden="1" customHeight="1">
      <c r="B623" s="35" t="str">
        <f>IF(MONTH(F622)&lt;&gt;MONTH(TableauCB[[#This Row],[Date d''éxigibilité]]),(TableauCB[[#This Row],[Date d''éxigibilité]]),"")</f>
        <v/>
      </c>
      <c r="C623" s="11" t="s">
        <v>33</v>
      </c>
      <c r="D623" s="11" t="s">
        <v>22</v>
      </c>
      <c r="E623" s="11" t="s">
        <v>17</v>
      </c>
      <c r="F623" s="34">
        <v>42395</v>
      </c>
      <c r="G623"/>
      <c r="H623"/>
      <c r="I623" s="32"/>
      <c r="J623"/>
      <c r="K623" s="32"/>
      <c r="L623" s="30">
        <v>3.59</v>
      </c>
      <c r="M623" s="29"/>
      <c r="N623" s="28">
        <f>IF(OR(TableauCB[[#This Row],[Etat]]="",TableauCB[[#This Row],[Etat]]="c"),IF(TableauCB[[#This Row],[Solde]]="","",N622),N622-TableauCB[[#This Row],[Débit]]+TableauCB[[#This Row],[Crédit]])</f>
        <v>3114.1460000000097</v>
      </c>
      <c r="O623" s="27">
        <f>IF(TableauCB[[#This Row],[Etat]]&lt;&gt;"",O622-TableauCB[[#This Row],[Débit]]+TableauCB[[#This Row],[Crédit]],O622-TableauCB[[#This Row],[Débit]])</f>
        <v>2994.1499999999996</v>
      </c>
      <c r="P623" s="27">
        <f>IF(AND(ISBLANK(TableauCB[[#This Row],[Débit]]),ISBLANK(TableauCB[[#This Row],[Crédit]])),"",P622+TableauCB[[#This Row],[Crédit]]-TableauCB[[#This Row],[Débit]])</f>
        <v>2148.1460000000079</v>
      </c>
      <c r="Q623" s="26"/>
      <c r="T623" s="24"/>
      <c r="U623" s="24"/>
      <c r="V623" s="9"/>
      <c r="W623" s="2"/>
      <c r="X623" s="9"/>
      <c r="Y623" s="8"/>
      <c r="Z623" s="7"/>
      <c r="AA623" s="7"/>
      <c r="AB623" s="6"/>
    </row>
    <row r="624" spans="2:28" ht="30" hidden="1" customHeight="1">
      <c r="B624" s="35" t="str">
        <f>IF(MONTH(F623)&lt;&gt;MONTH(TableauCB[[#This Row],[Date d''éxigibilité]]),(TableauCB[[#This Row],[Date d''éxigibilité]]),"")</f>
        <v/>
      </c>
      <c r="C624" s="11" t="s">
        <v>33</v>
      </c>
      <c r="D624" s="11" t="s">
        <v>22</v>
      </c>
      <c r="E624" s="11" t="s">
        <v>17</v>
      </c>
      <c r="F624" s="34">
        <v>42397</v>
      </c>
      <c r="G624"/>
      <c r="H624"/>
      <c r="I624" s="32"/>
      <c r="J624"/>
      <c r="K624" s="32"/>
      <c r="L624" s="30">
        <v>17.78</v>
      </c>
      <c r="M624" s="29"/>
      <c r="N624" s="28">
        <f>IF(OR(TableauCB[[#This Row],[Etat]]="",TableauCB[[#This Row],[Etat]]="c"),IF(TableauCB[[#This Row],[Solde]]="","",N623),N623-TableauCB[[#This Row],[Débit]]+TableauCB[[#This Row],[Crédit]])</f>
        <v>3096.3660000000095</v>
      </c>
      <c r="O624" s="27">
        <f>IF(TableauCB[[#This Row],[Etat]]&lt;&gt;"",O623-TableauCB[[#This Row],[Débit]]+TableauCB[[#This Row],[Crédit]],O623-TableauCB[[#This Row],[Débit]])</f>
        <v>2976.3699999999994</v>
      </c>
      <c r="P624" s="27">
        <f>IF(AND(ISBLANK(TableauCB[[#This Row],[Débit]]),ISBLANK(TableauCB[[#This Row],[Crédit]])),"",P623+TableauCB[[#This Row],[Crédit]]-TableauCB[[#This Row],[Débit]])</f>
        <v>2130.3660000000077</v>
      </c>
      <c r="Q624" s="26"/>
      <c r="T624" s="24"/>
      <c r="U624" s="24"/>
      <c r="V624" s="9"/>
      <c r="W624" s="2"/>
      <c r="X624" s="9"/>
      <c r="Y624" s="8"/>
      <c r="Z624" s="7"/>
      <c r="AA624" s="7"/>
      <c r="AB624" s="6"/>
    </row>
    <row r="625" spans="2:28" ht="30" hidden="1" customHeight="1">
      <c r="B625" s="35" t="str">
        <f>IF(MONTH(F624)&lt;&gt;MONTH(TableauCB[[#This Row],[Date d''éxigibilité]]),(TableauCB[[#This Row],[Date d''éxigibilité]]),"")</f>
        <v/>
      </c>
      <c r="C625" s="11" t="s">
        <v>33</v>
      </c>
      <c r="D625" s="11" t="s">
        <v>11</v>
      </c>
      <c r="E625" s="11" t="s">
        <v>10</v>
      </c>
      <c r="F625" s="34">
        <v>42399</v>
      </c>
      <c r="G625"/>
      <c r="H625"/>
      <c r="I625" s="32">
        <v>42430</v>
      </c>
      <c r="J625"/>
      <c r="K625" s="32">
        <v>42430</v>
      </c>
      <c r="L625" s="30"/>
      <c r="M625" s="29">
        <v>108</v>
      </c>
      <c r="N625" s="28">
        <f>IF(OR(TableauCB[[#This Row],[Etat]]="",TableauCB[[#This Row],[Etat]]="c"),IF(TableauCB[[#This Row],[Solde]]="","",N624),N624-TableauCB[[#This Row],[Débit]]+TableauCB[[#This Row],[Crédit]])</f>
        <v>3204.3660000000095</v>
      </c>
      <c r="O625" s="27">
        <f>IF(TableauCB[[#This Row],[Etat]]&lt;&gt;"",O624-TableauCB[[#This Row],[Débit]]+TableauCB[[#This Row],[Crédit]],O624-TableauCB[[#This Row],[Débit]])</f>
        <v>3084.3699999999994</v>
      </c>
      <c r="P625" s="27">
        <f>IF(AND(ISBLANK(TableauCB[[#This Row],[Débit]]),ISBLANK(TableauCB[[#This Row],[Crédit]])),"",P624+TableauCB[[#This Row],[Crédit]]-TableauCB[[#This Row],[Débit]])</f>
        <v>2238.3660000000077</v>
      </c>
      <c r="Q625" s="26"/>
      <c r="T625" s="24"/>
      <c r="U625" s="24"/>
      <c r="V625" s="9"/>
      <c r="W625" s="2"/>
      <c r="X625" s="9"/>
      <c r="Y625" s="8"/>
      <c r="Z625" s="7"/>
      <c r="AA625" s="7"/>
      <c r="AB625" s="6"/>
    </row>
    <row r="626" spans="2:28" ht="30" hidden="1" customHeight="1">
      <c r="B626" s="35" t="str">
        <f>IF(MONTH(F625)&lt;&gt;MONTH(TableauCB[[#This Row],[Date d''éxigibilité]]),(TableauCB[[#This Row],[Date d''éxigibilité]]),"")</f>
        <v/>
      </c>
      <c r="C626" s="11" t="s">
        <v>33</v>
      </c>
      <c r="D626" s="11" t="s">
        <v>11</v>
      </c>
      <c r="E626" s="11" t="s">
        <v>10</v>
      </c>
      <c r="F626" s="34">
        <v>42399</v>
      </c>
      <c r="G626"/>
      <c r="H626"/>
      <c r="I626" s="32">
        <v>42481</v>
      </c>
      <c r="J626"/>
      <c r="K626" s="32">
        <v>42481</v>
      </c>
      <c r="L626" s="30"/>
      <c r="M626" s="29">
        <v>198</v>
      </c>
      <c r="N626" s="28">
        <f>IF(OR(TableauCB[[#This Row],[Etat]]="",TableauCB[[#This Row],[Etat]]="c"),IF(TableauCB[[#This Row],[Solde]]="","",N625),N625-TableauCB[[#This Row],[Débit]]+TableauCB[[#This Row],[Crédit]])</f>
        <v>3402.3660000000095</v>
      </c>
      <c r="O626" s="27">
        <f>IF(TableauCB[[#This Row],[Etat]]&lt;&gt;"",O625-TableauCB[[#This Row],[Débit]]+TableauCB[[#This Row],[Crédit]],O625-TableauCB[[#This Row],[Débit]])</f>
        <v>3282.3699999999994</v>
      </c>
      <c r="P626" s="27">
        <f>IF(AND(ISBLANK(TableauCB[[#This Row],[Débit]]),ISBLANK(TableauCB[[#This Row],[Crédit]])),"",P625+TableauCB[[#This Row],[Crédit]]-TableauCB[[#This Row],[Débit]])</f>
        <v>2436.3660000000077</v>
      </c>
      <c r="Q626" s="26"/>
      <c r="T626" s="24"/>
      <c r="U626" s="24"/>
      <c r="V626" s="9"/>
      <c r="W626" s="2"/>
      <c r="X626" s="9"/>
      <c r="Y626" s="8"/>
      <c r="Z626" s="7"/>
      <c r="AA626" s="7"/>
      <c r="AB626" s="6"/>
    </row>
    <row r="627" spans="2:28" ht="30" hidden="1" customHeight="1">
      <c r="B627" s="35" t="str">
        <f>IF(MONTH(F626)&lt;&gt;MONTH(TableauCB[[#This Row],[Date d''éxigibilité]]),(TableauCB[[#This Row],[Date d''éxigibilité]]),"")</f>
        <v/>
      </c>
      <c r="C627" s="11" t="s">
        <v>33</v>
      </c>
      <c r="D627" s="11" t="s">
        <v>11</v>
      </c>
      <c r="E627" s="11" t="s">
        <v>10</v>
      </c>
      <c r="F627" s="34">
        <v>42399</v>
      </c>
      <c r="G627"/>
      <c r="H627"/>
      <c r="I627" s="32">
        <v>42473</v>
      </c>
      <c r="J627"/>
      <c r="K627" s="32">
        <v>42473</v>
      </c>
      <c r="L627" s="30"/>
      <c r="M627" s="29">
        <f>151.8</f>
        <v>151.80000000000001</v>
      </c>
      <c r="N627" s="28">
        <f>IF(OR(TableauCB[[#This Row],[Etat]]="",TableauCB[[#This Row],[Etat]]="c"),IF(TableauCB[[#This Row],[Solde]]="","",N626),N626-TableauCB[[#This Row],[Débit]]+TableauCB[[#This Row],[Crédit]])</f>
        <v>3554.1660000000097</v>
      </c>
      <c r="O627" s="27">
        <f>IF(TableauCB[[#This Row],[Etat]]&lt;&gt;"",O626-TableauCB[[#This Row],[Débit]]+TableauCB[[#This Row],[Crédit]],O626-TableauCB[[#This Row],[Débit]])</f>
        <v>3434.1699999999996</v>
      </c>
      <c r="P627" s="27">
        <f>IF(AND(ISBLANK(TableauCB[[#This Row],[Débit]]),ISBLANK(TableauCB[[#This Row],[Crédit]])),"",P626+TableauCB[[#This Row],[Crédit]]-TableauCB[[#This Row],[Débit]])</f>
        <v>2588.1660000000079</v>
      </c>
      <c r="Q627" s="26"/>
      <c r="S627" s="41"/>
      <c r="T627" s="24"/>
      <c r="U627" s="24"/>
      <c r="V627" s="9"/>
      <c r="W627" s="2"/>
      <c r="X627" s="9"/>
      <c r="Y627" s="8"/>
      <c r="Z627" s="7"/>
      <c r="AA627" s="7"/>
      <c r="AB627" s="6"/>
    </row>
    <row r="628" spans="2:28" ht="30" hidden="1" customHeight="1">
      <c r="B628" s="35" t="str">
        <f>IF(MONTH(F627)&lt;&gt;MONTH(TableauCB[[#This Row],[Date d''éxigibilité]]),(TableauCB[[#This Row],[Date d''éxigibilité]]),"")</f>
        <v/>
      </c>
      <c r="C628" s="11" t="s">
        <v>33</v>
      </c>
      <c r="D628" s="11" t="s">
        <v>11</v>
      </c>
      <c r="E628" s="11" t="s">
        <v>12</v>
      </c>
      <c r="F628" s="34">
        <v>42399</v>
      </c>
      <c r="G628"/>
      <c r="H628"/>
      <c r="I628" s="32">
        <v>42460</v>
      </c>
      <c r="J628"/>
      <c r="K628" s="32">
        <v>42460</v>
      </c>
      <c r="L628" s="30"/>
      <c r="M628" s="29">
        <v>522</v>
      </c>
      <c r="N628" s="28">
        <f>IF(OR(TableauCB[[#This Row],[Etat]]="",TableauCB[[#This Row],[Etat]]="c"),IF(TableauCB[[#This Row],[Solde]]="","",N627),N627-TableauCB[[#This Row],[Débit]]+TableauCB[[#This Row],[Crédit]])</f>
        <v>4076.1660000000097</v>
      </c>
      <c r="O628" s="27">
        <f>IF(TableauCB[[#This Row],[Etat]]&lt;&gt;"",O627-TableauCB[[#This Row],[Débit]]+TableauCB[[#This Row],[Crédit]],O627-TableauCB[[#This Row],[Débit]])</f>
        <v>3956.1699999999996</v>
      </c>
      <c r="P628" s="27">
        <f>IF(AND(ISBLANK(TableauCB[[#This Row],[Débit]]),ISBLANK(TableauCB[[#This Row],[Crédit]])),"",P627+TableauCB[[#This Row],[Crédit]]-TableauCB[[#This Row],[Débit]])</f>
        <v>3110.1660000000079</v>
      </c>
      <c r="Q628" s="26"/>
      <c r="T628" s="24"/>
      <c r="U628" s="24"/>
      <c r="V628" s="9"/>
      <c r="W628" s="2"/>
      <c r="X628" s="9"/>
      <c r="Y628" s="8"/>
      <c r="Z628" s="7"/>
      <c r="AA628" s="7"/>
      <c r="AB628" s="6"/>
    </row>
    <row r="629" spans="2:28" ht="30" hidden="1" customHeight="1">
      <c r="B629" s="35" t="str">
        <f>IF(MONTH(F628)&lt;&gt;MONTH(TableauCB[[#This Row],[Date d''éxigibilité]]),(TableauCB[[#This Row],[Date d''éxigibilité]]),"")</f>
        <v/>
      </c>
      <c r="C629" s="11" t="s">
        <v>33</v>
      </c>
      <c r="D629" s="11" t="s">
        <v>11</v>
      </c>
      <c r="E629" s="11" t="s">
        <v>10</v>
      </c>
      <c r="F629" s="34">
        <v>42399</v>
      </c>
      <c r="G629"/>
      <c r="H629"/>
      <c r="I629" s="32">
        <v>42432</v>
      </c>
      <c r="J629"/>
      <c r="K629" s="32">
        <v>42432</v>
      </c>
      <c r="L629" s="30"/>
      <c r="M629" s="29">
        <v>192</v>
      </c>
      <c r="N629" s="28">
        <f>IF(OR(TableauCB[[#This Row],[Etat]]="",TableauCB[[#This Row],[Etat]]="c"),IF(TableauCB[[#This Row],[Solde]]="","",N628),N628-TableauCB[[#This Row],[Débit]]+TableauCB[[#This Row],[Crédit]])</f>
        <v>4268.1660000000102</v>
      </c>
      <c r="O629" s="27">
        <f>IF(TableauCB[[#This Row],[Etat]]&lt;&gt;"",O628-TableauCB[[#This Row],[Débit]]+TableauCB[[#This Row],[Crédit]],O628-TableauCB[[#This Row],[Débit]])</f>
        <v>4148.17</v>
      </c>
      <c r="P629" s="27">
        <f>IF(AND(ISBLANK(TableauCB[[#This Row],[Débit]]),ISBLANK(TableauCB[[#This Row],[Crédit]])),"",P628+TableauCB[[#This Row],[Crédit]]-TableauCB[[#This Row],[Débit]])</f>
        <v>3302.1660000000079</v>
      </c>
      <c r="Q629" s="26"/>
      <c r="T629" s="24"/>
      <c r="U629" s="24"/>
      <c r="V629" s="9"/>
      <c r="W629" s="2"/>
      <c r="X629" s="9"/>
      <c r="Y629" s="8"/>
      <c r="Z629" s="7"/>
      <c r="AA629" s="7"/>
      <c r="AB629" s="6"/>
    </row>
    <row r="630" spans="2:28" ht="30" hidden="1" customHeight="1">
      <c r="B630" s="35" t="str">
        <f>IF(MONTH(F629)&lt;&gt;MONTH(TableauCB[[#This Row],[Date d''éxigibilité]]),(TableauCB[[#This Row],[Date d''éxigibilité]]),"")</f>
        <v/>
      </c>
      <c r="C630" s="11" t="s">
        <v>33</v>
      </c>
      <c r="D630" s="11" t="s">
        <v>11</v>
      </c>
      <c r="E630" s="11" t="s">
        <v>10</v>
      </c>
      <c r="F630" s="34">
        <v>42399</v>
      </c>
      <c r="G630"/>
      <c r="H630"/>
      <c r="I630" s="32">
        <v>42432</v>
      </c>
      <c r="J630"/>
      <c r="K630" s="32">
        <v>42432</v>
      </c>
      <c r="L630" s="30"/>
      <c r="M630" s="29">
        <v>624</v>
      </c>
      <c r="N630" s="28">
        <f>IF(OR(TableauCB[[#This Row],[Etat]]="",TableauCB[[#This Row],[Etat]]="c"),IF(TableauCB[[#This Row],[Solde]]="","",N629),N629-TableauCB[[#This Row],[Débit]]+TableauCB[[#This Row],[Crédit]])</f>
        <v>4892.1660000000102</v>
      </c>
      <c r="O630" s="27">
        <f>IF(TableauCB[[#This Row],[Etat]]&lt;&gt;"",O629-TableauCB[[#This Row],[Débit]]+TableauCB[[#This Row],[Crédit]],O629-TableauCB[[#This Row],[Débit]])</f>
        <v>4772.17</v>
      </c>
      <c r="P630" s="27">
        <f>IF(AND(ISBLANK(TableauCB[[#This Row],[Débit]]),ISBLANK(TableauCB[[#This Row],[Crédit]])),"",P629+TableauCB[[#This Row],[Crédit]]-TableauCB[[#This Row],[Débit]])</f>
        <v>3926.1660000000079</v>
      </c>
      <c r="Q630" s="26"/>
      <c r="T630" s="24"/>
      <c r="U630" s="24"/>
      <c r="V630" s="9"/>
      <c r="W630" s="2"/>
      <c r="X630" s="9"/>
      <c r="Y630" s="8"/>
      <c r="Z630" s="7"/>
      <c r="AA630" s="7"/>
      <c r="AB630" s="6"/>
    </row>
    <row r="631" spans="2:28" ht="30" hidden="1" customHeight="1">
      <c r="B631" s="35" t="str">
        <f>IF(MONTH(F630)&lt;&gt;MONTH(TableauCB[[#This Row],[Date d''éxigibilité]]),(TableauCB[[#This Row],[Date d''éxigibilité]]),"")</f>
        <v/>
      </c>
      <c r="C631" s="11" t="s">
        <v>33</v>
      </c>
      <c r="D631" s="11" t="s">
        <v>11</v>
      </c>
      <c r="E631" s="11" t="s">
        <v>12</v>
      </c>
      <c r="F631" s="34">
        <v>42399</v>
      </c>
      <c r="G631"/>
      <c r="H631"/>
      <c r="I631" s="32">
        <v>42411</v>
      </c>
      <c r="J631"/>
      <c r="K631" s="32">
        <v>42411</v>
      </c>
      <c r="L631" s="30"/>
      <c r="M631" s="29">
        <v>115.2</v>
      </c>
      <c r="N631" s="28">
        <f>IF(OR(TableauCB[[#This Row],[Etat]]="",TableauCB[[#This Row],[Etat]]="c"),IF(TableauCB[[#This Row],[Solde]]="","",N630),N630-TableauCB[[#This Row],[Débit]]+TableauCB[[#This Row],[Crédit]])</f>
        <v>5007.36600000001</v>
      </c>
      <c r="O631" s="27">
        <f>IF(TableauCB[[#This Row],[Etat]]&lt;&gt;"",O630-TableauCB[[#This Row],[Débit]]+TableauCB[[#This Row],[Crédit]],O630-TableauCB[[#This Row],[Débit]])</f>
        <v>4887.37</v>
      </c>
      <c r="P631" s="27">
        <f>IF(AND(ISBLANK(TableauCB[[#This Row],[Débit]]),ISBLANK(TableauCB[[#This Row],[Crédit]])),"",P630+TableauCB[[#This Row],[Crédit]]-TableauCB[[#This Row],[Débit]])</f>
        <v>4041.3660000000077</v>
      </c>
      <c r="Q631" s="26"/>
      <c r="T631" s="24"/>
      <c r="U631" s="24"/>
      <c r="V631" s="9"/>
      <c r="W631" s="2"/>
      <c r="X631" s="9"/>
      <c r="Y631" s="8"/>
      <c r="Z631" s="7"/>
      <c r="AA631" s="7"/>
      <c r="AB631" s="6"/>
    </row>
    <row r="632" spans="2:28" ht="30" hidden="1" customHeight="1">
      <c r="B632" s="35" t="str">
        <f>IF(MONTH(F631)&lt;&gt;MONTH(TableauCB[[#This Row],[Date d''éxigibilité]]),(TableauCB[[#This Row],[Date d''éxigibilité]]),"")</f>
        <v/>
      </c>
      <c r="C632" s="11" t="s">
        <v>33</v>
      </c>
      <c r="D632" s="11" t="s">
        <v>11</v>
      </c>
      <c r="E632" s="11" t="s">
        <v>47</v>
      </c>
      <c r="F632" s="34">
        <v>42399</v>
      </c>
      <c r="G632"/>
      <c r="H632"/>
      <c r="I632" s="32">
        <v>42459</v>
      </c>
      <c r="J632"/>
      <c r="K632" s="32">
        <v>42459</v>
      </c>
      <c r="L632" s="30"/>
      <c r="M632" s="29">
        <v>92.4</v>
      </c>
      <c r="N632" s="28">
        <f>IF(OR(TableauCB[[#This Row],[Etat]]="",TableauCB[[#This Row],[Etat]]="c"),IF(TableauCB[[#This Row],[Solde]]="","",N631),N631-TableauCB[[#This Row],[Débit]]+TableauCB[[#This Row],[Crédit]])</f>
        <v>5099.7660000000096</v>
      </c>
      <c r="O632" s="27">
        <f>IF(TableauCB[[#This Row],[Etat]]&lt;&gt;"",O631-TableauCB[[#This Row],[Débit]]+TableauCB[[#This Row],[Crédit]],O631-TableauCB[[#This Row],[Débit]])</f>
        <v>4979.7699999999995</v>
      </c>
      <c r="P632" s="27">
        <f>IF(AND(ISBLANK(TableauCB[[#This Row],[Débit]]),ISBLANK(TableauCB[[#This Row],[Crédit]])),"",P631+TableauCB[[#This Row],[Crédit]]-TableauCB[[#This Row],[Débit]])</f>
        <v>4133.7660000000078</v>
      </c>
      <c r="Q632" s="26"/>
      <c r="T632" s="24"/>
      <c r="U632" s="24"/>
      <c r="V632" s="9"/>
      <c r="W632" s="2"/>
      <c r="X632" s="9"/>
      <c r="Y632" s="8"/>
      <c r="Z632" s="7"/>
      <c r="AA632" s="7"/>
      <c r="AB632" s="6"/>
    </row>
    <row r="633" spans="2:28" ht="30" hidden="1" customHeight="1">
      <c r="B633" s="35" t="str">
        <f>IF(MONTH(F632)&lt;&gt;MONTH(TableauCB[[#This Row],[Date d''éxigibilité]]),(TableauCB[[#This Row],[Date d''éxigibilité]]),"")</f>
        <v/>
      </c>
      <c r="C633" s="11" t="s">
        <v>33</v>
      </c>
      <c r="D633" s="11" t="s">
        <v>32</v>
      </c>
      <c r="E633" s="11" t="s">
        <v>10</v>
      </c>
      <c r="F633" s="34">
        <v>42399</v>
      </c>
      <c r="G633"/>
      <c r="H633"/>
      <c r="I633" s="32">
        <v>42411</v>
      </c>
      <c r="J633"/>
      <c r="K633" s="32">
        <v>42411</v>
      </c>
      <c r="L633" s="30"/>
      <c r="M633" s="29">
        <v>360</v>
      </c>
      <c r="N633" s="28">
        <f>IF(OR(TableauCB[[#This Row],[Etat]]="",TableauCB[[#This Row],[Etat]]="c"),IF(TableauCB[[#This Row],[Solde]]="","",N632),N632-TableauCB[[#This Row],[Débit]]+TableauCB[[#This Row],[Crédit]])</f>
        <v>5459.7660000000096</v>
      </c>
      <c r="O633" s="27">
        <f>IF(TableauCB[[#This Row],[Etat]]&lt;&gt;"",O632-TableauCB[[#This Row],[Débit]]+TableauCB[[#This Row],[Crédit]],O632-TableauCB[[#This Row],[Débit]])</f>
        <v>5339.7699999999995</v>
      </c>
      <c r="P633" s="27">
        <f>IF(AND(ISBLANK(TableauCB[[#This Row],[Débit]]),ISBLANK(TableauCB[[#This Row],[Crédit]])),"",P632+TableauCB[[#This Row],[Crédit]]-TableauCB[[#This Row],[Débit]])</f>
        <v>4493.7660000000078</v>
      </c>
      <c r="Q633" s="26"/>
      <c r="T633" s="24"/>
      <c r="U633" s="24"/>
      <c r="V633" s="9"/>
      <c r="W633" s="2"/>
      <c r="X633" s="9"/>
      <c r="Y633" s="8"/>
      <c r="Z633" s="7"/>
      <c r="AA633" s="7"/>
      <c r="AB633" s="6"/>
    </row>
    <row r="634" spans="2:28" ht="30" hidden="1" customHeight="1">
      <c r="B634" s="35" t="str">
        <f>IF(MONTH(F633)&lt;&gt;MONTH(TableauCB[[#This Row],[Date d''éxigibilité]]),(TableauCB[[#This Row],[Date d''éxigibilité]]),"")</f>
        <v/>
      </c>
      <c r="C634" s="11" t="s">
        <v>33</v>
      </c>
      <c r="D634" s="11" t="s">
        <v>11</v>
      </c>
      <c r="E634" s="11" t="s">
        <v>49</v>
      </c>
      <c r="F634" s="34">
        <v>42399</v>
      </c>
      <c r="G634"/>
      <c r="H634"/>
      <c r="I634" s="32">
        <v>42412</v>
      </c>
      <c r="J634"/>
      <c r="K634" s="32">
        <v>42412</v>
      </c>
      <c r="L634" s="30"/>
      <c r="M634" s="29">
        <v>92.4</v>
      </c>
      <c r="N634" s="28">
        <f>IF(OR(TableauCB[[#This Row],[Etat]]="",TableauCB[[#This Row],[Etat]]="c"),IF(TableauCB[[#This Row],[Solde]]="","",N633),N633-TableauCB[[#This Row],[Débit]]+TableauCB[[#This Row],[Crédit]])</f>
        <v>5552.1660000000093</v>
      </c>
      <c r="O634" s="27">
        <f>IF(TableauCB[[#This Row],[Etat]]&lt;&gt;"",O633-TableauCB[[#This Row],[Débit]]+TableauCB[[#This Row],[Crédit]],O633-TableauCB[[#This Row],[Débit]])</f>
        <v>5432.1699999999992</v>
      </c>
      <c r="P634" s="27">
        <f>IF(AND(ISBLANK(TableauCB[[#This Row],[Débit]]),ISBLANK(TableauCB[[#This Row],[Crédit]])),"",P633+TableauCB[[#This Row],[Crédit]]-TableauCB[[#This Row],[Débit]])</f>
        <v>4586.1660000000074</v>
      </c>
      <c r="Q634" s="26"/>
      <c r="T634" s="24"/>
      <c r="U634" s="24"/>
      <c r="V634" s="9"/>
      <c r="W634" s="2"/>
      <c r="X634" s="9"/>
      <c r="Y634" s="8"/>
      <c r="Z634" s="7"/>
      <c r="AA634" s="7"/>
      <c r="AB634" s="6"/>
    </row>
    <row r="635" spans="2:28" ht="30" hidden="1" customHeight="1">
      <c r="B635" s="35" t="str">
        <f>IF(MONTH(F634)&lt;&gt;MONTH(TableauCB[[#This Row],[Date d''éxigibilité]]),(TableauCB[[#This Row],[Date d''éxigibilité]]),"")</f>
        <v/>
      </c>
      <c r="C635" s="11" t="s">
        <v>33</v>
      </c>
      <c r="D635" s="11" t="s">
        <v>11</v>
      </c>
      <c r="E635" s="11" t="s">
        <v>10</v>
      </c>
      <c r="F635" s="34">
        <v>42399</v>
      </c>
      <c r="G635"/>
      <c r="H635"/>
      <c r="I635" s="32">
        <v>42431</v>
      </c>
      <c r="J635"/>
      <c r="K635" s="32">
        <v>42431</v>
      </c>
      <c r="L635" s="30"/>
      <c r="M635" s="29">
        <v>96</v>
      </c>
      <c r="N635" s="28">
        <f>IF(OR(TableauCB[[#This Row],[Etat]]="",TableauCB[[#This Row],[Etat]]="c"),IF(TableauCB[[#This Row],[Solde]]="","",N634),N634-TableauCB[[#This Row],[Débit]]+TableauCB[[#This Row],[Crédit]])</f>
        <v>5648.1660000000093</v>
      </c>
      <c r="O635" s="27">
        <f>IF(TableauCB[[#This Row],[Etat]]&lt;&gt;"",O634-TableauCB[[#This Row],[Débit]]+TableauCB[[#This Row],[Crédit]],O634-TableauCB[[#This Row],[Débit]])</f>
        <v>5528.1699999999992</v>
      </c>
      <c r="P635" s="27">
        <f>IF(AND(ISBLANK(TableauCB[[#This Row],[Débit]]),ISBLANK(TableauCB[[#This Row],[Crédit]])),"",P634+TableauCB[[#This Row],[Crédit]]-TableauCB[[#This Row],[Débit]])</f>
        <v>4682.1660000000074</v>
      </c>
      <c r="Q635" s="26"/>
      <c r="T635" s="24"/>
      <c r="U635" s="24"/>
      <c r="V635" s="9"/>
      <c r="W635" s="2"/>
      <c r="X635" s="9"/>
      <c r="Y635" s="8"/>
      <c r="Z635" s="7"/>
      <c r="AA635" s="7"/>
      <c r="AB635" s="6"/>
    </row>
    <row r="636" spans="2:28" ht="30" hidden="1" customHeight="1">
      <c r="B636" s="35" t="str">
        <f>IF(MONTH(F635)&lt;&gt;MONTH(TableauCB[[#This Row],[Date d''éxigibilité]]),(TableauCB[[#This Row],[Date d''éxigibilité]]),"")</f>
        <v/>
      </c>
      <c r="C636" s="11" t="s">
        <v>33</v>
      </c>
      <c r="D636" s="11" t="s">
        <v>5</v>
      </c>
      <c r="E636" s="11" t="s">
        <v>7</v>
      </c>
      <c r="F636" s="34">
        <v>42399</v>
      </c>
      <c r="G636"/>
      <c r="H636"/>
      <c r="I636" s="32"/>
      <c r="J636"/>
      <c r="K636" s="32"/>
      <c r="L636" s="30">
        <v>322.38</v>
      </c>
      <c r="M636" s="29"/>
      <c r="N636" s="28">
        <f>IF(OR(TableauCB[[#This Row],[Etat]]="",TableauCB[[#This Row],[Etat]]="c"),IF(TableauCB[[#This Row],[Solde]]="","",N635),N635-TableauCB[[#This Row],[Débit]]+TableauCB[[#This Row],[Crédit]])</f>
        <v>5325.7860000000092</v>
      </c>
      <c r="O636" s="27">
        <f>IF(TableauCB[[#This Row],[Etat]]&lt;&gt;"",O635-TableauCB[[#This Row],[Débit]]+TableauCB[[#This Row],[Crédit]],O635-TableauCB[[#This Row],[Débit]])</f>
        <v>5205.7899999999991</v>
      </c>
      <c r="P636" s="27">
        <f>IF(AND(ISBLANK(TableauCB[[#This Row],[Débit]]),ISBLANK(TableauCB[[#This Row],[Crédit]])),"",P635+TableauCB[[#This Row],[Crédit]]-TableauCB[[#This Row],[Débit]])</f>
        <v>4359.7860000000073</v>
      </c>
      <c r="Q636" s="26"/>
      <c r="T636" s="24"/>
      <c r="U636" s="24"/>
      <c r="V636" s="9"/>
      <c r="W636" s="2"/>
      <c r="X636" s="9"/>
      <c r="Y636" s="8"/>
      <c r="Z636" s="7"/>
      <c r="AA636" s="7"/>
      <c r="AB636" s="6"/>
    </row>
    <row r="637" spans="2:28" ht="30" hidden="1" customHeight="1">
      <c r="B637" s="35" t="str">
        <f>IF(MONTH(F636)&lt;&gt;MONTH(TableauCB[[#This Row],[Date d''éxigibilité]]),(TableauCB[[#This Row],[Date d''éxigibilité]]),"")</f>
        <v/>
      </c>
      <c r="C637" s="11" t="s">
        <v>33</v>
      </c>
      <c r="D637" s="11" t="s">
        <v>5</v>
      </c>
      <c r="E637" s="11" t="s">
        <v>6</v>
      </c>
      <c r="F637" s="34">
        <v>42399</v>
      </c>
      <c r="G637"/>
      <c r="H637"/>
      <c r="I637" s="32">
        <v>42593</v>
      </c>
      <c r="J637"/>
      <c r="K637" s="32">
        <v>42597</v>
      </c>
      <c r="L637" s="30">
        <v>163.33000000000001</v>
      </c>
      <c r="M637" s="29"/>
      <c r="N637" s="28">
        <f>IF(OR(TableauCB[[#This Row],[Etat]]="",TableauCB[[#This Row],[Etat]]="c"),IF(TableauCB[[#This Row],[Solde]]="","",N636),N636-TableauCB[[#This Row],[Débit]]+TableauCB[[#This Row],[Crédit]])</f>
        <v>5162.4560000000092</v>
      </c>
      <c r="O637" s="27">
        <f>IF(TableauCB[[#This Row],[Etat]]&lt;&gt;"",O636-TableauCB[[#This Row],[Débit]]+TableauCB[[#This Row],[Crédit]],O636-TableauCB[[#This Row],[Débit]])</f>
        <v>5042.4599999999991</v>
      </c>
      <c r="P637" s="27">
        <f>IF(AND(ISBLANK(TableauCB[[#This Row],[Débit]]),ISBLANK(TableauCB[[#This Row],[Crédit]])),"",P636+TableauCB[[#This Row],[Crédit]]-TableauCB[[#This Row],[Débit]])</f>
        <v>4196.4560000000074</v>
      </c>
      <c r="Q637" s="26"/>
      <c r="T637" s="24"/>
      <c r="U637" s="24"/>
      <c r="V637" s="9"/>
      <c r="W637" s="2"/>
      <c r="X637" s="9"/>
      <c r="Y637" s="8"/>
      <c r="Z637" s="7"/>
      <c r="AA637" s="7"/>
      <c r="AB637" s="6"/>
    </row>
    <row r="638" spans="2:28" ht="30" hidden="1" customHeight="1">
      <c r="B638" s="35" t="str">
        <f>IF(MONTH(F637)&lt;&gt;MONTH(TableauCB[[#This Row],[Date d''éxigibilité]]),(TableauCB[[#This Row],[Date d''éxigibilité]]),"")</f>
        <v/>
      </c>
      <c r="C638" s="11" t="s">
        <v>33</v>
      </c>
      <c r="D638" s="11" t="s">
        <v>15</v>
      </c>
      <c r="E638" s="11" t="s">
        <v>26</v>
      </c>
      <c r="F638" s="34">
        <v>42400</v>
      </c>
      <c r="G638"/>
      <c r="H638"/>
      <c r="I638" s="32">
        <v>42397</v>
      </c>
      <c r="J638"/>
      <c r="K638" s="32">
        <v>42397</v>
      </c>
      <c r="L638" s="30">
        <v>10</v>
      </c>
      <c r="M638" s="29"/>
      <c r="N638" s="28">
        <f>IF(OR(TableauCB[[#This Row],[Etat]]="",TableauCB[[#This Row],[Etat]]="c"),IF(TableauCB[[#This Row],[Solde]]="","",N637),N637-TableauCB[[#This Row],[Débit]]+TableauCB[[#This Row],[Crédit]])</f>
        <v>5152.4560000000092</v>
      </c>
      <c r="O638" s="27">
        <f>IF(TableauCB[[#This Row],[Etat]]&lt;&gt;"",O637-TableauCB[[#This Row],[Débit]]+TableauCB[[#This Row],[Crédit]],O637-TableauCB[[#This Row],[Débit]])</f>
        <v>5032.4599999999991</v>
      </c>
      <c r="P638" s="27">
        <f>IF(AND(ISBLANK(TableauCB[[#This Row],[Débit]]),ISBLANK(TableauCB[[#This Row],[Crédit]])),"",P637+TableauCB[[#This Row],[Crédit]]-TableauCB[[#This Row],[Débit]])</f>
        <v>4186.4560000000074</v>
      </c>
      <c r="Q638" s="26"/>
      <c r="T638" s="24"/>
      <c r="U638" s="24"/>
      <c r="V638" s="9"/>
      <c r="W638" s="2"/>
      <c r="X638" s="9"/>
      <c r="Y638" s="8"/>
      <c r="Z638" s="7"/>
      <c r="AA638" s="7"/>
      <c r="AB638" s="6"/>
    </row>
    <row r="639" spans="2:28" ht="30" hidden="1" customHeight="1">
      <c r="B639" s="35" t="str">
        <f>IF(MONTH(F638)&lt;&gt;MONTH(TableauCB[[#This Row],[Date d''éxigibilité]]),(TableauCB[[#This Row],[Date d''éxigibilité]]),"")</f>
        <v/>
      </c>
      <c r="C639" s="11" t="s">
        <v>33</v>
      </c>
      <c r="D639" s="11" t="s">
        <v>15</v>
      </c>
      <c r="E639" s="11" t="s">
        <v>26</v>
      </c>
      <c r="F639" s="34">
        <v>42400</v>
      </c>
      <c r="G639"/>
      <c r="H639"/>
      <c r="I639" s="32">
        <v>42397</v>
      </c>
      <c r="J639"/>
      <c r="K639" s="32">
        <v>42397</v>
      </c>
      <c r="L639" s="30">
        <v>47</v>
      </c>
      <c r="M639" s="29"/>
      <c r="N639" s="28">
        <f>IF(OR(TableauCB[[#This Row],[Etat]]="",TableauCB[[#This Row],[Etat]]="c"),IF(TableauCB[[#This Row],[Solde]]="","",N638),N638-TableauCB[[#This Row],[Débit]]+TableauCB[[#This Row],[Crédit]])</f>
        <v>5105.4560000000092</v>
      </c>
      <c r="O639" s="27">
        <f>IF(TableauCB[[#This Row],[Etat]]&lt;&gt;"",O638-TableauCB[[#This Row],[Débit]]+TableauCB[[#This Row],[Crédit]],O638-TableauCB[[#This Row],[Débit]])</f>
        <v>4985.4599999999991</v>
      </c>
      <c r="P639" s="27">
        <f>IF(AND(ISBLANK(TableauCB[[#This Row],[Débit]]),ISBLANK(TableauCB[[#This Row],[Crédit]])),"",P638+TableauCB[[#This Row],[Crédit]]-TableauCB[[#This Row],[Débit]])</f>
        <v>4139.4560000000074</v>
      </c>
      <c r="Q639" s="26"/>
      <c r="R639" s="4"/>
      <c r="S639" s="4"/>
      <c r="T639" s="24"/>
      <c r="U639" s="24"/>
      <c r="V639" s="9"/>
      <c r="W639" s="2"/>
      <c r="X639" s="9"/>
      <c r="Y639" s="8"/>
      <c r="Z639" s="7"/>
      <c r="AA639" s="7"/>
      <c r="AB639" s="6"/>
    </row>
    <row r="640" spans="2:28" ht="30" hidden="1" customHeight="1">
      <c r="B640" s="35" t="str">
        <f>IF(MONTH(F639)&lt;&gt;MONTH(TableauCB[[#This Row],[Date d''éxigibilité]]),(TableauCB[[#This Row],[Date d''éxigibilité]]),"")</f>
        <v/>
      </c>
      <c r="C640" s="11" t="s">
        <v>33</v>
      </c>
      <c r="D640" s="11" t="s">
        <v>15</v>
      </c>
      <c r="E640" s="11" t="s">
        <v>24</v>
      </c>
      <c r="F640" s="34">
        <v>42400</v>
      </c>
      <c r="G640"/>
      <c r="H640"/>
      <c r="I640" s="32">
        <v>42396</v>
      </c>
      <c r="J640"/>
      <c r="K640" s="32">
        <v>42396</v>
      </c>
      <c r="L640" s="30">
        <v>448.45</v>
      </c>
      <c r="M640" s="29"/>
      <c r="N640" s="28">
        <f>IF(OR(TableauCB[[#This Row],[Etat]]="",TableauCB[[#This Row],[Etat]]="c"),IF(TableauCB[[#This Row],[Solde]]="","",N639),N639-TableauCB[[#This Row],[Débit]]+TableauCB[[#This Row],[Crédit]])</f>
        <v>4657.0060000000094</v>
      </c>
      <c r="O640" s="27">
        <f>IF(TableauCB[[#This Row],[Etat]]&lt;&gt;"",O639-TableauCB[[#This Row],[Débit]]+TableauCB[[#This Row],[Crédit]],O639-TableauCB[[#This Row],[Débit]])</f>
        <v>4537.0099999999993</v>
      </c>
      <c r="P640" s="27">
        <f>IF(AND(ISBLANK(TableauCB[[#This Row],[Débit]]),ISBLANK(TableauCB[[#This Row],[Crédit]])),"",P639+TableauCB[[#This Row],[Crédit]]-TableauCB[[#This Row],[Débit]])</f>
        <v>3691.0060000000076</v>
      </c>
      <c r="Q640" s="26"/>
      <c r="R640" s="36"/>
      <c r="S640" s="36"/>
      <c r="T640" s="24"/>
      <c r="U640" s="24"/>
      <c r="V640" s="9"/>
      <c r="W640" s="2"/>
      <c r="X640" s="9"/>
      <c r="Y640" s="8"/>
      <c r="Z640" s="7"/>
      <c r="AA640" s="7"/>
      <c r="AB640" s="6"/>
    </row>
    <row r="641" spans="2:28" ht="30" hidden="1" customHeight="1">
      <c r="B641" s="35" t="str">
        <f>IF(MONTH(F640)&lt;&gt;MONTH(TableauCB[[#This Row],[Date d''éxigibilité]]),(TableauCB[[#This Row],[Date d''éxigibilité]]),"")</f>
        <v/>
      </c>
      <c r="C641" s="11" t="s">
        <v>33</v>
      </c>
      <c r="D641" s="11" t="s">
        <v>22</v>
      </c>
      <c r="E641" s="11" t="s">
        <v>43</v>
      </c>
      <c r="F641" s="34">
        <v>42400</v>
      </c>
      <c r="G641"/>
      <c r="H641"/>
      <c r="I641" s="32">
        <v>42405</v>
      </c>
      <c r="J641"/>
      <c r="K641" s="32">
        <v>42405</v>
      </c>
      <c r="L641" s="30">
        <v>240</v>
      </c>
      <c r="M641" s="29"/>
      <c r="N641" s="28">
        <f>IF(OR(TableauCB[[#This Row],[Etat]]="",TableauCB[[#This Row],[Etat]]="c"),IF(TableauCB[[#This Row],[Solde]]="","",N640),N640-TableauCB[[#This Row],[Débit]]+TableauCB[[#This Row],[Crédit]])</f>
        <v>4417.0060000000094</v>
      </c>
      <c r="O641" s="27">
        <f>IF(TableauCB[[#This Row],[Etat]]&lt;&gt;"",O640-TableauCB[[#This Row],[Débit]]+TableauCB[[#This Row],[Crédit]],O640-TableauCB[[#This Row],[Débit]])</f>
        <v>4297.0099999999993</v>
      </c>
      <c r="P641" s="27">
        <f>IF(AND(ISBLANK(TableauCB[[#This Row],[Débit]]),ISBLANK(TableauCB[[#This Row],[Crédit]])),"",P640+TableauCB[[#This Row],[Crédit]]-TableauCB[[#This Row],[Débit]])</f>
        <v>3451.0060000000076</v>
      </c>
      <c r="Q641" s="26"/>
      <c r="R641" s="25">
        <v>-761.48</v>
      </c>
      <c r="S641" s="25"/>
      <c r="T641" s="24"/>
      <c r="U641" s="24"/>
      <c r="V641" s="9"/>
      <c r="W641" s="2"/>
      <c r="X641" s="9"/>
      <c r="Y641" s="8"/>
      <c r="Z641" s="7"/>
      <c r="AA641" s="7"/>
      <c r="AB641" s="6"/>
    </row>
    <row r="642" spans="2:28" ht="30" hidden="1" customHeight="1">
      <c r="B642" s="35">
        <f>IF(MONTH(F641)&lt;&gt;MONTH(TableauCB[[#This Row],[Date d''éxigibilité]]),(TableauCB[[#This Row],[Date d''éxigibilité]]),"")</f>
        <v>42404</v>
      </c>
      <c r="C642" s="11" t="s">
        <v>33</v>
      </c>
      <c r="D642" s="11" t="s">
        <v>5</v>
      </c>
      <c r="E642" s="11" t="s">
        <v>7</v>
      </c>
      <c r="F642" s="34">
        <v>42404</v>
      </c>
      <c r="G642"/>
      <c r="H642"/>
      <c r="I642" s="43"/>
      <c r="J642"/>
      <c r="K642" s="43"/>
      <c r="L642" s="30">
        <v>300</v>
      </c>
      <c r="M642" s="29"/>
      <c r="N642" s="28">
        <f>IF(OR(TableauCB[[#This Row],[Etat]]="",TableauCB[[#This Row],[Etat]]="c"),IF(TableauCB[[#This Row],[Solde]]="","",N641),N641-TableauCB[[#This Row],[Débit]]+TableauCB[[#This Row],[Crédit]])</f>
        <v>4117.0060000000094</v>
      </c>
      <c r="O642" s="27">
        <f>IF(TableauCB[[#This Row],[Etat]]&lt;&gt;"",O641-TableauCB[[#This Row],[Débit]]+TableauCB[[#This Row],[Crédit]],O641-TableauCB[[#This Row],[Débit]])</f>
        <v>3997.0099999999993</v>
      </c>
      <c r="P642" s="27">
        <f>IF(AND(ISBLANK(TableauCB[[#This Row],[Débit]]),ISBLANK(TableauCB[[#This Row],[Crédit]])),"",P641+TableauCB[[#This Row],[Crédit]]-TableauCB[[#This Row],[Débit]])</f>
        <v>3151.0060000000076</v>
      </c>
      <c r="Q642" s="26"/>
      <c r="R642" s="4"/>
      <c r="S642" s="4"/>
      <c r="T642" s="24"/>
      <c r="U642" s="24"/>
      <c r="V642" s="9"/>
      <c r="W642" s="2"/>
      <c r="X642" s="9"/>
      <c r="Y642" s="8"/>
      <c r="Z642" s="7"/>
      <c r="AA642" s="7"/>
      <c r="AB642" s="6"/>
    </row>
    <row r="643" spans="2:28" ht="30" hidden="1" customHeight="1">
      <c r="B643" s="35" t="str">
        <f>IF(MONTH(F642)&lt;&gt;MONTH(TableauCB[[#This Row],[Date d''éxigibilité]]),(TableauCB[[#This Row],[Date d''éxigibilité]]),"")</f>
        <v/>
      </c>
      <c r="C643" s="11" t="s">
        <v>33</v>
      </c>
      <c r="D643" s="11" t="s">
        <v>22</v>
      </c>
      <c r="E643" s="11" t="s">
        <v>43</v>
      </c>
      <c r="F643" s="34">
        <v>42408</v>
      </c>
      <c r="G643"/>
      <c r="H643"/>
      <c r="I643" s="32"/>
      <c r="J643"/>
      <c r="K643" s="32"/>
      <c r="L643" s="30">
        <v>3.9</v>
      </c>
      <c r="M643" s="29"/>
      <c r="N643" s="28">
        <f>IF(OR(TableauCB[[#This Row],[Etat]]="",TableauCB[[#This Row],[Etat]]="c"),IF(TableauCB[[#This Row],[Solde]]="","",N642),N642-TableauCB[[#This Row],[Débit]]+TableauCB[[#This Row],[Crédit]])</f>
        <v>4113.1060000000098</v>
      </c>
      <c r="O643" s="27">
        <f>IF(TableauCB[[#This Row],[Etat]]&lt;&gt;"",O642-TableauCB[[#This Row],[Débit]]+TableauCB[[#This Row],[Crédit]],O642-TableauCB[[#This Row],[Débit]])</f>
        <v>3993.1099999999992</v>
      </c>
      <c r="P643" s="27">
        <f>IF(AND(ISBLANK(TableauCB[[#This Row],[Débit]]),ISBLANK(TableauCB[[#This Row],[Crédit]])),"",P642+TableauCB[[#This Row],[Crédit]]-TableauCB[[#This Row],[Débit]])</f>
        <v>3147.1060000000075</v>
      </c>
      <c r="Q643" s="26"/>
      <c r="T643" s="24"/>
      <c r="U643" s="24"/>
      <c r="V643" s="9"/>
      <c r="W643" s="2"/>
      <c r="X643" s="9"/>
      <c r="Y643" s="8"/>
      <c r="Z643" s="7"/>
      <c r="AA643" s="7"/>
      <c r="AB643" s="6"/>
    </row>
    <row r="644" spans="2:28" ht="30" hidden="1" customHeight="1">
      <c r="B644" s="35" t="str">
        <f>IF(MONTH(F643)&lt;&gt;MONTH(TableauCB[[#This Row],[Date d''éxigibilité]]),(TableauCB[[#This Row],[Date d''éxigibilité]]),"")</f>
        <v/>
      </c>
      <c r="C644" s="11" t="s">
        <v>33</v>
      </c>
      <c r="D644" s="11" t="s">
        <v>30</v>
      </c>
      <c r="E644" s="11" t="s">
        <v>30</v>
      </c>
      <c r="F644" s="34">
        <v>42408</v>
      </c>
      <c r="G644"/>
      <c r="H644"/>
      <c r="I644" s="32">
        <v>42412</v>
      </c>
      <c r="J644"/>
      <c r="K644" s="32">
        <v>42412</v>
      </c>
      <c r="L644" s="30">
        <v>54.54</v>
      </c>
      <c r="M644" s="29"/>
      <c r="N644" s="28">
        <f>IF(OR(TableauCB[[#This Row],[Etat]]="",TableauCB[[#This Row],[Etat]]="c"),IF(TableauCB[[#This Row],[Solde]]="","",N643),N643-TableauCB[[#This Row],[Débit]]+TableauCB[[#This Row],[Crédit]])</f>
        <v>4058.5660000000098</v>
      </c>
      <c r="O644" s="27">
        <f>IF(TableauCB[[#This Row],[Etat]]&lt;&gt;"",O643-TableauCB[[#This Row],[Débit]]+TableauCB[[#This Row],[Crédit]],O643-TableauCB[[#This Row],[Débit]])</f>
        <v>3938.5699999999993</v>
      </c>
      <c r="P644" s="27">
        <f>IF(AND(ISBLANK(TableauCB[[#This Row],[Débit]]),ISBLANK(TableauCB[[#This Row],[Crédit]])),"",P643+TableauCB[[#This Row],[Crédit]]-TableauCB[[#This Row],[Débit]])</f>
        <v>3092.5660000000075</v>
      </c>
      <c r="Q644" s="26"/>
      <c r="T644" s="24"/>
      <c r="U644" s="24"/>
      <c r="V644" s="9"/>
      <c r="W644" s="2"/>
      <c r="X644" s="9"/>
      <c r="Y644" s="8"/>
      <c r="Z644" s="7"/>
      <c r="AA644" s="7"/>
      <c r="AB644" s="6"/>
    </row>
    <row r="645" spans="2:28" ht="30" hidden="1" customHeight="1">
      <c r="B645" s="35" t="str">
        <f>IF(MONTH(F644)&lt;&gt;MONTH(TableauCB[[#This Row],[Date d''éxigibilité]]),(TableauCB[[#This Row],[Date d''éxigibilité]]),"")</f>
        <v/>
      </c>
      <c r="C645" s="11" t="s">
        <v>33</v>
      </c>
      <c r="D645" s="11" t="s">
        <v>22</v>
      </c>
      <c r="E645" s="11" t="s">
        <v>21</v>
      </c>
      <c r="F645" s="34">
        <v>42409</v>
      </c>
      <c r="G645"/>
      <c r="H645"/>
      <c r="I645" s="32"/>
      <c r="J645"/>
      <c r="K645" s="32"/>
      <c r="L645" s="30">
        <v>22.2</v>
      </c>
      <c r="M645" s="29"/>
      <c r="N645" s="28">
        <f>IF(OR(TableauCB[[#This Row],[Etat]]="",TableauCB[[#This Row],[Etat]]="c"),IF(TableauCB[[#This Row],[Solde]]="","",N644),N644-TableauCB[[#This Row],[Débit]]+TableauCB[[#This Row],[Crédit]])</f>
        <v>4036.36600000001</v>
      </c>
      <c r="O645" s="27">
        <f>IF(TableauCB[[#This Row],[Etat]]&lt;&gt;"",O644-TableauCB[[#This Row],[Débit]]+TableauCB[[#This Row],[Crédit]],O644-TableauCB[[#This Row],[Débit]])</f>
        <v>3916.3699999999994</v>
      </c>
      <c r="P645" s="27">
        <f>IF(AND(ISBLANK(TableauCB[[#This Row],[Débit]]),ISBLANK(TableauCB[[#This Row],[Crédit]])),"",P644+TableauCB[[#This Row],[Crédit]]-TableauCB[[#This Row],[Débit]])</f>
        <v>3070.3660000000077</v>
      </c>
      <c r="Q645" s="26"/>
      <c r="T645" s="24"/>
      <c r="U645" s="24"/>
      <c r="V645" s="9"/>
      <c r="W645" s="2"/>
      <c r="X645" s="9"/>
      <c r="Y645" s="8"/>
      <c r="Z645" s="7"/>
      <c r="AA645" s="7"/>
      <c r="AB645" s="6"/>
    </row>
    <row r="646" spans="2:28" ht="30" hidden="1" customHeight="1">
      <c r="B646" s="35" t="str">
        <f>IF(MONTH(F645)&lt;&gt;MONTH(TableauCB[[#This Row],[Date d''éxigibilité]]),(TableauCB[[#This Row],[Date d''éxigibilité]]),"")</f>
        <v/>
      </c>
      <c r="C646" s="11" t="s">
        <v>33</v>
      </c>
      <c r="D646" s="11" t="s">
        <v>30</v>
      </c>
      <c r="E646" s="11" t="s">
        <v>41</v>
      </c>
      <c r="F646" s="34">
        <v>42409</v>
      </c>
      <c r="G646"/>
      <c r="H646"/>
      <c r="I646" s="43"/>
      <c r="J646"/>
      <c r="K646" s="43"/>
      <c r="L646" s="30">
        <v>116.38</v>
      </c>
      <c r="M646" s="29"/>
      <c r="N646" s="28">
        <f>IF(OR(TableauCB[[#This Row],[Etat]]="",TableauCB[[#This Row],[Etat]]="c"),IF(TableauCB[[#This Row],[Solde]]="","",N645),N645-TableauCB[[#This Row],[Débit]]+TableauCB[[#This Row],[Crédit]])</f>
        <v>3919.9860000000099</v>
      </c>
      <c r="O646" s="27">
        <f>IF(TableauCB[[#This Row],[Etat]]&lt;&gt;"",O645-TableauCB[[#This Row],[Débit]]+TableauCB[[#This Row],[Crédit]],O645-TableauCB[[#This Row],[Débit]])</f>
        <v>3799.9899999999993</v>
      </c>
      <c r="P646" s="27">
        <f>IF(AND(ISBLANK(TableauCB[[#This Row],[Débit]]),ISBLANK(TableauCB[[#This Row],[Crédit]])),"",P645+TableauCB[[#This Row],[Crédit]]-TableauCB[[#This Row],[Débit]])</f>
        <v>2953.9860000000076</v>
      </c>
      <c r="Q646" s="26"/>
      <c r="S646" s="41"/>
      <c r="T646" s="24"/>
      <c r="U646" s="24"/>
      <c r="V646" s="9"/>
      <c r="W646" s="2"/>
      <c r="X646" s="9"/>
      <c r="Y646" s="8"/>
      <c r="Z646" s="7"/>
      <c r="AA646" s="7"/>
      <c r="AB646" s="6"/>
    </row>
    <row r="647" spans="2:28" ht="30" hidden="1" customHeight="1">
      <c r="B647" s="35" t="str">
        <f>IF(MONTH(F646)&lt;&gt;MONTH(TableauCB[[#This Row],[Date d''éxigibilité]]),(TableauCB[[#This Row],[Date d''éxigibilité]]),"")</f>
        <v/>
      </c>
      <c r="C647" s="11" t="s">
        <v>33</v>
      </c>
      <c r="D647" s="11" t="s">
        <v>15</v>
      </c>
      <c r="E647" s="11" t="s">
        <v>52</v>
      </c>
      <c r="F647" s="34">
        <v>42411</v>
      </c>
      <c r="G647"/>
      <c r="H647"/>
      <c r="I647" s="32"/>
      <c r="J647"/>
      <c r="K647" s="32"/>
      <c r="L647" s="30">
        <v>91.14</v>
      </c>
      <c r="M647" s="29"/>
      <c r="N647" s="28">
        <f>IF(OR(TableauCB[[#This Row],[Etat]]="",TableauCB[[#This Row],[Etat]]="c"),IF(TableauCB[[#This Row],[Solde]]="","",N646),N646-TableauCB[[#This Row],[Débit]]+TableauCB[[#This Row],[Crédit]])</f>
        <v>3828.84600000001</v>
      </c>
      <c r="O647" s="27">
        <f>IF(TableauCB[[#This Row],[Etat]]&lt;&gt;"",O646-TableauCB[[#This Row],[Débit]]+TableauCB[[#This Row],[Crédit]],O646-TableauCB[[#This Row],[Débit]])</f>
        <v>3708.8499999999995</v>
      </c>
      <c r="P647" s="27">
        <f>IF(AND(ISBLANK(TableauCB[[#This Row],[Débit]]),ISBLANK(TableauCB[[#This Row],[Crédit]])),"",P646+TableauCB[[#This Row],[Crédit]]-TableauCB[[#This Row],[Débit]])</f>
        <v>2862.8460000000077</v>
      </c>
      <c r="Q647" s="26"/>
      <c r="T647" s="24"/>
      <c r="U647" s="24"/>
      <c r="V647" s="9"/>
      <c r="W647" s="2"/>
      <c r="X647" s="9"/>
      <c r="Y647" s="8"/>
      <c r="Z647" s="7"/>
      <c r="AA647" s="7"/>
      <c r="AB647" s="6"/>
    </row>
    <row r="648" spans="2:28" ht="30" hidden="1" customHeight="1">
      <c r="B648" s="35" t="str">
        <f>IF(MONTH(F647)&lt;&gt;MONTH(TableauCB[[#This Row],[Date d''éxigibilité]]),(TableauCB[[#This Row],[Date d''éxigibilité]]),"")</f>
        <v/>
      </c>
      <c r="C648" s="11" t="s">
        <v>33</v>
      </c>
      <c r="D648" s="11" t="s">
        <v>15</v>
      </c>
      <c r="E648" s="11" t="s">
        <v>51</v>
      </c>
      <c r="F648" s="34">
        <v>42411</v>
      </c>
      <c r="G648"/>
      <c r="H648"/>
      <c r="I648" s="32"/>
      <c r="J648"/>
      <c r="K648" s="32"/>
      <c r="L648" s="30">
        <v>141.49</v>
      </c>
      <c r="M648" s="29"/>
      <c r="N648" s="28">
        <f>IF(OR(TableauCB[[#This Row],[Etat]]="",TableauCB[[#This Row],[Etat]]="c"),IF(TableauCB[[#This Row],[Solde]]="","",N647),N647-TableauCB[[#This Row],[Débit]]+TableauCB[[#This Row],[Crédit]])</f>
        <v>3687.3560000000098</v>
      </c>
      <c r="O648" s="27">
        <f>IF(TableauCB[[#This Row],[Etat]]&lt;&gt;"",O647-TableauCB[[#This Row],[Débit]]+TableauCB[[#This Row],[Crédit]],O647-TableauCB[[#This Row],[Débit]])</f>
        <v>3567.3599999999997</v>
      </c>
      <c r="P648" s="27">
        <f>IF(AND(ISBLANK(TableauCB[[#This Row],[Débit]]),ISBLANK(TableauCB[[#This Row],[Crédit]])),"",P647+TableauCB[[#This Row],[Crédit]]-TableauCB[[#This Row],[Débit]])</f>
        <v>2721.356000000008</v>
      </c>
      <c r="Q648" s="26"/>
      <c r="T648" s="24"/>
      <c r="U648" s="24"/>
      <c r="V648" s="9"/>
      <c r="W648" s="2"/>
      <c r="X648" s="9"/>
      <c r="Y648" s="8"/>
      <c r="Z648" s="7"/>
      <c r="AA648" s="7"/>
      <c r="AB648" s="6"/>
    </row>
    <row r="649" spans="2:28" ht="30" hidden="1" customHeight="1">
      <c r="B649" s="35" t="str">
        <f>IF(MONTH(F648)&lt;&gt;MONTH(TableauCB[[#This Row],[Date d''éxigibilité]]),(TableauCB[[#This Row],[Date d''éxigibilité]]),"")</f>
        <v/>
      </c>
      <c r="C649" s="11" t="s">
        <v>33</v>
      </c>
      <c r="D649" s="11" t="s">
        <v>15</v>
      </c>
      <c r="E649" s="11" t="s">
        <v>19</v>
      </c>
      <c r="F649" s="34">
        <v>42415</v>
      </c>
      <c r="G649"/>
      <c r="H649"/>
      <c r="I649" s="32"/>
      <c r="J649"/>
      <c r="K649" s="32"/>
      <c r="L649" s="30">
        <v>39</v>
      </c>
      <c r="M649" s="29"/>
      <c r="N649" s="28">
        <f>IF(OR(TableauCB[[#This Row],[Etat]]="",TableauCB[[#This Row],[Etat]]="c"),IF(TableauCB[[#This Row],[Solde]]="","",N648),N648-TableauCB[[#This Row],[Débit]]+TableauCB[[#This Row],[Crédit]])</f>
        <v>3648.3560000000098</v>
      </c>
      <c r="O649" s="27">
        <f>IF(TableauCB[[#This Row],[Etat]]&lt;&gt;"",O648-TableauCB[[#This Row],[Débit]]+TableauCB[[#This Row],[Crédit]],O648-TableauCB[[#This Row],[Débit]])</f>
        <v>3528.3599999999997</v>
      </c>
      <c r="P649" s="27">
        <f>IF(AND(ISBLANK(TableauCB[[#This Row],[Débit]]),ISBLANK(TableauCB[[#This Row],[Crédit]])),"",P648+TableauCB[[#This Row],[Crédit]]-TableauCB[[#This Row],[Débit]])</f>
        <v>2682.356000000008</v>
      </c>
      <c r="Q649" s="26"/>
      <c r="T649" s="24"/>
      <c r="U649" s="24"/>
      <c r="V649" s="9"/>
      <c r="W649" s="2"/>
      <c r="X649" s="9"/>
      <c r="Y649" s="8"/>
      <c r="Z649" s="7"/>
      <c r="AA649" s="7"/>
      <c r="AB649" s="6"/>
    </row>
    <row r="650" spans="2:28" ht="30" hidden="1" customHeight="1">
      <c r="B650" s="35" t="str">
        <f>IF(MONTH(F649)&lt;&gt;MONTH(TableauCB[[#This Row],[Date d''éxigibilité]]),(TableauCB[[#This Row],[Date d''éxigibilité]]),"")</f>
        <v/>
      </c>
      <c r="C650" s="11" t="s">
        <v>33</v>
      </c>
      <c r="D650" s="11" t="s">
        <v>22</v>
      </c>
      <c r="E650" s="11" t="s">
        <v>17</v>
      </c>
      <c r="F650" s="34">
        <v>42421</v>
      </c>
      <c r="G650"/>
      <c r="H650"/>
      <c r="I650" s="32"/>
      <c r="J650"/>
      <c r="K650" s="32"/>
      <c r="L650" s="30">
        <v>41.4</v>
      </c>
      <c r="M650" s="29"/>
      <c r="N650" s="28">
        <f>IF(OR(TableauCB[[#This Row],[Etat]]="",TableauCB[[#This Row],[Etat]]="c"),IF(TableauCB[[#This Row],[Solde]]="","",N649),N649-TableauCB[[#This Row],[Débit]]+TableauCB[[#This Row],[Crédit]])</f>
        <v>3606.9560000000097</v>
      </c>
      <c r="O650" s="27">
        <f>IF(TableauCB[[#This Row],[Etat]]&lt;&gt;"",O649-TableauCB[[#This Row],[Débit]]+TableauCB[[#This Row],[Crédit]],O649-TableauCB[[#This Row],[Débit]])</f>
        <v>3486.9599999999996</v>
      </c>
      <c r="P650" s="27">
        <f>IF(AND(ISBLANK(TableauCB[[#This Row],[Débit]]),ISBLANK(TableauCB[[#This Row],[Crédit]])),"",P649+TableauCB[[#This Row],[Crédit]]-TableauCB[[#This Row],[Débit]])</f>
        <v>2640.9560000000079</v>
      </c>
      <c r="Q650" s="26"/>
      <c r="T650" s="24"/>
      <c r="U650" s="24"/>
      <c r="V650" s="9"/>
      <c r="W650" s="2"/>
      <c r="X650" s="9"/>
      <c r="Y650" s="8"/>
      <c r="Z650" s="7"/>
      <c r="AA650" s="7"/>
      <c r="AB650" s="6"/>
    </row>
    <row r="651" spans="2:28" ht="30" hidden="1" customHeight="1">
      <c r="B651" s="35" t="str">
        <f>IF(MONTH(F650)&lt;&gt;MONTH(TableauCB[[#This Row],[Date d''éxigibilité]]),(TableauCB[[#This Row],[Date d''éxigibilité]]),"")</f>
        <v/>
      </c>
      <c r="C651" s="11" t="s">
        <v>33</v>
      </c>
      <c r="D651" s="11" t="s">
        <v>48</v>
      </c>
      <c r="E651" s="11" t="s">
        <v>49</v>
      </c>
      <c r="F651" s="34">
        <v>42423</v>
      </c>
      <c r="G651"/>
      <c r="H651"/>
      <c r="I651" s="32"/>
      <c r="J651"/>
      <c r="K651" s="32"/>
      <c r="L651" s="30">
        <v>30</v>
      </c>
      <c r="M651" s="29"/>
      <c r="N651" s="28">
        <f>IF(OR(TableauCB[[#This Row],[Etat]]="",TableauCB[[#This Row],[Etat]]="c"),IF(TableauCB[[#This Row],[Solde]]="","",N650),N650-TableauCB[[#This Row],[Débit]]+TableauCB[[#This Row],[Crédit]])</f>
        <v>3576.9560000000097</v>
      </c>
      <c r="O651" s="27">
        <f>IF(TableauCB[[#This Row],[Etat]]&lt;&gt;"",O650-TableauCB[[#This Row],[Débit]]+TableauCB[[#This Row],[Crédit]],O650-TableauCB[[#This Row],[Débit]])</f>
        <v>3456.9599999999996</v>
      </c>
      <c r="P651" s="27">
        <f>IF(AND(ISBLANK(TableauCB[[#This Row],[Débit]]),ISBLANK(TableauCB[[#This Row],[Crédit]])),"",P650+TableauCB[[#This Row],[Crédit]]-TableauCB[[#This Row],[Débit]])</f>
        <v>2610.9560000000079</v>
      </c>
      <c r="Q651" s="26"/>
      <c r="T651" s="24"/>
      <c r="U651" s="24"/>
      <c r="V651" s="9"/>
      <c r="W651" s="2"/>
      <c r="X651" s="9"/>
      <c r="Y651" s="8"/>
      <c r="Z651" s="7"/>
      <c r="AA651" s="7"/>
      <c r="AB651" s="6"/>
    </row>
    <row r="652" spans="2:28" ht="30" hidden="1" customHeight="1">
      <c r="B652" s="35" t="str">
        <f>IF(MONTH(F651)&lt;&gt;MONTH(TableauCB[[#This Row],[Date d''éxigibilité]]),(TableauCB[[#This Row],[Date d''éxigibilité]]),"")</f>
        <v/>
      </c>
      <c r="C652" s="11" t="s">
        <v>33</v>
      </c>
      <c r="D652" s="11" t="s">
        <v>22</v>
      </c>
      <c r="E652" s="11" t="s">
        <v>17</v>
      </c>
      <c r="F652" s="34">
        <v>42426</v>
      </c>
      <c r="G652"/>
      <c r="H652"/>
      <c r="I652" s="32"/>
      <c r="J652"/>
      <c r="K652" s="32"/>
      <c r="L652" s="30">
        <v>3.59</v>
      </c>
      <c r="M652" s="29"/>
      <c r="N652" s="28">
        <f>IF(OR(TableauCB[[#This Row],[Etat]]="",TableauCB[[#This Row],[Etat]]="c"),IF(TableauCB[[#This Row],[Solde]]="","",N651),N651-TableauCB[[#This Row],[Débit]]+TableauCB[[#This Row],[Crédit]])</f>
        <v>3573.3660000000095</v>
      </c>
      <c r="O652" s="27">
        <f>IF(TableauCB[[#This Row],[Etat]]&lt;&gt;"",O651-TableauCB[[#This Row],[Débit]]+TableauCB[[#This Row],[Crédit]],O651-TableauCB[[#This Row],[Débit]])</f>
        <v>3453.3699999999994</v>
      </c>
      <c r="P652" s="27">
        <f>IF(AND(ISBLANK(TableauCB[[#This Row],[Débit]]),ISBLANK(TableauCB[[#This Row],[Crédit]])),"",P651+TableauCB[[#This Row],[Crédit]]-TableauCB[[#This Row],[Débit]])</f>
        <v>2607.3660000000077</v>
      </c>
      <c r="Q652" s="26"/>
      <c r="T652" s="24"/>
      <c r="U652" s="24"/>
      <c r="V652" s="9"/>
      <c r="W652" s="2"/>
      <c r="X652" s="9"/>
      <c r="Y652" s="8"/>
      <c r="Z652" s="7"/>
      <c r="AA652" s="7"/>
      <c r="AB652" s="6"/>
    </row>
    <row r="653" spans="2:28" ht="30" hidden="1" customHeight="1">
      <c r="B653" s="35" t="str">
        <f>IF(MONTH(F652)&lt;&gt;MONTH(TableauCB[[#This Row],[Date d''éxigibilité]]),(TableauCB[[#This Row],[Date d''éxigibilité]]),"")</f>
        <v/>
      </c>
      <c r="C653" s="11" t="s">
        <v>33</v>
      </c>
      <c r="D653" s="11" t="s">
        <v>22</v>
      </c>
      <c r="E653" s="11" t="s">
        <v>17</v>
      </c>
      <c r="F653" s="34">
        <v>42427</v>
      </c>
      <c r="G653"/>
      <c r="H653"/>
      <c r="I653" s="32"/>
      <c r="J653"/>
      <c r="K653" s="32"/>
      <c r="L653" s="30">
        <v>32.26</v>
      </c>
      <c r="M653" s="29"/>
      <c r="N653" s="28">
        <f>IF(OR(TableauCB[[#This Row],[Etat]]="",TableauCB[[#This Row],[Etat]]="c"),IF(TableauCB[[#This Row],[Solde]]="","",N652),N652-TableauCB[[#This Row],[Débit]]+TableauCB[[#This Row],[Crédit]])</f>
        <v>3541.1060000000093</v>
      </c>
      <c r="O653" s="27">
        <f>IF(TableauCB[[#This Row],[Etat]]&lt;&gt;"",O652-TableauCB[[#This Row],[Débit]]+TableauCB[[#This Row],[Crédit]],O652-TableauCB[[#This Row],[Débit]])</f>
        <v>3421.1099999999992</v>
      </c>
      <c r="P653" s="27">
        <f>IF(AND(ISBLANK(TableauCB[[#This Row],[Débit]]),ISBLANK(TableauCB[[#This Row],[Crédit]])),"",P652+TableauCB[[#This Row],[Crédit]]-TableauCB[[#This Row],[Débit]])</f>
        <v>2575.1060000000075</v>
      </c>
      <c r="Q653" s="26"/>
      <c r="T653" s="24"/>
      <c r="U653" s="24"/>
      <c r="V653" s="9"/>
      <c r="W653" s="2"/>
      <c r="X653" s="9"/>
      <c r="Y653" s="8"/>
      <c r="Z653" s="7"/>
      <c r="AA653" s="7"/>
      <c r="AB653" s="6"/>
    </row>
    <row r="654" spans="2:28" ht="30" hidden="1" customHeight="1">
      <c r="B654" s="35" t="str">
        <f>IF(MONTH(F653)&lt;&gt;MONTH(TableauCB[[#This Row],[Date d''éxigibilité]]),(TableauCB[[#This Row],[Date d''éxigibilité]]),"")</f>
        <v/>
      </c>
      <c r="C654" s="11" t="s">
        <v>33</v>
      </c>
      <c r="D654" s="11" t="s">
        <v>11</v>
      </c>
      <c r="E654" s="11" t="s">
        <v>10</v>
      </c>
      <c r="F654" s="34">
        <v>42428</v>
      </c>
      <c r="G654"/>
      <c r="H654"/>
      <c r="I654" s="32">
        <v>42461</v>
      </c>
      <c r="J654"/>
      <c r="K654" s="32">
        <v>42461</v>
      </c>
      <c r="L654" s="30"/>
      <c r="M654" s="29">
        <v>108</v>
      </c>
      <c r="N654" s="28">
        <f>IF(OR(TableauCB[[#This Row],[Etat]]="",TableauCB[[#This Row],[Etat]]="c"),IF(TableauCB[[#This Row],[Solde]]="","",N653),N653-TableauCB[[#This Row],[Débit]]+TableauCB[[#This Row],[Crédit]])</f>
        <v>3649.1060000000093</v>
      </c>
      <c r="O654" s="27">
        <f>IF(TableauCB[[#This Row],[Etat]]&lt;&gt;"",O653-TableauCB[[#This Row],[Débit]]+TableauCB[[#This Row],[Crédit]],O653-TableauCB[[#This Row],[Débit]])</f>
        <v>3529.1099999999992</v>
      </c>
      <c r="P654" s="27">
        <f>IF(AND(ISBLANK(TableauCB[[#This Row],[Débit]]),ISBLANK(TableauCB[[#This Row],[Crédit]])),"",P653+TableauCB[[#This Row],[Crédit]]-TableauCB[[#This Row],[Débit]])</f>
        <v>2683.1060000000075</v>
      </c>
      <c r="Q654" s="26"/>
      <c r="R654" s="4"/>
      <c r="S654" s="4"/>
      <c r="T654" s="24"/>
      <c r="U654" s="24"/>
      <c r="V654" s="9"/>
      <c r="W654" s="2"/>
      <c r="X654" s="9"/>
      <c r="Y654" s="8"/>
      <c r="Z654" s="7"/>
      <c r="AA654" s="7"/>
      <c r="AB654" s="6"/>
    </row>
    <row r="655" spans="2:28" ht="30" hidden="1" customHeight="1">
      <c r="B655" s="35" t="str">
        <f>IF(MONTH(F654)&lt;&gt;MONTH(TableauCB[[#This Row],[Date d''éxigibilité]]),(TableauCB[[#This Row],[Date d''éxigibilité]]),"")</f>
        <v/>
      </c>
      <c r="C655" s="11" t="s">
        <v>33</v>
      </c>
      <c r="D655" s="11" t="s">
        <v>11</v>
      </c>
      <c r="E655" s="11" t="s">
        <v>10</v>
      </c>
      <c r="F655" s="34">
        <v>42428</v>
      </c>
      <c r="G655"/>
      <c r="H655"/>
      <c r="I655" s="32">
        <v>42481</v>
      </c>
      <c r="J655"/>
      <c r="K655" s="32">
        <v>42481</v>
      </c>
      <c r="L655" s="30"/>
      <c r="M655" s="29">
        <v>198</v>
      </c>
      <c r="N655" s="28">
        <f>IF(OR(TableauCB[[#This Row],[Etat]]="",TableauCB[[#This Row],[Etat]]="c"),IF(TableauCB[[#This Row],[Solde]]="","",N654),N654-TableauCB[[#This Row],[Débit]]+TableauCB[[#This Row],[Crédit]])</f>
        <v>3847.1060000000093</v>
      </c>
      <c r="O655" s="27">
        <f>IF(TableauCB[[#This Row],[Etat]]&lt;&gt;"",O654-TableauCB[[#This Row],[Débit]]+TableauCB[[#This Row],[Crédit]],O654-TableauCB[[#This Row],[Débit]])</f>
        <v>3727.1099999999992</v>
      </c>
      <c r="P655" s="27">
        <f>IF(AND(ISBLANK(TableauCB[[#This Row],[Débit]]),ISBLANK(TableauCB[[#This Row],[Crédit]])),"",P654+TableauCB[[#This Row],[Crédit]]-TableauCB[[#This Row],[Débit]])</f>
        <v>2881.1060000000075</v>
      </c>
      <c r="Q655" s="26"/>
      <c r="R655" s="4"/>
      <c r="S655" s="4"/>
      <c r="T655" s="24"/>
      <c r="U655" s="24"/>
      <c r="V655" s="9"/>
      <c r="W655" s="2"/>
      <c r="X655" s="9"/>
      <c r="Y655" s="8"/>
      <c r="Z655" s="7"/>
      <c r="AA655" s="7"/>
      <c r="AB655" s="6"/>
    </row>
    <row r="656" spans="2:28" ht="30" hidden="1" customHeight="1">
      <c r="B656" s="35" t="str">
        <f>IF(MONTH(F655)&lt;&gt;MONTH(TableauCB[[#This Row],[Date d''éxigibilité]]),(TableauCB[[#This Row],[Date d''éxigibilité]]),"")</f>
        <v/>
      </c>
      <c r="C656" s="11" t="s">
        <v>33</v>
      </c>
      <c r="D656" s="11" t="s">
        <v>11</v>
      </c>
      <c r="E656" s="11" t="s">
        <v>10</v>
      </c>
      <c r="F656" s="34">
        <v>42428</v>
      </c>
      <c r="G656"/>
      <c r="H656"/>
      <c r="I656" s="32">
        <v>42510</v>
      </c>
      <c r="J656"/>
      <c r="K656" s="32">
        <v>42510</v>
      </c>
      <c r="L656" s="30"/>
      <c r="M656" s="29">
        <f>151.8</f>
        <v>151.80000000000001</v>
      </c>
      <c r="N656" s="28">
        <f>IF(OR(TableauCB[[#This Row],[Etat]]="",TableauCB[[#This Row],[Etat]]="c"),IF(TableauCB[[#This Row],[Solde]]="","",N655),N655-TableauCB[[#This Row],[Débit]]+TableauCB[[#This Row],[Crédit]])</f>
        <v>3998.9060000000095</v>
      </c>
      <c r="O656" s="27">
        <f>IF(TableauCB[[#This Row],[Etat]]&lt;&gt;"",O655-TableauCB[[#This Row],[Débit]]+TableauCB[[#This Row],[Crédit]],O655-TableauCB[[#This Row],[Débit]])</f>
        <v>3878.9099999999994</v>
      </c>
      <c r="P656" s="27">
        <f>IF(AND(ISBLANK(TableauCB[[#This Row],[Débit]]),ISBLANK(TableauCB[[#This Row],[Crédit]])),"",P655+TableauCB[[#This Row],[Crédit]]-TableauCB[[#This Row],[Débit]])</f>
        <v>3032.9060000000077</v>
      </c>
      <c r="Q656" s="26"/>
      <c r="R656" s="4"/>
      <c r="S656" s="4"/>
      <c r="T656" s="24"/>
      <c r="U656" s="24"/>
      <c r="V656" s="9"/>
      <c r="W656" s="2"/>
      <c r="X656" s="9"/>
      <c r="Y656" s="8"/>
      <c r="Z656" s="7"/>
      <c r="AA656" s="7"/>
      <c r="AB656" s="6"/>
    </row>
    <row r="657" spans="2:28" ht="30" hidden="1" customHeight="1">
      <c r="B657" s="35" t="str">
        <f>IF(MONTH(F656)&lt;&gt;MONTH(TableauCB[[#This Row],[Date d''éxigibilité]]),(TableauCB[[#This Row],[Date d''éxigibilité]]),"")</f>
        <v/>
      </c>
      <c r="C657" s="11" t="s">
        <v>33</v>
      </c>
      <c r="D657" s="11" t="s">
        <v>11</v>
      </c>
      <c r="E657" s="11" t="s">
        <v>12</v>
      </c>
      <c r="F657" s="34">
        <v>42428</v>
      </c>
      <c r="G657"/>
      <c r="H657"/>
      <c r="I657" s="32">
        <v>42488</v>
      </c>
      <c r="J657"/>
      <c r="K657" s="32">
        <v>42488</v>
      </c>
      <c r="L657" s="30"/>
      <c r="M657" s="29">
        <v>522</v>
      </c>
      <c r="N657" s="28">
        <f>IF(OR(TableauCB[[#This Row],[Etat]]="",TableauCB[[#This Row],[Etat]]="c"),IF(TableauCB[[#This Row],[Solde]]="","",N656),N656-TableauCB[[#This Row],[Débit]]+TableauCB[[#This Row],[Crédit]])</f>
        <v>4520.90600000001</v>
      </c>
      <c r="O657" s="27">
        <f>IF(TableauCB[[#This Row],[Etat]]&lt;&gt;"",O656-TableauCB[[#This Row],[Débit]]+TableauCB[[#This Row],[Crédit]],O656-TableauCB[[#This Row],[Débit]])</f>
        <v>4400.91</v>
      </c>
      <c r="P657" s="27">
        <f>IF(AND(ISBLANK(TableauCB[[#This Row],[Débit]]),ISBLANK(TableauCB[[#This Row],[Crédit]])),"",P656+TableauCB[[#This Row],[Crédit]]-TableauCB[[#This Row],[Débit]])</f>
        <v>3554.9060000000077</v>
      </c>
      <c r="Q657" s="26"/>
      <c r="R657" s="4"/>
      <c r="S657" s="4"/>
      <c r="T657" s="24"/>
      <c r="U657" s="24"/>
      <c r="V657" s="9"/>
      <c r="W657" s="2"/>
      <c r="X657" s="9"/>
      <c r="Y657" s="8"/>
      <c r="Z657" s="7"/>
      <c r="AA657" s="7"/>
      <c r="AB657" s="6"/>
    </row>
    <row r="658" spans="2:28" ht="30" hidden="1" customHeight="1">
      <c r="B658" s="35" t="str">
        <f>IF(MONTH(F657)&lt;&gt;MONTH(TableauCB[[#This Row],[Date d''éxigibilité]]),(TableauCB[[#This Row],[Date d''éxigibilité]]),"")</f>
        <v/>
      </c>
      <c r="C658" s="11" t="s">
        <v>33</v>
      </c>
      <c r="D658" s="11" t="s">
        <v>11</v>
      </c>
      <c r="E658" s="11" t="s">
        <v>10</v>
      </c>
      <c r="F658" s="34">
        <v>42428</v>
      </c>
      <c r="G658"/>
      <c r="H658"/>
      <c r="I658" s="32">
        <v>42436</v>
      </c>
      <c r="J658"/>
      <c r="K658" s="32">
        <v>42436</v>
      </c>
      <c r="L658" s="30"/>
      <c r="M658" s="29">
        <v>192</v>
      </c>
      <c r="N658" s="28">
        <f>IF(OR(TableauCB[[#This Row],[Etat]]="",TableauCB[[#This Row],[Etat]]="c"),IF(TableauCB[[#This Row],[Solde]]="","",N657),N657-TableauCB[[#This Row],[Débit]]+TableauCB[[#This Row],[Crédit]])</f>
        <v>4712.90600000001</v>
      </c>
      <c r="O658" s="27">
        <f>IF(TableauCB[[#This Row],[Etat]]&lt;&gt;"",O657-TableauCB[[#This Row],[Débit]]+TableauCB[[#This Row],[Crédit]],O657-TableauCB[[#This Row],[Débit]])</f>
        <v>4592.91</v>
      </c>
      <c r="P658" s="27">
        <f>IF(AND(ISBLANK(TableauCB[[#This Row],[Débit]]),ISBLANK(TableauCB[[#This Row],[Crédit]])),"",P657+TableauCB[[#This Row],[Crédit]]-TableauCB[[#This Row],[Débit]])</f>
        <v>3746.9060000000077</v>
      </c>
      <c r="Q658" s="26"/>
      <c r="R658" s="4"/>
      <c r="S658" s="4"/>
      <c r="T658" s="24"/>
      <c r="U658" s="24"/>
      <c r="V658" s="9"/>
      <c r="W658" s="2"/>
      <c r="X658" s="9"/>
      <c r="Y658" s="8"/>
      <c r="Z658" s="7"/>
      <c r="AA658" s="7"/>
      <c r="AB658" s="6"/>
    </row>
    <row r="659" spans="2:28" ht="30" hidden="1" customHeight="1">
      <c r="B659" s="35" t="str">
        <f>IF(MONTH(F658)&lt;&gt;MONTH(TableauCB[[#This Row],[Date d''éxigibilité]]),(TableauCB[[#This Row],[Date d''éxigibilité]]),"")</f>
        <v/>
      </c>
      <c r="C659" s="11" t="s">
        <v>33</v>
      </c>
      <c r="D659" s="11" t="s">
        <v>11</v>
      </c>
      <c r="E659" s="11" t="s">
        <v>10</v>
      </c>
      <c r="F659" s="34">
        <v>42428</v>
      </c>
      <c r="G659"/>
      <c r="H659"/>
      <c r="I659" s="32">
        <v>42461</v>
      </c>
      <c r="J659"/>
      <c r="K659" s="32">
        <v>42461</v>
      </c>
      <c r="L659" s="30"/>
      <c r="M659" s="29">
        <v>624</v>
      </c>
      <c r="N659" s="28">
        <f>IF(OR(TableauCB[[#This Row],[Etat]]="",TableauCB[[#This Row],[Etat]]="c"),IF(TableauCB[[#This Row],[Solde]]="","",N658),N658-TableauCB[[#This Row],[Débit]]+TableauCB[[#This Row],[Crédit]])</f>
        <v>5336.90600000001</v>
      </c>
      <c r="O659" s="27">
        <f>IF(TableauCB[[#This Row],[Etat]]&lt;&gt;"",O658-TableauCB[[#This Row],[Débit]]+TableauCB[[#This Row],[Crédit]],O658-TableauCB[[#This Row],[Débit]])</f>
        <v>5216.91</v>
      </c>
      <c r="P659" s="27">
        <f>IF(AND(ISBLANK(TableauCB[[#This Row],[Débit]]),ISBLANK(TableauCB[[#This Row],[Crédit]])),"",P658+TableauCB[[#This Row],[Crédit]]-TableauCB[[#This Row],[Débit]])</f>
        <v>4370.9060000000081</v>
      </c>
      <c r="Q659" s="26"/>
      <c r="R659" s="4"/>
      <c r="S659" s="4"/>
      <c r="T659" s="24"/>
      <c r="U659" s="24"/>
      <c r="V659" s="9"/>
      <c r="W659" s="2"/>
      <c r="X659" s="9"/>
      <c r="Y659" s="8"/>
      <c r="Z659" s="7"/>
      <c r="AA659" s="7"/>
      <c r="AB659" s="6"/>
    </row>
    <row r="660" spans="2:28" ht="30" hidden="1" customHeight="1">
      <c r="B660" s="35" t="str">
        <f>IF(MONTH(F659)&lt;&gt;MONTH(TableauCB[[#This Row],[Date d''éxigibilité]]),(TableauCB[[#This Row],[Date d''éxigibilité]]),"")</f>
        <v/>
      </c>
      <c r="C660" s="11" t="s">
        <v>33</v>
      </c>
      <c r="D660" s="11" t="s">
        <v>11</v>
      </c>
      <c r="E660" s="11" t="s">
        <v>12</v>
      </c>
      <c r="F660" s="34">
        <v>42428</v>
      </c>
      <c r="G660"/>
      <c r="H660"/>
      <c r="I660" s="32">
        <v>42437</v>
      </c>
      <c r="J660"/>
      <c r="K660" s="32">
        <v>42437</v>
      </c>
      <c r="L660" s="30"/>
      <c r="M660" s="29">
        <v>115.2</v>
      </c>
      <c r="N660" s="28">
        <f>IF(OR(TableauCB[[#This Row],[Etat]]="",TableauCB[[#This Row],[Etat]]="c"),IF(TableauCB[[#This Row],[Solde]]="","",N659),N659-TableauCB[[#This Row],[Débit]]+TableauCB[[#This Row],[Crédit]])</f>
        <v>5452.1060000000098</v>
      </c>
      <c r="O660" s="27">
        <f>IF(TableauCB[[#This Row],[Etat]]&lt;&gt;"",O659-TableauCB[[#This Row],[Débit]]+TableauCB[[#This Row],[Crédit]],O659-TableauCB[[#This Row],[Débit]])</f>
        <v>5332.11</v>
      </c>
      <c r="P660" s="27">
        <f>IF(AND(ISBLANK(TableauCB[[#This Row],[Débit]]),ISBLANK(TableauCB[[#This Row],[Crédit]])),"",P659+TableauCB[[#This Row],[Crédit]]-TableauCB[[#This Row],[Débit]])</f>
        <v>4486.106000000008</v>
      </c>
      <c r="Q660" s="26"/>
      <c r="R660" s="4"/>
      <c r="S660" s="4"/>
      <c r="T660" s="24"/>
      <c r="U660" s="24"/>
      <c r="V660" s="9"/>
      <c r="W660" s="2"/>
      <c r="X660" s="9"/>
      <c r="Y660" s="8"/>
      <c r="Z660" s="7"/>
      <c r="AA660" s="7"/>
      <c r="AB660" s="6"/>
    </row>
    <row r="661" spans="2:28" ht="30" hidden="1" customHeight="1">
      <c r="B661" s="35" t="str">
        <f>IF(MONTH(F660)&lt;&gt;MONTH(TableauCB[[#This Row],[Date d''éxigibilité]]),(TableauCB[[#This Row],[Date d''éxigibilité]]),"")</f>
        <v/>
      </c>
      <c r="C661" s="11" t="s">
        <v>33</v>
      </c>
      <c r="D661" s="11" t="s">
        <v>11</v>
      </c>
      <c r="E661" s="11" t="s">
        <v>47</v>
      </c>
      <c r="F661" s="34">
        <v>42428</v>
      </c>
      <c r="G661"/>
      <c r="H661"/>
      <c r="I661" s="32">
        <v>42459</v>
      </c>
      <c r="J661"/>
      <c r="K661" s="32">
        <v>42459</v>
      </c>
      <c r="L661" s="30"/>
      <c r="M661" s="29">
        <v>92.4</v>
      </c>
      <c r="N661" s="28">
        <f>IF(OR(TableauCB[[#This Row],[Etat]]="",TableauCB[[#This Row],[Etat]]="c"),IF(TableauCB[[#This Row],[Solde]]="","",N660),N660-TableauCB[[#This Row],[Débit]]+TableauCB[[#This Row],[Crédit]])</f>
        <v>5544.5060000000094</v>
      </c>
      <c r="O661" s="27">
        <f>IF(TableauCB[[#This Row],[Etat]]&lt;&gt;"",O660-TableauCB[[#This Row],[Débit]]+TableauCB[[#This Row],[Crédit]],O660-TableauCB[[#This Row],[Débit]])</f>
        <v>5424.5099999999993</v>
      </c>
      <c r="P661" s="27">
        <f>IF(AND(ISBLANK(TableauCB[[#This Row],[Débit]]),ISBLANK(TableauCB[[#This Row],[Crédit]])),"",P660+TableauCB[[#This Row],[Crédit]]-TableauCB[[#This Row],[Débit]])</f>
        <v>4578.5060000000076</v>
      </c>
      <c r="Q661" s="26"/>
      <c r="R661" s="4"/>
      <c r="S661" s="4"/>
      <c r="T661" s="24"/>
      <c r="U661" s="24"/>
      <c r="V661" s="9"/>
      <c r="W661" s="2"/>
      <c r="X661" s="9"/>
      <c r="Y661" s="8"/>
      <c r="Z661" s="7"/>
      <c r="AA661" s="7"/>
      <c r="AB661" s="6"/>
    </row>
    <row r="662" spans="2:28" ht="30" hidden="1" customHeight="1">
      <c r="B662" s="35" t="str">
        <f>IF(MONTH(F661)&lt;&gt;MONTH(TableauCB[[#This Row],[Date d''éxigibilité]]),(TableauCB[[#This Row],[Date d''éxigibilité]]),"")</f>
        <v/>
      </c>
      <c r="C662" s="11" t="s">
        <v>33</v>
      </c>
      <c r="D662" s="11" t="s">
        <v>11</v>
      </c>
      <c r="E662" s="11" t="s">
        <v>49</v>
      </c>
      <c r="F662" s="34">
        <v>42428</v>
      </c>
      <c r="G662"/>
      <c r="H662"/>
      <c r="I662" s="32">
        <v>42447</v>
      </c>
      <c r="J662"/>
      <c r="K662" s="32">
        <v>42447</v>
      </c>
      <c r="L662" s="30"/>
      <c r="M662" s="29">
        <v>120</v>
      </c>
      <c r="N662" s="28">
        <f>IF(OR(TableauCB[[#This Row],[Etat]]="",TableauCB[[#This Row],[Etat]]="c"),IF(TableauCB[[#This Row],[Solde]]="","",N661),N661-TableauCB[[#This Row],[Débit]]+TableauCB[[#This Row],[Crédit]])</f>
        <v>5664.5060000000094</v>
      </c>
      <c r="O662" s="27">
        <f>IF(TableauCB[[#This Row],[Etat]]&lt;&gt;"",O661-TableauCB[[#This Row],[Débit]]+TableauCB[[#This Row],[Crédit]],O661-TableauCB[[#This Row],[Débit]])</f>
        <v>5544.5099999999993</v>
      </c>
      <c r="P662" s="27">
        <f>IF(AND(ISBLANK(TableauCB[[#This Row],[Débit]]),ISBLANK(TableauCB[[#This Row],[Crédit]])),"",P661+TableauCB[[#This Row],[Crédit]]-TableauCB[[#This Row],[Débit]])</f>
        <v>4698.5060000000076</v>
      </c>
      <c r="Q662" s="26"/>
      <c r="R662" s="4"/>
      <c r="S662" s="4"/>
      <c r="T662" s="24"/>
      <c r="U662" s="24"/>
      <c r="V662" s="9"/>
      <c r="W662" s="2"/>
      <c r="X662" s="9"/>
      <c r="Y662" s="8"/>
      <c r="Z662" s="7"/>
      <c r="AA662" s="7"/>
      <c r="AB662" s="6"/>
    </row>
    <row r="663" spans="2:28" ht="30" hidden="1" customHeight="1">
      <c r="B663" s="35" t="str">
        <f>IF(MONTH(F662)&lt;&gt;MONTH(TableauCB[[#This Row],[Date d''éxigibilité]]),(TableauCB[[#This Row],[Date d''éxigibilité]]),"")</f>
        <v/>
      </c>
      <c r="C663" s="11" t="s">
        <v>33</v>
      </c>
      <c r="D663" s="11" t="s">
        <v>11</v>
      </c>
      <c r="E663" s="11" t="s">
        <v>10</v>
      </c>
      <c r="F663" s="34">
        <v>42428</v>
      </c>
      <c r="G663"/>
      <c r="H663"/>
      <c r="I663" s="32">
        <v>42470</v>
      </c>
      <c r="J663"/>
      <c r="K663" s="32">
        <v>42470</v>
      </c>
      <c r="L663" s="30"/>
      <c r="M663" s="29">
        <v>96</v>
      </c>
      <c r="N663" s="28">
        <f>IF(OR(TableauCB[[#This Row],[Etat]]="",TableauCB[[#This Row],[Etat]]="c"),IF(TableauCB[[#This Row],[Solde]]="","",N662),N662-TableauCB[[#This Row],[Débit]]+TableauCB[[#This Row],[Crédit]])</f>
        <v>5760.5060000000094</v>
      </c>
      <c r="O663" s="27">
        <f>IF(TableauCB[[#This Row],[Etat]]&lt;&gt;"",O662-TableauCB[[#This Row],[Débit]]+TableauCB[[#This Row],[Crédit]],O662-TableauCB[[#This Row],[Débit]])</f>
        <v>5640.5099999999993</v>
      </c>
      <c r="P663" s="27">
        <f>IF(AND(ISBLANK(TableauCB[[#This Row],[Débit]]),ISBLANK(TableauCB[[#This Row],[Crédit]])),"",P662+TableauCB[[#This Row],[Crédit]]-TableauCB[[#This Row],[Débit]])</f>
        <v>4794.5060000000076</v>
      </c>
      <c r="Q663" s="26"/>
      <c r="R663" s="4"/>
      <c r="S663" s="4"/>
      <c r="T663" s="24"/>
      <c r="U663" s="24"/>
      <c r="V663" s="9"/>
      <c r="W663" s="2"/>
      <c r="X663" s="9"/>
      <c r="Y663" s="8"/>
      <c r="Z663" s="7"/>
      <c r="AA663" s="7"/>
      <c r="AB663" s="6"/>
    </row>
    <row r="664" spans="2:28" ht="30" hidden="1" customHeight="1">
      <c r="B664" s="35" t="str">
        <f>IF(MONTH(F663)&lt;&gt;MONTH(TableauCB[[#This Row],[Date d''éxigibilité]]),(TableauCB[[#This Row],[Date d''éxigibilité]]),"")</f>
        <v/>
      </c>
      <c r="C664" s="11" t="s">
        <v>33</v>
      </c>
      <c r="D664" s="11" t="s">
        <v>11</v>
      </c>
      <c r="E664" s="11" t="s">
        <v>10</v>
      </c>
      <c r="F664" s="34">
        <v>42428</v>
      </c>
      <c r="G664"/>
      <c r="H664"/>
      <c r="I664" s="32">
        <v>42437</v>
      </c>
      <c r="J664"/>
      <c r="K664" s="32">
        <v>42437</v>
      </c>
      <c r="L664" s="30"/>
      <c r="M664" s="29">
        <v>510</v>
      </c>
      <c r="N664" s="28">
        <f>IF(OR(TableauCB[[#This Row],[Etat]]="",TableauCB[[#This Row],[Etat]]="c"),IF(TableauCB[[#This Row],[Solde]]="","",N663),N663-TableauCB[[#This Row],[Débit]]+TableauCB[[#This Row],[Crédit]])</f>
        <v>6270.5060000000094</v>
      </c>
      <c r="O664" s="27">
        <f>IF(TableauCB[[#This Row],[Etat]]&lt;&gt;"",O663-TableauCB[[#This Row],[Débit]]+TableauCB[[#This Row],[Crédit]],O663-TableauCB[[#This Row],[Débit]])</f>
        <v>6150.5099999999993</v>
      </c>
      <c r="P664" s="27">
        <f>IF(AND(ISBLANK(TableauCB[[#This Row],[Débit]]),ISBLANK(TableauCB[[#This Row],[Crédit]])),"",P663+TableauCB[[#This Row],[Crédit]]-TableauCB[[#This Row],[Débit]])</f>
        <v>5304.5060000000076</v>
      </c>
      <c r="Q664" s="26"/>
      <c r="R664" s="4"/>
      <c r="S664" s="4"/>
      <c r="T664" s="24"/>
      <c r="U664" s="24"/>
      <c r="V664" s="9"/>
      <c r="W664" s="2"/>
      <c r="X664" s="9"/>
      <c r="Y664" s="8"/>
      <c r="Z664" s="7"/>
      <c r="AA664" s="7"/>
      <c r="AB664" s="6"/>
    </row>
    <row r="665" spans="2:28" ht="30" hidden="1" customHeight="1">
      <c r="B665" s="35" t="str">
        <f>IF(MONTH(F664)&lt;&gt;MONTH(TableauCB[[#This Row],[Date d''éxigibilité]]),(TableauCB[[#This Row],[Date d''éxigibilité]]),"")</f>
        <v/>
      </c>
      <c r="C665" s="11" t="s">
        <v>33</v>
      </c>
      <c r="D665" s="11" t="s">
        <v>48</v>
      </c>
      <c r="E665" s="11" t="s">
        <v>49</v>
      </c>
      <c r="F665" s="34">
        <v>42428</v>
      </c>
      <c r="G665"/>
      <c r="H665"/>
      <c r="I665" s="32">
        <v>42452</v>
      </c>
      <c r="J665"/>
      <c r="K665" s="32">
        <v>42452</v>
      </c>
      <c r="L665" s="30"/>
      <c r="M665" s="29">
        <v>144</v>
      </c>
      <c r="N665" s="28">
        <f>IF(OR(TableauCB[[#This Row],[Etat]]="",TableauCB[[#This Row],[Etat]]="c"),IF(TableauCB[[#This Row],[Solde]]="","",N664),N664-TableauCB[[#This Row],[Débit]]+TableauCB[[#This Row],[Crédit]])</f>
        <v>6414.5060000000094</v>
      </c>
      <c r="O665" s="27">
        <f>IF(TableauCB[[#This Row],[Etat]]&lt;&gt;"",O664-TableauCB[[#This Row],[Débit]]+TableauCB[[#This Row],[Crédit]],O664-TableauCB[[#This Row],[Débit]])</f>
        <v>6294.5099999999993</v>
      </c>
      <c r="P665" s="27">
        <f>IF(AND(ISBLANK(TableauCB[[#This Row],[Débit]]),ISBLANK(TableauCB[[#This Row],[Crédit]])),"",P664+TableauCB[[#This Row],[Crédit]]-TableauCB[[#This Row],[Débit]])</f>
        <v>5448.5060000000076</v>
      </c>
      <c r="Q665" s="26"/>
      <c r="R665" s="4"/>
      <c r="S665" s="4"/>
      <c r="T665" s="24"/>
      <c r="U665" s="24"/>
      <c r="V665" s="9"/>
      <c r="W665" s="2"/>
      <c r="X665" s="9"/>
      <c r="Y665" s="8"/>
      <c r="Z665" s="7"/>
      <c r="AA665" s="7"/>
      <c r="AB665" s="6"/>
    </row>
    <row r="666" spans="2:28" ht="30" hidden="1" customHeight="1">
      <c r="B666" s="35" t="str">
        <f>IF(MONTH(F665)&lt;&gt;MONTH(TableauCB[[#This Row],[Date d''éxigibilité]]),(TableauCB[[#This Row],[Date d''éxigibilité]]),"")</f>
        <v/>
      </c>
      <c r="C666" s="11" t="s">
        <v>33</v>
      </c>
      <c r="D666" s="11" t="s">
        <v>22</v>
      </c>
      <c r="E666" s="11" t="s">
        <v>43</v>
      </c>
      <c r="F666" s="34">
        <v>42428</v>
      </c>
      <c r="G666"/>
      <c r="H666"/>
      <c r="I666" s="32">
        <v>42451</v>
      </c>
      <c r="J666"/>
      <c r="K666" s="32">
        <v>42451</v>
      </c>
      <c r="L666" s="30">
        <v>240</v>
      </c>
      <c r="M666" s="29"/>
      <c r="N666" s="28">
        <f>IF(OR(TableauCB[[#This Row],[Etat]]="",TableauCB[[#This Row],[Etat]]="c"),IF(TableauCB[[#This Row],[Solde]]="","",N665),N665-TableauCB[[#This Row],[Débit]]+TableauCB[[#This Row],[Crédit]])</f>
        <v>6174.5060000000094</v>
      </c>
      <c r="O666" s="27">
        <f>IF(TableauCB[[#This Row],[Etat]]&lt;&gt;"",O665-TableauCB[[#This Row],[Débit]]+TableauCB[[#This Row],[Crédit]],O665-TableauCB[[#This Row],[Débit]])</f>
        <v>6054.5099999999993</v>
      </c>
      <c r="P666" s="27">
        <f>IF(AND(ISBLANK(TableauCB[[#This Row],[Débit]]),ISBLANK(TableauCB[[#This Row],[Crédit]])),"",P665+TableauCB[[#This Row],[Crédit]]-TableauCB[[#This Row],[Débit]])</f>
        <v>5208.5060000000076</v>
      </c>
      <c r="Q666" s="26"/>
      <c r="R666" s="4"/>
      <c r="S666" s="4"/>
      <c r="T666" s="24"/>
      <c r="U666" s="24"/>
      <c r="V666" s="9"/>
      <c r="W666" s="2"/>
      <c r="X666" s="9"/>
      <c r="Y666" s="8"/>
      <c r="Z666" s="7"/>
      <c r="AA666" s="7"/>
      <c r="AB666" s="6"/>
    </row>
    <row r="667" spans="2:28" ht="30" hidden="1" customHeight="1">
      <c r="B667" s="35" t="str">
        <f>IF(MONTH(F666)&lt;&gt;MONTH(TableauCB[[#This Row],[Date d''éxigibilité]]),(TableauCB[[#This Row],[Date d''éxigibilité]]),"")</f>
        <v/>
      </c>
      <c r="C667" s="11" t="s">
        <v>33</v>
      </c>
      <c r="D667" s="11" t="s">
        <v>5</v>
      </c>
      <c r="E667" s="11" t="s">
        <v>7</v>
      </c>
      <c r="F667" s="34">
        <v>42428</v>
      </c>
      <c r="G667"/>
      <c r="H667"/>
      <c r="I667" s="32"/>
      <c r="J667"/>
      <c r="K667" s="32"/>
      <c r="L667" s="30">
        <v>502.94</v>
      </c>
      <c r="M667" s="29"/>
      <c r="N667" s="28">
        <f>IF(OR(TableauCB[[#This Row],[Etat]]="",TableauCB[[#This Row],[Etat]]="c"),IF(TableauCB[[#This Row],[Solde]]="","",N666),N666-TableauCB[[#This Row],[Débit]]+TableauCB[[#This Row],[Crédit]])</f>
        <v>5671.5660000000098</v>
      </c>
      <c r="O667" s="27">
        <f>IF(TableauCB[[#This Row],[Etat]]&lt;&gt;"",O666-TableauCB[[#This Row],[Débit]]+TableauCB[[#This Row],[Crédit]],O666-TableauCB[[#This Row],[Débit]])</f>
        <v>5551.57</v>
      </c>
      <c r="P667" s="27">
        <f>IF(AND(ISBLANK(TableauCB[[#This Row],[Débit]]),ISBLANK(TableauCB[[#This Row],[Crédit]])),"",P666+TableauCB[[#This Row],[Crédit]]-TableauCB[[#This Row],[Débit]])</f>
        <v>4705.566000000008</v>
      </c>
      <c r="Q667" s="26"/>
      <c r="R667" s="36"/>
      <c r="S667" s="36"/>
      <c r="T667" s="24"/>
      <c r="U667" s="24"/>
      <c r="V667" s="9"/>
      <c r="W667" s="2"/>
      <c r="X667" s="9"/>
      <c r="Y667" s="8"/>
      <c r="Z667" s="7"/>
      <c r="AA667" s="7"/>
      <c r="AB667" s="6"/>
    </row>
    <row r="668" spans="2:28" ht="30" hidden="1" customHeight="1">
      <c r="B668" s="35" t="str">
        <f>IF(MONTH(F667)&lt;&gt;MONTH(TableauCB[[#This Row],[Date d''éxigibilité]]),(TableauCB[[#This Row],[Date d''éxigibilité]]),"")</f>
        <v/>
      </c>
      <c r="C668" s="11" t="s">
        <v>33</v>
      </c>
      <c r="D668" s="11" t="s">
        <v>5</v>
      </c>
      <c r="E668" s="11" t="s">
        <v>6</v>
      </c>
      <c r="F668" s="34">
        <v>42428</v>
      </c>
      <c r="G668"/>
      <c r="H668"/>
      <c r="I668" s="32">
        <v>42593</v>
      </c>
      <c r="J668"/>
      <c r="K668" s="32">
        <v>42597</v>
      </c>
      <c r="L668" s="30">
        <v>163.61000000000001</v>
      </c>
      <c r="M668" s="29"/>
      <c r="N668" s="28">
        <f>IF(OR(TableauCB[[#This Row],[Etat]]="",TableauCB[[#This Row],[Etat]]="c"),IF(TableauCB[[#This Row],[Solde]]="","",N667),N667-TableauCB[[#This Row],[Débit]]+TableauCB[[#This Row],[Crédit]])</f>
        <v>5507.9560000000101</v>
      </c>
      <c r="O668" s="27">
        <f>IF(TableauCB[[#This Row],[Etat]]&lt;&gt;"",O667-TableauCB[[#This Row],[Débit]]+TableauCB[[#This Row],[Crédit]],O667-TableauCB[[#This Row],[Débit]])</f>
        <v>5387.96</v>
      </c>
      <c r="P668" s="27">
        <f>IF(AND(ISBLANK(TableauCB[[#This Row],[Débit]]),ISBLANK(TableauCB[[#This Row],[Crédit]])),"",P667+TableauCB[[#This Row],[Crédit]]-TableauCB[[#This Row],[Débit]])</f>
        <v>4541.9560000000083</v>
      </c>
      <c r="Q668" s="26"/>
      <c r="R668" s="25">
        <v>1090.95</v>
      </c>
      <c r="S668" s="25"/>
      <c r="T668" s="24"/>
      <c r="U668" s="24"/>
      <c r="V668" s="9"/>
      <c r="W668" s="2"/>
      <c r="X668" s="9"/>
      <c r="Y668" s="8"/>
      <c r="Z668" s="7"/>
      <c r="AA668" s="7"/>
      <c r="AB668" s="6"/>
    </row>
    <row r="669" spans="2:28" ht="30" hidden="1" customHeight="1">
      <c r="B669" s="35">
        <f>IF(MONTH(F668)&lt;&gt;MONTH(TableauCB[[#This Row],[Date d''éxigibilité]]),(TableauCB[[#This Row],[Date d''éxigibilité]]),"")</f>
        <v>42438</v>
      </c>
      <c r="C669" s="11" t="s">
        <v>33</v>
      </c>
      <c r="D669" s="11" t="s">
        <v>22</v>
      </c>
      <c r="E669" s="11" t="s">
        <v>21</v>
      </c>
      <c r="F669" s="34">
        <v>42438</v>
      </c>
      <c r="G669"/>
      <c r="H669"/>
      <c r="I669" s="32"/>
      <c r="J669"/>
      <c r="K669" s="32"/>
      <c r="L669" s="30">
        <v>22.2</v>
      </c>
      <c r="M669" s="29"/>
      <c r="N669" s="28">
        <f>IF(OR(TableauCB[[#This Row],[Etat]]="",TableauCB[[#This Row],[Etat]]="c"),IF(TableauCB[[#This Row],[Solde]]="","",N668),N668-TableauCB[[#This Row],[Débit]]+TableauCB[[#This Row],[Crédit]])</f>
        <v>5485.7560000000103</v>
      </c>
      <c r="O669" s="27">
        <f>IF(TableauCB[[#This Row],[Etat]]&lt;&gt;"",O668-TableauCB[[#This Row],[Débit]]+TableauCB[[#This Row],[Crédit]],O668-TableauCB[[#This Row],[Débit]])</f>
        <v>5365.76</v>
      </c>
      <c r="P669" s="27">
        <f>IF(AND(ISBLANK(TableauCB[[#This Row],[Débit]]),ISBLANK(TableauCB[[#This Row],[Crédit]])),"",P668+TableauCB[[#This Row],[Crédit]]-TableauCB[[#This Row],[Débit]])</f>
        <v>4519.7560000000085</v>
      </c>
      <c r="Q669" s="26"/>
      <c r="R669" s="4"/>
      <c r="S669" s="4"/>
      <c r="T669" s="24"/>
      <c r="U669" s="24"/>
      <c r="V669" s="9"/>
      <c r="W669" s="2"/>
      <c r="X669" s="9"/>
      <c r="Y669" s="8"/>
      <c r="Z669" s="7"/>
      <c r="AA669" s="7"/>
      <c r="AB669" s="6"/>
    </row>
    <row r="670" spans="2:28" ht="30" hidden="1" customHeight="1">
      <c r="B670" s="35" t="str">
        <f>IF(MONTH(F669)&lt;&gt;MONTH(TableauCB[[#This Row],[Date d''éxigibilité]]),(TableauCB[[#This Row],[Date d''éxigibilité]]),"")</f>
        <v/>
      </c>
      <c r="C670" s="11" t="s">
        <v>33</v>
      </c>
      <c r="D670" s="11" t="s">
        <v>5</v>
      </c>
      <c r="E670" s="11" t="s">
        <v>7</v>
      </c>
      <c r="F670" s="34">
        <v>42439</v>
      </c>
      <c r="G670"/>
      <c r="H670"/>
      <c r="I670" s="32"/>
      <c r="J670"/>
      <c r="K670" s="32"/>
      <c r="L670" s="30">
        <v>200</v>
      </c>
      <c r="M670" s="29"/>
      <c r="N670" s="28">
        <f>IF(OR(TableauCB[[#This Row],[Etat]]="",TableauCB[[#This Row],[Etat]]="c"),IF(TableauCB[[#This Row],[Solde]]="","",N669),N669-TableauCB[[#This Row],[Débit]]+TableauCB[[#This Row],[Crédit]])</f>
        <v>5285.7560000000103</v>
      </c>
      <c r="O670" s="27">
        <f>IF(TableauCB[[#This Row],[Etat]]&lt;&gt;"",O669-TableauCB[[#This Row],[Débit]]+TableauCB[[#This Row],[Crédit]],O669-TableauCB[[#This Row],[Débit]])</f>
        <v>5165.76</v>
      </c>
      <c r="P670" s="27">
        <f>IF(AND(ISBLANK(TableauCB[[#This Row],[Débit]]),ISBLANK(TableauCB[[#This Row],[Crédit]])),"",P669+TableauCB[[#This Row],[Crédit]]-TableauCB[[#This Row],[Débit]])</f>
        <v>4319.7560000000085</v>
      </c>
      <c r="Q670" s="26"/>
      <c r="R670" s="4"/>
      <c r="S670" s="4"/>
      <c r="T670" s="24"/>
      <c r="U670" s="24"/>
      <c r="V670" s="9"/>
      <c r="W670" s="2"/>
      <c r="X670" s="9"/>
      <c r="Y670" s="8"/>
      <c r="Z670" s="7"/>
      <c r="AA670" s="7"/>
      <c r="AB670" s="6"/>
    </row>
    <row r="671" spans="2:28" ht="30" hidden="1" customHeight="1">
      <c r="B671" s="35" t="str">
        <f>IF(MONTH(F670)&lt;&gt;MONTH(TableauCB[[#This Row],[Date d''éxigibilité]]),(TableauCB[[#This Row],[Date d''éxigibilité]]),"")</f>
        <v/>
      </c>
      <c r="C671" s="11" t="s">
        <v>33</v>
      </c>
      <c r="D671" s="11" t="s">
        <v>30</v>
      </c>
      <c r="E671" s="11" t="s">
        <v>41</v>
      </c>
      <c r="F671" s="34">
        <v>42439</v>
      </c>
      <c r="G671"/>
      <c r="H671"/>
      <c r="I671" s="32"/>
      <c r="J671"/>
      <c r="K671" s="32"/>
      <c r="L671" s="30">
        <v>37.93</v>
      </c>
      <c r="M671" s="29"/>
      <c r="N671" s="28">
        <f>IF(OR(TableauCB[[#This Row],[Etat]]="",TableauCB[[#This Row],[Etat]]="c"),IF(TableauCB[[#This Row],[Solde]]="","",N670),N670-TableauCB[[#This Row],[Débit]]+TableauCB[[#This Row],[Crédit]])</f>
        <v>5247.82600000001</v>
      </c>
      <c r="O671" s="27">
        <f>IF(TableauCB[[#This Row],[Etat]]&lt;&gt;"",O670-TableauCB[[#This Row],[Débit]]+TableauCB[[#This Row],[Crédit]],O670-TableauCB[[#This Row],[Débit]])</f>
        <v>5127.83</v>
      </c>
      <c r="P671" s="27">
        <f>IF(AND(ISBLANK(TableauCB[[#This Row],[Débit]]),ISBLANK(TableauCB[[#This Row],[Crédit]])),"",P670+TableauCB[[#This Row],[Crédit]]-TableauCB[[#This Row],[Débit]])</f>
        <v>4281.8260000000082</v>
      </c>
      <c r="Q671" s="26"/>
      <c r="R671" s="4"/>
      <c r="S671" s="4"/>
      <c r="T671" s="24"/>
      <c r="U671" s="24"/>
      <c r="V671" s="9"/>
      <c r="W671" s="2"/>
      <c r="X671" s="9"/>
      <c r="Y671" s="8"/>
      <c r="Z671" s="7"/>
      <c r="AA671" s="7"/>
      <c r="AB671" s="6"/>
    </row>
    <row r="672" spans="2:28" ht="30" hidden="1" customHeight="1">
      <c r="B672" s="35" t="str">
        <f>IF(MONTH(F671)&lt;&gt;MONTH(TableauCB[[#This Row],[Date d''éxigibilité]]),(TableauCB[[#This Row],[Date d''éxigibilité]]),"")</f>
        <v/>
      </c>
      <c r="C672" s="11" t="s">
        <v>33</v>
      </c>
      <c r="D672" s="11" t="s">
        <v>22</v>
      </c>
      <c r="E672" s="11" t="s">
        <v>17</v>
      </c>
      <c r="F672" s="34">
        <v>42439</v>
      </c>
      <c r="G672"/>
      <c r="H672"/>
      <c r="I672" s="32">
        <v>42458</v>
      </c>
      <c r="J672"/>
      <c r="K672" s="32">
        <v>42458</v>
      </c>
      <c r="L672" s="30">
        <v>45.6</v>
      </c>
      <c r="M672" s="29"/>
      <c r="N672" s="28">
        <f>IF(OR(TableauCB[[#This Row],[Etat]]="",TableauCB[[#This Row],[Etat]]="c"),IF(TableauCB[[#This Row],[Solde]]="","",N671),N671-TableauCB[[#This Row],[Débit]]+TableauCB[[#This Row],[Crédit]])</f>
        <v>5202.2260000000097</v>
      </c>
      <c r="O672" s="27">
        <f>IF(TableauCB[[#This Row],[Etat]]&lt;&gt;"",O671-TableauCB[[#This Row],[Débit]]+TableauCB[[#This Row],[Crédit]],O671-TableauCB[[#This Row],[Débit]])</f>
        <v>5082.2299999999996</v>
      </c>
      <c r="P672" s="27">
        <f>IF(AND(ISBLANK(TableauCB[[#This Row],[Débit]]),ISBLANK(TableauCB[[#This Row],[Crédit]])),"",P671+TableauCB[[#This Row],[Crédit]]-TableauCB[[#This Row],[Débit]])</f>
        <v>4236.2260000000078</v>
      </c>
      <c r="Q672" s="26"/>
      <c r="R672" s="4"/>
      <c r="S672" s="4"/>
      <c r="T672" s="24"/>
      <c r="U672" s="24"/>
      <c r="V672" s="9"/>
      <c r="W672" s="2"/>
      <c r="X672" s="9"/>
      <c r="Y672" s="8"/>
      <c r="Z672" s="7"/>
      <c r="AA672" s="7"/>
      <c r="AB672" s="6"/>
    </row>
    <row r="673" spans="2:28" ht="30" hidden="1" customHeight="1">
      <c r="B673" s="35" t="str">
        <f>IF(MONTH(F672)&lt;&gt;MONTH(TableauCB[[#This Row],[Date d''éxigibilité]]),(TableauCB[[#This Row],[Date d''éxigibilité]]),"")</f>
        <v/>
      </c>
      <c r="C673" s="11" t="s">
        <v>33</v>
      </c>
      <c r="D673" s="11" t="s">
        <v>15</v>
      </c>
      <c r="E673" s="11" t="s">
        <v>19</v>
      </c>
      <c r="F673" s="34">
        <v>42444</v>
      </c>
      <c r="G673"/>
      <c r="H673"/>
      <c r="I673" s="32"/>
      <c r="J673"/>
      <c r="K673" s="32"/>
      <c r="L673" s="30">
        <v>39</v>
      </c>
      <c r="M673" s="29"/>
      <c r="N673" s="28">
        <f>IF(OR(TableauCB[[#This Row],[Etat]]="",TableauCB[[#This Row],[Etat]]="c"),IF(TableauCB[[#This Row],[Solde]]="","",N672),N672-TableauCB[[#This Row],[Débit]]+TableauCB[[#This Row],[Crédit]])</f>
        <v>5163.2260000000097</v>
      </c>
      <c r="O673" s="27">
        <f>IF(TableauCB[[#This Row],[Etat]]&lt;&gt;"",O672-TableauCB[[#This Row],[Débit]]+TableauCB[[#This Row],[Crédit]],O672-TableauCB[[#This Row],[Débit]])</f>
        <v>5043.2299999999996</v>
      </c>
      <c r="P673" s="27">
        <f>IF(AND(ISBLANK(TableauCB[[#This Row],[Débit]]),ISBLANK(TableauCB[[#This Row],[Crédit]])),"",P672+TableauCB[[#This Row],[Crédit]]-TableauCB[[#This Row],[Débit]])</f>
        <v>4197.2260000000078</v>
      </c>
      <c r="Q673" s="26"/>
      <c r="R673" s="4"/>
      <c r="S673" s="4"/>
      <c r="T673" s="24"/>
      <c r="U673" s="24"/>
      <c r="V673" s="9"/>
      <c r="W673" s="2"/>
      <c r="X673" s="9"/>
      <c r="Y673" s="8"/>
      <c r="Z673" s="7"/>
      <c r="AA673" s="7"/>
      <c r="AB673" s="6"/>
    </row>
    <row r="674" spans="2:28" ht="30" hidden="1" customHeight="1">
      <c r="B674" s="35" t="str">
        <f>IF(MONTH(F673)&lt;&gt;MONTH(TableauCB[[#This Row],[Date d''éxigibilité]]),(TableauCB[[#This Row],[Date d''éxigibilité]]),"")</f>
        <v/>
      </c>
      <c r="C674" s="11" t="s">
        <v>33</v>
      </c>
      <c r="D674" s="11" t="s">
        <v>30</v>
      </c>
      <c r="E674" s="11" t="s">
        <v>41</v>
      </c>
      <c r="F674" s="34">
        <v>42444</v>
      </c>
      <c r="G674"/>
      <c r="H674"/>
      <c r="I674" s="32"/>
      <c r="J674"/>
      <c r="K674" s="32"/>
      <c r="L674" s="30">
        <v>73.34</v>
      </c>
      <c r="M674" s="29"/>
      <c r="N674" s="28">
        <f>IF(OR(TableauCB[[#This Row],[Etat]]="",TableauCB[[#This Row],[Etat]]="c"),IF(TableauCB[[#This Row],[Solde]]="","",N673),N673-TableauCB[[#This Row],[Débit]]+TableauCB[[#This Row],[Crédit]])</f>
        <v>5089.8860000000095</v>
      </c>
      <c r="O674" s="27">
        <f>IF(TableauCB[[#This Row],[Etat]]&lt;&gt;"",O673-TableauCB[[#This Row],[Débit]]+TableauCB[[#This Row],[Crédit]],O673-TableauCB[[#This Row],[Débit]])</f>
        <v>4969.8899999999994</v>
      </c>
      <c r="P674" s="27">
        <f>IF(AND(ISBLANK(TableauCB[[#This Row],[Débit]]),ISBLANK(TableauCB[[#This Row],[Crédit]])),"",P673+TableauCB[[#This Row],[Crédit]]-TableauCB[[#This Row],[Débit]])</f>
        <v>4123.8860000000077</v>
      </c>
      <c r="Q674" s="26"/>
      <c r="R674" s="4"/>
      <c r="S674" s="39"/>
      <c r="T674" s="24"/>
      <c r="U674" s="24"/>
      <c r="V674" s="9"/>
      <c r="W674" s="2"/>
      <c r="X674" s="9"/>
      <c r="Y674" s="8"/>
      <c r="Z674" s="7"/>
      <c r="AA674" s="7"/>
      <c r="AB674" s="6"/>
    </row>
    <row r="675" spans="2:28" ht="30" hidden="1" customHeight="1">
      <c r="B675" s="35" t="str">
        <f>IF(MONTH(F674)&lt;&gt;MONTH(TableauCB[[#This Row],[Date d''éxigibilité]]),(TableauCB[[#This Row],[Date d''éxigibilité]]),"")</f>
        <v/>
      </c>
      <c r="C675" s="11" t="s">
        <v>33</v>
      </c>
      <c r="D675" s="11" t="s">
        <v>15</v>
      </c>
      <c r="E675" s="11" t="s">
        <v>5</v>
      </c>
      <c r="F675" s="34">
        <v>42446</v>
      </c>
      <c r="G675"/>
      <c r="H675"/>
      <c r="I675" s="32"/>
      <c r="J675"/>
      <c r="K675" s="32"/>
      <c r="L675" s="30">
        <v>220</v>
      </c>
      <c r="M675" s="29"/>
      <c r="N675" s="28">
        <f>IF(OR(TableauCB[[#This Row],[Etat]]="",TableauCB[[#This Row],[Etat]]="c"),IF(TableauCB[[#This Row],[Solde]]="","",N674),N674-TableauCB[[#This Row],[Débit]]+TableauCB[[#This Row],[Crédit]])</f>
        <v>4869.8860000000095</v>
      </c>
      <c r="O675" s="27">
        <f>IF(TableauCB[[#This Row],[Etat]]&lt;&gt;"",O674-TableauCB[[#This Row],[Débit]]+TableauCB[[#This Row],[Crédit]],O674-TableauCB[[#This Row],[Débit]])</f>
        <v>4749.8899999999994</v>
      </c>
      <c r="P675" s="27">
        <f>IF(AND(ISBLANK(TableauCB[[#This Row],[Débit]]),ISBLANK(TableauCB[[#This Row],[Crédit]])),"",P674+TableauCB[[#This Row],[Crédit]]-TableauCB[[#This Row],[Débit]])</f>
        <v>3903.8860000000077</v>
      </c>
      <c r="Q675" s="26"/>
      <c r="R675" s="4"/>
      <c r="S675" s="39"/>
      <c r="T675" s="24"/>
      <c r="U675" s="24"/>
      <c r="V675" s="9"/>
      <c r="W675" s="2"/>
      <c r="X675" s="9"/>
      <c r="Y675" s="8"/>
      <c r="Z675" s="7"/>
      <c r="AA675" s="7"/>
      <c r="AB675" s="6"/>
    </row>
    <row r="676" spans="2:28" ht="30" hidden="1" customHeight="1">
      <c r="B676" s="35" t="str">
        <f>IF(MONTH(F675)&lt;&gt;MONTH(TableauCB[[#This Row],[Date d''éxigibilité]]),(TableauCB[[#This Row],[Date d''éxigibilité]]),"")</f>
        <v/>
      </c>
      <c r="C676" s="11" t="s">
        <v>33</v>
      </c>
      <c r="D676" s="11" t="s">
        <v>22</v>
      </c>
      <c r="E676" s="11" t="s">
        <v>37</v>
      </c>
      <c r="F676" s="34">
        <v>42448</v>
      </c>
      <c r="G676"/>
      <c r="H676"/>
      <c r="I676" s="32">
        <v>42451</v>
      </c>
      <c r="J676"/>
      <c r="K676" s="32">
        <v>42451</v>
      </c>
      <c r="L676" s="30">
        <v>66.099999999999994</v>
      </c>
      <c r="M676" s="29"/>
      <c r="N676" s="28">
        <f>IF(OR(TableauCB[[#This Row],[Etat]]="",TableauCB[[#This Row],[Etat]]="c"),IF(TableauCB[[#This Row],[Solde]]="","",N675),N675-TableauCB[[#This Row],[Débit]]+TableauCB[[#This Row],[Crédit]])</f>
        <v>4803.7860000000092</v>
      </c>
      <c r="O676" s="27">
        <f>IF(TableauCB[[#This Row],[Etat]]&lt;&gt;"",O675-TableauCB[[#This Row],[Débit]]+TableauCB[[#This Row],[Crédit]],O675-TableauCB[[#This Row],[Débit]])</f>
        <v>4683.7899999999991</v>
      </c>
      <c r="P676" s="27">
        <f>IF(AND(ISBLANK(TableauCB[[#This Row],[Débit]]),ISBLANK(TableauCB[[#This Row],[Crédit]])),"",P675+TableauCB[[#This Row],[Crédit]]-TableauCB[[#This Row],[Débit]])</f>
        <v>3837.7860000000078</v>
      </c>
      <c r="Q676" s="26"/>
      <c r="R676" s="4"/>
      <c r="S676" s="39"/>
      <c r="T676" s="24"/>
      <c r="U676" s="24"/>
      <c r="V676" s="9"/>
      <c r="W676" s="2"/>
      <c r="X676" s="9"/>
      <c r="Y676" s="8"/>
      <c r="Z676" s="7"/>
      <c r="AA676" s="7"/>
      <c r="AB676" s="6"/>
    </row>
    <row r="677" spans="2:28" ht="30" hidden="1" customHeight="1">
      <c r="B677" s="35" t="str">
        <f>IF(MONTH(F676)&lt;&gt;MONTH(TableauCB[[#This Row],[Date d''éxigibilité]]),(TableauCB[[#This Row],[Date d''éxigibilité]]),"")</f>
        <v/>
      </c>
      <c r="C677" s="11" t="s">
        <v>33</v>
      </c>
      <c r="D677" s="11" t="s">
        <v>22</v>
      </c>
      <c r="E677" s="11" t="s">
        <v>17</v>
      </c>
      <c r="F677" s="34">
        <v>42455</v>
      </c>
      <c r="G677"/>
      <c r="H677"/>
      <c r="I677" s="32">
        <v>42454</v>
      </c>
      <c r="J677"/>
      <c r="K677" s="32">
        <v>42454</v>
      </c>
      <c r="L677" s="30">
        <v>3.59</v>
      </c>
      <c r="M677" s="29"/>
      <c r="N677" s="28">
        <f>IF(OR(TableauCB[[#This Row],[Etat]]="",TableauCB[[#This Row],[Etat]]="c"),IF(TableauCB[[#This Row],[Solde]]="","",N676),N676-TableauCB[[#This Row],[Débit]]+TableauCB[[#This Row],[Crédit]])</f>
        <v>4800.196000000009</v>
      </c>
      <c r="O677" s="27">
        <f>IF(TableauCB[[#This Row],[Etat]]&lt;&gt;"",O676-TableauCB[[#This Row],[Débit]]+TableauCB[[#This Row],[Crédit]],O676-TableauCB[[#This Row],[Débit]])</f>
        <v>4680.1999999999989</v>
      </c>
      <c r="P677" s="27">
        <f>IF(AND(ISBLANK(TableauCB[[#This Row],[Débit]]),ISBLANK(TableauCB[[#This Row],[Crédit]])),"",P676+TableauCB[[#This Row],[Crédit]]-TableauCB[[#This Row],[Débit]])</f>
        <v>3834.1960000000076</v>
      </c>
      <c r="Q677" s="26"/>
      <c r="R677" s="4"/>
      <c r="S677" s="39"/>
      <c r="T677" s="24"/>
      <c r="U677" s="24"/>
      <c r="V677" s="9"/>
      <c r="W677" s="2"/>
      <c r="X677" s="9"/>
      <c r="Y677" s="8"/>
      <c r="Z677" s="7"/>
      <c r="AA677" s="7"/>
      <c r="AB677" s="6"/>
    </row>
    <row r="678" spans="2:28" ht="30" hidden="1" customHeight="1">
      <c r="B678" s="35" t="str">
        <f>IF(MONTH(F677)&lt;&gt;MONTH(TableauCB[[#This Row],[Date d''éxigibilité]]),(TableauCB[[#This Row],[Date d''éxigibilité]]),"")</f>
        <v/>
      </c>
      <c r="C678" s="11" t="s">
        <v>33</v>
      </c>
      <c r="D678" s="11" t="s">
        <v>11</v>
      </c>
      <c r="E678" s="11" t="s">
        <v>10</v>
      </c>
      <c r="F678" s="34">
        <v>42459</v>
      </c>
      <c r="G678"/>
      <c r="H678"/>
      <c r="I678" s="32">
        <v>42493</v>
      </c>
      <c r="J678"/>
      <c r="K678" s="32">
        <v>42493</v>
      </c>
      <c r="L678" s="30"/>
      <c r="M678" s="29">
        <v>108</v>
      </c>
      <c r="N678" s="28">
        <f>IF(OR(TableauCB[[#This Row],[Etat]]="",TableauCB[[#This Row],[Etat]]="c"),IF(TableauCB[[#This Row],[Solde]]="","",N677),N677-TableauCB[[#This Row],[Débit]]+TableauCB[[#This Row],[Crédit]])</f>
        <v>4908.196000000009</v>
      </c>
      <c r="O678" s="27">
        <f>IF(TableauCB[[#This Row],[Etat]]&lt;&gt;"",O677-TableauCB[[#This Row],[Débit]]+TableauCB[[#This Row],[Crédit]],O677-TableauCB[[#This Row],[Débit]])</f>
        <v>4788.1999999999989</v>
      </c>
      <c r="P678" s="27">
        <f>IF(AND(ISBLANK(TableauCB[[#This Row],[Débit]]),ISBLANK(TableauCB[[#This Row],[Crédit]])),"",P677+TableauCB[[#This Row],[Crédit]]-TableauCB[[#This Row],[Débit]])</f>
        <v>3942.1960000000076</v>
      </c>
      <c r="Q678" s="26"/>
      <c r="R678" s="4"/>
      <c r="S678" s="39"/>
      <c r="T678" s="24"/>
      <c r="U678" s="24"/>
      <c r="V678" s="9"/>
      <c r="W678" s="2"/>
      <c r="X678" s="9"/>
      <c r="Y678" s="8"/>
      <c r="Z678" s="7"/>
      <c r="AA678" s="7"/>
      <c r="AB678" s="6"/>
    </row>
    <row r="679" spans="2:28" ht="30" hidden="1" customHeight="1">
      <c r="B679" s="35" t="str">
        <f>IF(MONTH(F678)&lt;&gt;MONTH(TableauCB[[#This Row],[Date d''éxigibilité]]),(TableauCB[[#This Row],[Date d''éxigibilité]]),"")</f>
        <v/>
      </c>
      <c r="C679" s="11" t="s">
        <v>33</v>
      </c>
      <c r="D679" s="11" t="s">
        <v>11</v>
      </c>
      <c r="E679" s="11" t="s">
        <v>10</v>
      </c>
      <c r="F679" s="34">
        <v>42459</v>
      </c>
      <c r="G679"/>
      <c r="H679"/>
      <c r="I679" s="32">
        <v>42481</v>
      </c>
      <c r="J679"/>
      <c r="K679" s="32">
        <v>42481</v>
      </c>
      <c r="L679" s="30"/>
      <c r="M679" s="29">
        <v>198</v>
      </c>
      <c r="N679" s="28">
        <f>IF(OR(TableauCB[[#This Row],[Etat]]="",TableauCB[[#This Row],[Etat]]="c"),IF(TableauCB[[#This Row],[Solde]]="","",N678),N678-TableauCB[[#This Row],[Débit]]+TableauCB[[#This Row],[Crédit]])</f>
        <v>5106.196000000009</v>
      </c>
      <c r="O679" s="27">
        <f>IF(TableauCB[[#This Row],[Etat]]&lt;&gt;"",O678-TableauCB[[#This Row],[Débit]]+TableauCB[[#This Row],[Crédit]],O678-TableauCB[[#This Row],[Débit]])</f>
        <v>4986.1999999999989</v>
      </c>
      <c r="P679" s="27">
        <f>IF(AND(ISBLANK(TableauCB[[#This Row],[Débit]]),ISBLANK(TableauCB[[#This Row],[Crédit]])),"",P678+TableauCB[[#This Row],[Crédit]]-TableauCB[[#This Row],[Débit]])</f>
        <v>4140.1960000000072</v>
      </c>
      <c r="Q679" s="26"/>
      <c r="R679" s="4"/>
      <c r="S679" s="39"/>
      <c r="T679" s="24"/>
      <c r="U679" s="24"/>
      <c r="V679" s="9"/>
      <c r="W679" s="2"/>
      <c r="X679" s="9"/>
      <c r="Y679" s="8"/>
      <c r="Z679" s="7"/>
      <c r="AA679" s="7"/>
      <c r="AB679" s="6"/>
    </row>
    <row r="680" spans="2:28" ht="30" hidden="1" customHeight="1">
      <c r="B680" s="35" t="str">
        <f>IF(MONTH(F679)&lt;&gt;MONTH(TableauCB[[#This Row],[Date d''éxigibilité]]),(TableauCB[[#This Row],[Date d''éxigibilité]]),"")</f>
        <v/>
      </c>
      <c r="C680" s="11" t="s">
        <v>33</v>
      </c>
      <c r="D680" s="11" t="s">
        <v>11</v>
      </c>
      <c r="E680" s="11" t="s">
        <v>10</v>
      </c>
      <c r="F680" s="34">
        <v>42459</v>
      </c>
      <c r="G680"/>
      <c r="H680"/>
      <c r="I680" s="32">
        <v>42537</v>
      </c>
      <c r="J680"/>
      <c r="K680" s="32">
        <v>42537</v>
      </c>
      <c r="L680" s="30"/>
      <c r="M680" s="29">
        <f>151.8</f>
        <v>151.80000000000001</v>
      </c>
      <c r="N680" s="28">
        <f>IF(OR(TableauCB[[#This Row],[Etat]]="",TableauCB[[#This Row],[Etat]]="c"),IF(TableauCB[[#This Row],[Solde]]="","",N679),N679-TableauCB[[#This Row],[Débit]]+TableauCB[[#This Row],[Crédit]])</f>
        <v>5257.9960000000092</v>
      </c>
      <c r="O680" s="27">
        <f>IF(TableauCB[[#This Row],[Etat]]&lt;&gt;"",O679-TableauCB[[#This Row],[Débit]]+TableauCB[[#This Row],[Crédit]],O679-TableauCB[[#This Row],[Débit]])</f>
        <v>5137.9999999999991</v>
      </c>
      <c r="P680" s="27">
        <f>IF(AND(ISBLANK(TableauCB[[#This Row],[Débit]]),ISBLANK(TableauCB[[#This Row],[Crédit]])),"",P679+TableauCB[[#This Row],[Crédit]]-TableauCB[[#This Row],[Débit]])</f>
        <v>4291.9960000000074</v>
      </c>
      <c r="Q680" s="26"/>
      <c r="R680" s="4"/>
      <c r="S680" s="4"/>
      <c r="T680" s="24"/>
      <c r="U680" s="40"/>
      <c r="V680" s="9"/>
      <c r="W680" s="2"/>
      <c r="X680" s="9"/>
      <c r="Y680" s="8"/>
      <c r="Z680" s="7"/>
      <c r="AA680" s="7"/>
      <c r="AB680" s="6"/>
    </row>
    <row r="681" spans="2:28" ht="30" hidden="1" customHeight="1">
      <c r="B681" s="35" t="str">
        <f>IF(MONTH(F680)&lt;&gt;MONTH(TableauCB[[#This Row],[Date d''éxigibilité]]),(TableauCB[[#This Row],[Date d''éxigibilité]]),"")</f>
        <v/>
      </c>
      <c r="C681" s="11" t="s">
        <v>33</v>
      </c>
      <c r="D681" s="11" t="s">
        <v>11</v>
      </c>
      <c r="E681" s="11" t="s">
        <v>12</v>
      </c>
      <c r="F681" s="34">
        <v>42459</v>
      </c>
      <c r="G681"/>
      <c r="H681"/>
      <c r="I681" s="32">
        <v>42502</v>
      </c>
      <c r="J681"/>
      <c r="K681" s="32">
        <v>42502</v>
      </c>
      <c r="L681" s="30"/>
      <c r="M681" s="29">
        <v>522</v>
      </c>
      <c r="N681" s="28">
        <f>IF(OR(TableauCB[[#This Row],[Etat]]="",TableauCB[[#This Row],[Etat]]="c"),IF(TableauCB[[#This Row],[Solde]]="","",N680),N680-TableauCB[[#This Row],[Débit]]+TableauCB[[#This Row],[Crédit]])</f>
        <v>5779.9960000000092</v>
      </c>
      <c r="O681" s="27">
        <f>IF(TableauCB[[#This Row],[Etat]]&lt;&gt;"",O680-TableauCB[[#This Row],[Débit]]+TableauCB[[#This Row],[Crédit]],O680-TableauCB[[#This Row],[Débit]])</f>
        <v>5659.9999999999991</v>
      </c>
      <c r="P681" s="27">
        <f>IF(AND(ISBLANK(TableauCB[[#This Row],[Débit]]),ISBLANK(TableauCB[[#This Row],[Crédit]])),"",P680+TableauCB[[#This Row],[Crédit]]-TableauCB[[#This Row],[Débit]])</f>
        <v>4813.9960000000074</v>
      </c>
      <c r="Q681" s="26"/>
      <c r="R681" s="4"/>
      <c r="S681" s="4"/>
      <c r="T681" s="24"/>
      <c r="U681" s="40"/>
      <c r="V681" s="9"/>
      <c r="W681" s="2"/>
      <c r="X681" s="9"/>
      <c r="Y681" s="8"/>
      <c r="Z681" s="7"/>
      <c r="AA681" s="7"/>
      <c r="AB681" s="6"/>
    </row>
    <row r="682" spans="2:28" ht="30" hidden="1" customHeight="1">
      <c r="B682" s="35" t="str">
        <f>IF(MONTH(F681)&lt;&gt;MONTH(TableauCB[[#This Row],[Date d''éxigibilité]]),(TableauCB[[#This Row],[Date d''éxigibilité]]),"")</f>
        <v/>
      </c>
      <c r="C682" s="11" t="s">
        <v>33</v>
      </c>
      <c r="D682" s="11" t="s">
        <v>11</v>
      </c>
      <c r="E682" s="11" t="s">
        <v>10</v>
      </c>
      <c r="F682" s="34">
        <v>42459</v>
      </c>
      <c r="G682"/>
      <c r="H682"/>
      <c r="I682" s="32">
        <v>42474</v>
      </c>
      <c r="J682"/>
      <c r="K682" s="32">
        <v>42474</v>
      </c>
      <c r="L682" s="30"/>
      <c r="M682" s="29">
        <v>295.68</v>
      </c>
      <c r="N682" s="28">
        <f>IF(OR(TableauCB[[#This Row],[Etat]]="",TableauCB[[#This Row],[Etat]]="c"),IF(TableauCB[[#This Row],[Solde]]="","",N681),N681-TableauCB[[#This Row],[Débit]]+TableauCB[[#This Row],[Crédit]])</f>
        <v>6075.6760000000095</v>
      </c>
      <c r="O682" s="27">
        <f>IF(TableauCB[[#This Row],[Etat]]&lt;&gt;"",O681-TableauCB[[#This Row],[Débit]]+TableauCB[[#This Row],[Crédit]],O681-TableauCB[[#This Row],[Débit]])</f>
        <v>5955.6799999999994</v>
      </c>
      <c r="P682" s="27">
        <f>IF(AND(ISBLANK(TableauCB[[#This Row],[Débit]]),ISBLANK(TableauCB[[#This Row],[Crédit]])),"",P681+TableauCB[[#This Row],[Crédit]]-TableauCB[[#This Row],[Débit]])</f>
        <v>5109.6760000000077</v>
      </c>
      <c r="Q682" s="26"/>
      <c r="R682" s="4"/>
      <c r="S682" s="4"/>
      <c r="T682" s="24"/>
      <c r="U682" s="24"/>
      <c r="V682" s="9"/>
      <c r="W682" s="2"/>
      <c r="X682" s="9"/>
      <c r="Y682" s="8"/>
      <c r="Z682" s="7"/>
      <c r="AA682" s="7"/>
      <c r="AB682" s="6"/>
    </row>
    <row r="683" spans="2:28" ht="30" hidden="1" customHeight="1">
      <c r="B683" s="35" t="str">
        <f>IF(MONTH(F682)&lt;&gt;MONTH(TableauCB[[#This Row],[Date d''éxigibilité]]),(TableauCB[[#This Row],[Date d''éxigibilité]]),"")</f>
        <v/>
      </c>
      <c r="C683" s="11" t="s">
        <v>33</v>
      </c>
      <c r="D683" s="11" t="s">
        <v>11</v>
      </c>
      <c r="E683" s="11" t="s">
        <v>10</v>
      </c>
      <c r="F683" s="34">
        <v>42459</v>
      </c>
      <c r="G683"/>
      <c r="H683"/>
      <c r="I683" s="32">
        <v>42491</v>
      </c>
      <c r="J683"/>
      <c r="K683" s="32">
        <v>42491</v>
      </c>
      <c r="L683" s="30"/>
      <c r="M683" s="29">
        <v>624</v>
      </c>
      <c r="N683" s="28">
        <f>IF(OR(TableauCB[[#This Row],[Etat]]="",TableauCB[[#This Row],[Etat]]="c"),IF(TableauCB[[#This Row],[Solde]]="","",N682),N682-TableauCB[[#This Row],[Débit]]+TableauCB[[#This Row],[Crédit]])</f>
        <v>6699.6760000000095</v>
      </c>
      <c r="O683" s="27">
        <f>IF(TableauCB[[#This Row],[Etat]]&lt;&gt;"",O682-TableauCB[[#This Row],[Débit]]+TableauCB[[#This Row],[Crédit]],O682-TableauCB[[#This Row],[Débit]])</f>
        <v>6579.6799999999994</v>
      </c>
      <c r="P683" s="27">
        <f>IF(AND(ISBLANK(TableauCB[[#This Row],[Débit]]),ISBLANK(TableauCB[[#This Row],[Crédit]])),"",P682+TableauCB[[#This Row],[Crédit]]-TableauCB[[#This Row],[Débit]])</f>
        <v>5733.6760000000077</v>
      </c>
      <c r="Q683" s="26"/>
      <c r="R683" s="4"/>
      <c r="S683" s="4"/>
      <c r="T683" s="24"/>
      <c r="U683" s="24"/>
      <c r="V683" s="9"/>
      <c r="W683" s="2"/>
      <c r="X683" s="9"/>
      <c r="Y683" s="8"/>
      <c r="Z683" s="7"/>
      <c r="AA683" s="7"/>
      <c r="AB683" s="6"/>
    </row>
    <row r="684" spans="2:28" ht="30" hidden="1" customHeight="1">
      <c r="B684" s="35" t="str">
        <f>IF(MONTH(F683)&lt;&gt;MONTH(TableauCB[[#This Row],[Date d''éxigibilité]]),(TableauCB[[#This Row],[Date d''éxigibilité]]),"")</f>
        <v/>
      </c>
      <c r="C684" s="11" t="s">
        <v>33</v>
      </c>
      <c r="D684" s="11" t="s">
        <v>11</v>
      </c>
      <c r="E684" s="11" t="s">
        <v>12</v>
      </c>
      <c r="F684" s="34">
        <v>42459</v>
      </c>
      <c r="G684"/>
      <c r="H684"/>
      <c r="I684" s="32">
        <v>42475</v>
      </c>
      <c r="J684"/>
      <c r="K684" s="32">
        <v>42475</v>
      </c>
      <c r="L684" s="30"/>
      <c r="M684" s="29">
        <v>115.2</v>
      </c>
      <c r="N684" s="28">
        <f>IF(OR(TableauCB[[#This Row],[Etat]]="",TableauCB[[#This Row],[Etat]]="c"),IF(TableauCB[[#This Row],[Solde]]="","",N683),N683-TableauCB[[#This Row],[Débit]]+TableauCB[[#This Row],[Crédit]])</f>
        <v>6814.8760000000093</v>
      </c>
      <c r="O684" s="27">
        <f>IF(TableauCB[[#This Row],[Etat]]&lt;&gt;"",O683-TableauCB[[#This Row],[Débit]]+TableauCB[[#This Row],[Crédit]],O683-TableauCB[[#This Row],[Débit]])</f>
        <v>6694.8799999999992</v>
      </c>
      <c r="P684" s="27">
        <f>IF(AND(ISBLANK(TableauCB[[#This Row],[Débit]]),ISBLANK(TableauCB[[#This Row],[Crédit]])),"",P683+TableauCB[[#This Row],[Crédit]]-TableauCB[[#This Row],[Débit]])</f>
        <v>5848.8760000000075</v>
      </c>
      <c r="Q684" s="26"/>
      <c r="R684" s="4"/>
      <c r="S684" s="4"/>
      <c r="T684" s="24"/>
      <c r="U684" s="24"/>
      <c r="V684" s="9"/>
      <c r="W684" s="2"/>
      <c r="X684" s="9"/>
      <c r="Y684" s="8"/>
      <c r="Z684" s="7"/>
      <c r="AA684" s="7"/>
      <c r="AB684" s="6"/>
    </row>
    <row r="685" spans="2:28" ht="30" hidden="1" customHeight="1">
      <c r="B685" s="35" t="str">
        <f>IF(MONTH(F684)&lt;&gt;MONTH(TableauCB[[#This Row],[Date d''éxigibilité]]),(TableauCB[[#This Row],[Date d''éxigibilité]]),"")</f>
        <v/>
      </c>
      <c r="C685" s="11" t="s">
        <v>33</v>
      </c>
      <c r="D685" s="11" t="s">
        <v>11</v>
      </c>
      <c r="E685" s="11" t="s">
        <v>47</v>
      </c>
      <c r="F685" s="34">
        <v>42459</v>
      </c>
      <c r="G685"/>
      <c r="H685"/>
      <c r="I685" s="32">
        <v>42529</v>
      </c>
      <c r="J685"/>
      <c r="K685" s="32">
        <v>42529</v>
      </c>
      <c r="L685" s="30"/>
      <c r="M685" s="29">
        <f>120</f>
        <v>120</v>
      </c>
      <c r="N685" s="28">
        <f>IF(OR(TableauCB[[#This Row],[Etat]]="",TableauCB[[#This Row],[Etat]]="c"),IF(TableauCB[[#This Row],[Solde]]="","",N684),N684-TableauCB[[#This Row],[Débit]]+TableauCB[[#This Row],[Crédit]])</f>
        <v>6934.8760000000093</v>
      </c>
      <c r="O685" s="27">
        <f>IF(TableauCB[[#This Row],[Etat]]&lt;&gt;"",O684-TableauCB[[#This Row],[Débit]]+TableauCB[[#This Row],[Crédit]],O684-TableauCB[[#This Row],[Débit]])</f>
        <v>6814.8799999999992</v>
      </c>
      <c r="P685" s="27">
        <f>IF(AND(ISBLANK(TableauCB[[#This Row],[Débit]]),ISBLANK(TableauCB[[#This Row],[Crédit]])),"",P684+TableauCB[[#This Row],[Crédit]]-TableauCB[[#This Row],[Débit]])</f>
        <v>5968.8760000000075</v>
      </c>
      <c r="Q685" s="26"/>
      <c r="R685" s="4"/>
      <c r="S685" s="4"/>
      <c r="T685" s="24"/>
      <c r="U685" s="24"/>
      <c r="V685" s="9"/>
      <c r="W685" s="2"/>
      <c r="X685" s="9"/>
      <c r="Y685" s="8"/>
      <c r="Z685" s="7"/>
      <c r="AA685" s="7"/>
      <c r="AB685" s="6"/>
    </row>
    <row r="686" spans="2:28" ht="30" hidden="1" customHeight="1">
      <c r="B686" s="35" t="str">
        <f>IF(MONTH(F685)&lt;&gt;MONTH(TableauCB[[#This Row],[Date d''éxigibilité]]),(TableauCB[[#This Row],[Date d''éxigibilité]]),"")</f>
        <v/>
      </c>
      <c r="C686" s="11" t="s">
        <v>33</v>
      </c>
      <c r="D686" s="11" t="s">
        <v>11</v>
      </c>
      <c r="E686" s="11" t="s">
        <v>10</v>
      </c>
      <c r="F686" s="34">
        <v>42459</v>
      </c>
      <c r="G686"/>
      <c r="H686"/>
      <c r="I686" s="32">
        <v>42494</v>
      </c>
      <c r="J686"/>
      <c r="K686" s="32">
        <v>42494</v>
      </c>
      <c r="L686" s="30"/>
      <c r="M686" s="29">
        <v>96</v>
      </c>
      <c r="N686" s="28">
        <f>IF(OR(TableauCB[[#This Row],[Etat]]="",TableauCB[[#This Row],[Etat]]="c"),IF(TableauCB[[#This Row],[Solde]]="","",N685),N685-TableauCB[[#This Row],[Débit]]+TableauCB[[#This Row],[Crédit]])</f>
        <v>7030.8760000000093</v>
      </c>
      <c r="O686" s="27">
        <f>IF(TableauCB[[#This Row],[Etat]]&lt;&gt;"",O685-TableauCB[[#This Row],[Débit]]+TableauCB[[#This Row],[Crédit]],O685-TableauCB[[#This Row],[Débit]])</f>
        <v>6910.8799999999992</v>
      </c>
      <c r="P686" s="27">
        <f>IF(AND(ISBLANK(TableauCB[[#This Row],[Débit]]),ISBLANK(TableauCB[[#This Row],[Crédit]])),"",P685+TableauCB[[#This Row],[Crédit]]-TableauCB[[#This Row],[Débit]])</f>
        <v>6064.8760000000075</v>
      </c>
      <c r="Q686" s="26"/>
      <c r="R686" s="4"/>
      <c r="S686" s="4"/>
      <c r="T686" s="24"/>
      <c r="U686" s="24"/>
      <c r="V686" s="9"/>
      <c r="W686" s="2"/>
      <c r="X686" s="9"/>
      <c r="Y686" s="8"/>
      <c r="Z686" s="7"/>
      <c r="AA686" s="7"/>
      <c r="AB686" s="6"/>
    </row>
    <row r="687" spans="2:28" ht="30" hidden="1" customHeight="1">
      <c r="B687" s="35" t="str">
        <f>IF(MONTH(F686)&lt;&gt;MONTH(TableauCB[[#This Row],[Date d''éxigibilité]]),(TableauCB[[#This Row],[Date d''éxigibilité]]),"")</f>
        <v/>
      </c>
      <c r="C687" s="11" t="s">
        <v>33</v>
      </c>
      <c r="D687" s="11" t="s">
        <v>11</v>
      </c>
      <c r="E687" s="11" t="s">
        <v>10</v>
      </c>
      <c r="F687" s="34">
        <v>42459</v>
      </c>
      <c r="G687"/>
      <c r="H687"/>
      <c r="I687" s="32">
        <v>42470</v>
      </c>
      <c r="J687"/>
      <c r="K687" s="32">
        <v>42470</v>
      </c>
      <c r="L687" s="30"/>
      <c r="M687" s="29">
        <v>510</v>
      </c>
      <c r="N687" s="28">
        <f>IF(OR(TableauCB[[#This Row],[Etat]]="",TableauCB[[#This Row],[Etat]]="c"),IF(TableauCB[[#This Row],[Solde]]="","",N686),N686-TableauCB[[#This Row],[Débit]]+TableauCB[[#This Row],[Crédit]])</f>
        <v>7540.8760000000093</v>
      </c>
      <c r="O687" s="27">
        <f>IF(TableauCB[[#This Row],[Etat]]&lt;&gt;"",O686-TableauCB[[#This Row],[Débit]]+TableauCB[[#This Row],[Crédit]],O686-TableauCB[[#This Row],[Débit]])</f>
        <v>7420.8799999999992</v>
      </c>
      <c r="P687" s="27">
        <f>IF(AND(ISBLANK(TableauCB[[#This Row],[Débit]]),ISBLANK(TableauCB[[#This Row],[Crédit]])),"",P686+TableauCB[[#This Row],[Crédit]]-TableauCB[[#This Row],[Débit]])</f>
        <v>6574.8760000000075</v>
      </c>
      <c r="Q687" s="26"/>
      <c r="R687" s="4"/>
      <c r="S687" s="4"/>
      <c r="T687" s="24"/>
      <c r="U687" s="24"/>
      <c r="V687" s="9"/>
      <c r="W687" s="2"/>
      <c r="X687" s="9"/>
      <c r="Y687" s="8"/>
      <c r="Z687" s="7"/>
      <c r="AA687" s="7"/>
      <c r="AB687" s="6"/>
    </row>
    <row r="688" spans="2:28" ht="30" hidden="1" customHeight="1">
      <c r="B688" s="35" t="str">
        <f>IF(MONTH(F687)&lt;&gt;MONTH(TableauCB[[#This Row],[Date d''éxigibilité]]),(TableauCB[[#This Row],[Date d''éxigibilité]]),"")</f>
        <v/>
      </c>
      <c r="C688" s="11" t="s">
        <v>33</v>
      </c>
      <c r="D688" s="11" t="s">
        <v>22</v>
      </c>
      <c r="E688" s="11" t="s">
        <v>17</v>
      </c>
      <c r="F688" s="34">
        <v>42459</v>
      </c>
      <c r="G688"/>
      <c r="H688"/>
      <c r="I688" s="32"/>
      <c r="J688"/>
      <c r="K688" s="32"/>
      <c r="L688" s="30">
        <v>43.38</v>
      </c>
      <c r="M688" s="29"/>
      <c r="N688" s="28">
        <f>IF(OR(TableauCB[[#This Row],[Etat]]="",TableauCB[[#This Row],[Etat]]="c"),IF(TableauCB[[#This Row],[Solde]]="","",N687),N687-TableauCB[[#This Row],[Débit]]+TableauCB[[#This Row],[Crédit]])</f>
        <v>7497.4960000000092</v>
      </c>
      <c r="O688" s="27">
        <f>IF(TableauCB[[#This Row],[Etat]]&lt;&gt;"",O687-TableauCB[[#This Row],[Débit]]+TableauCB[[#This Row],[Crédit]],O687-TableauCB[[#This Row],[Débit]])</f>
        <v>7377.4999999999991</v>
      </c>
      <c r="P688" s="27">
        <f>IF(AND(ISBLANK(TableauCB[[#This Row],[Débit]]),ISBLANK(TableauCB[[#This Row],[Crédit]])),"",P687+TableauCB[[#This Row],[Crédit]]-TableauCB[[#This Row],[Débit]])</f>
        <v>6531.4960000000074</v>
      </c>
      <c r="Q688" s="26"/>
      <c r="R688" s="4"/>
      <c r="S688" s="4"/>
      <c r="T688" s="24"/>
      <c r="U688" s="24"/>
      <c r="V688" s="9"/>
      <c r="W688" s="2"/>
      <c r="X688" s="9"/>
      <c r="Y688" s="8"/>
      <c r="Z688" s="7"/>
      <c r="AA688" s="7"/>
      <c r="AB688" s="6"/>
    </row>
    <row r="689" spans="2:28" ht="30" hidden="1" customHeight="1">
      <c r="B689" s="35" t="str">
        <f>IF(MONTH(F688)&lt;&gt;MONTH(TableauCB[[#This Row],[Date d''éxigibilité]]),(TableauCB[[#This Row],[Date d''éxigibilité]]),"")</f>
        <v/>
      </c>
      <c r="C689" s="11" t="s">
        <v>33</v>
      </c>
      <c r="D689" s="11" t="s">
        <v>5</v>
      </c>
      <c r="E689" s="11" t="s">
        <v>7</v>
      </c>
      <c r="F689" s="34">
        <v>42459</v>
      </c>
      <c r="G689"/>
      <c r="H689"/>
      <c r="I689" s="32"/>
      <c r="J689"/>
      <c r="K689" s="32"/>
      <c r="L689" s="30">
        <v>707.56</v>
      </c>
      <c r="M689" s="29"/>
      <c r="N689" s="28">
        <f>IF(OR(TableauCB[[#This Row],[Etat]]="",TableauCB[[#This Row],[Etat]]="c"),IF(TableauCB[[#This Row],[Solde]]="","",N688),N688-TableauCB[[#This Row],[Débit]]+TableauCB[[#This Row],[Crédit]])</f>
        <v>6789.9360000000088</v>
      </c>
      <c r="O689" s="27">
        <f>IF(TableauCB[[#This Row],[Etat]]&lt;&gt;"",O688-TableauCB[[#This Row],[Débit]]+TableauCB[[#This Row],[Crédit]],O688-TableauCB[[#This Row],[Débit]])</f>
        <v>6669.9399999999987</v>
      </c>
      <c r="P689" s="27">
        <f>IF(AND(ISBLANK(TableauCB[[#This Row],[Débit]]),ISBLANK(TableauCB[[#This Row],[Crédit]])),"",P688+TableauCB[[#This Row],[Crédit]]-TableauCB[[#This Row],[Débit]])</f>
        <v>5823.936000000007</v>
      </c>
      <c r="Q689" s="26"/>
      <c r="R689" s="4"/>
      <c r="S689" s="4"/>
      <c r="T689" s="37"/>
      <c r="U689" s="37"/>
      <c r="V689" s="9"/>
      <c r="W689" s="2"/>
      <c r="X689" s="9"/>
      <c r="Y689" s="8"/>
      <c r="Z689" s="7"/>
      <c r="AA689" s="7"/>
      <c r="AB689" s="6"/>
    </row>
    <row r="690" spans="2:28" ht="30" hidden="1" customHeight="1">
      <c r="B690" s="35" t="str">
        <f>IF(MONTH(F689)&lt;&gt;MONTH(TableauCB[[#This Row],[Date d''éxigibilité]]),(TableauCB[[#This Row],[Date d''éxigibilité]]),"")</f>
        <v/>
      </c>
      <c r="C690" s="11" t="s">
        <v>33</v>
      </c>
      <c r="D690" s="11" t="s">
        <v>5</v>
      </c>
      <c r="E690" s="11" t="s">
        <v>6</v>
      </c>
      <c r="F690" s="34">
        <v>42459</v>
      </c>
      <c r="G690"/>
      <c r="H690"/>
      <c r="I690" s="32">
        <v>42593</v>
      </c>
      <c r="J690"/>
      <c r="K690" s="32">
        <v>42597</v>
      </c>
      <c r="L690" s="30">
        <v>163.61000000000001</v>
      </c>
      <c r="M690" s="29"/>
      <c r="N690" s="28">
        <f>IF(OR(TableauCB[[#This Row],[Etat]]="",TableauCB[[#This Row],[Etat]]="c"),IF(TableauCB[[#This Row],[Solde]]="","",N689),N689-TableauCB[[#This Row],[Débit]]+TableauCB[[#This Row],[Crédit]])</f>
        <v>6626.3260000000091</v>
      </c>
      <c r="O690" s="27">
        <f>IF(TableauCB[[#This Row],[Etat]]&lt;&gt;"",O689-TableauCB[[#This Row],[Débit]]+TableauCB[[#This Row],[Crédit]],O689-TableauCB[[#This Row],[Débit]])</f>
        <v>6506.329999999999</v>
      </c>
      <c r="P690" s="27">
        <f>IF(AND(ISBLANK(TableauCB[[#This Row],[Débit]]),ISBLANK(TableauCB[[#This Row],[Crédit]])),"",P689+TableauCB[[#This Row],[Crédit]]-TableauCB[[#This Row],[Débit]])</f>
        <v>5660.3260000000073</v>
      </c>
      <c r="Q690" s="26"/>
      <c r="R690" s="36"/>
      <c r="S690" s="36"/>
      <c r="T690" s="36"/>
      <c r="U690" s="36"/>
      <c r="V690" s="9"/>
      <c r="W690" s="2"/>
      <c r="X690" s="9"/>
      <c r="Y690" s="8"/>
      <c r="Z690" s="7"/>
      <c r="AA690" s="7"/>
      <c r="AB690" s="6"/>
    </row>
    <row r="691" spans="2:28" ht="30" hidden="1" customHeight="1">
      <c r="B691" s="35" t="str">
        <f>IF(MONTH(F690)&lt;&gt;MONTH(TableauCB[[#This Row],[Date d''éxigibilité]]),(TableauCB[[#This Row],[Date d''éxigibilité]]),"")</f>
        <v/>
      </c>
      <c r="C691" s="11" t="s">
        <v>33</v>
      </c>
      <c r="D691" s="11" t="s">
        <v>22</v>
      </c>
      <c r="E691" s="11" t="s">
        <v>43</v>
      </c>
      <c r="F691" s="34">
        <v>42460</v>
      </c>
      <c r="G691"/>
      <c r="H691"/>
      <c r="I691" s="34">
        <v>42467</v>
      </c>
      <c r="J691"/>
      <c r="K691" s="34">
        <v>42467</v>
      </c>
      <c r="L691" s="30">
        <v>240</v>
      </c>
      <c r="M691" s="29"/>
      <c r="N691" s="28">
        <f>IF(OR(TableauCB[[#This Row],[Etat]]="",TableauCB[[#This Row],[Etat]]="c"),IF(TableauCB[[#This Row],[Solde]]="","",N690),N690-TableauCB[[#This Row],[Débit]]+TableauCB[[#This Row],[Crédit]])</f>
        <v>6386.3260000000091</v>
      </c>
      <c r="O691" s="27">
        <f>IF(TableauCB[[#This Row],[Etat]]&lt;&gt;"",O690-TableauCB[[#This Row],[Débit]]+TableauCB[[#This Row],[Crédit]],O690-TableauCB[[#This Row],[Débit]])</f>
        <v>6266.329999999999</v>
      </c>
      <c r="P691" s="27">
        <f>IF(AND(ISBLANK(TableauCB[[#This Row],[Débit]]),ISBLANK(TableauCB[[#This Row],[Crédit]])),"",P690+TableauCB[[#This Row],[Crédit]]-TableauCB[[#This Row],[Débit]])</f>
        <v>5420.3260000000073</v>
      </c>
      <c r="Q691" s="26"/>
      <c r="R691" s="25">
        <v>878.37</v>
      </c>
      <c r="S691" s="25"/>
      <c r="T691" s="24"/>
      <c r="U691" s="24"/>
      <c r="V691" s="9"/>
      <c r="W691" s="2"/>
      <c r="X691" s="9"/>
      <c r="Y691" s="8"/>
      <c r="Z691" s="7"/>
      <c r="AA691" s="7"/>
      <c r="AB691" s="6"/>
    </row>
    <row r="692" spans="2:28" ht="30" hidden="1" customHeight="1">
      <c r="B692" s="35">
        <f>IF(MONTH(F691)&lt;&gt;MONTH(TableauCB[[#This Row],[Date d''éxigibilité]]),(TableauCB[[#This Row],[Date d''éxigibilité]]),"")</f>
        <v>42461</v>
      </c>
      <c r="C692" s="11" t="s">
        <v>33</v>
      </c>
      <c r="D692" s="11" t="s">
        <v>22</v>
      </c>
      <c r="E692" s="11" t="s">
        <v>21</v>
      </c>
      <c r="F692" s="34">
        <v>42461</v>
      </c>
      <c r="G692"/>
      <c r="H692"/>
      <c r="I692" s="32"/>
      <c r="J692"/>
      <c r="K692" s="32"/>
      <c r="L692" s="30">
        <v>4.4800000000000004</v>
      </c>
      <c r="M692" s="29"/>
      <c r="N692" s="28">
        <f>IF(OR(TableauCB[[#This Row],[Etat]]="",TableauCB[[#This Row],[Etat]]="c"),IF(TableauCB[[#This Row],[Solde]]="","",N691),N691-TableauCB[[#This Row],[Débit]]+TableauCB[[#This Row],[Crédit]])</f>
        <v>6381.8460000000096</v>
      </c>
      <c r="O692" s="27">
        <f>IF(TableauCB[[#This Row],[Etat]]&lt;&gt;"",O691-TableauCB[[#This Row],[Débit]]+TableauCB[[#This Row],[Crédit]],O691-TableauCB[[#This Row],[Débit]])</f>
        <v>6261.8499999999995</v>
      </c>
      <c r="P692" s="27">
        <f>IF(AND(ISBLANK(TableauCB[[#This Row],[Débit]]),ISBLANK(TableauCB[[#This Row],[Crédit]])),"",P691+TableauCB[[#This Row],[Crédit]]-TableauCB[[#This Row],[Débit]])</f>
        <v>5415.8460000000077</v>
      </c>
      <c r="Q692" s="26"/>
      <c r="R692" s="4"/>
      <c r="S692" s="39"/>
      <c r="T692" s="4"/>
      <c r="U692" s="4"/>
      <c r="V692" s="9"/>
      <c r="W692" s="2"/>
      <c r="X692" s="9"/>
      <c r="Y692" s="8"/>
      <c r="Z692" s="7"/>
      <c r="AA692" s="7"/>
      <c r="AB692" s="6"/>
    </row>
    <row r="693" spans="2:28" ht="30" hidden="1" customHeight="1">
      <c r="B693" s="35" t="str">
        <f>IF(MONTH(F692)&lt;&gt;MONTH(TableauCB[[#This Row],[Date d''éxigibilité]]),(TableauCB[[#This Row],[Date d''éxigibilité]]),"")</f>
        <v/>
      </c>
      <c r="C693" s="11" t="s">
        <v>33</v>
      </c>
      <c r="D693" s="11" t="s">
        <v>30</v>
      </c>
      <c r="E693" s="11" t="s">
        <v>30</v>
      </c>
      <c r="F693" s="34">
        <v>42467</v>
      </c>
      <c r="G693"/>
      <c r="H693"/>
      <c r="I693" s="32"/>
      <c r="J693"/>
      <c r="K693" s="32"/>
      <c r="L693" s="30">
        <v>50.05</v>
      </c>
      <c r="M693" s="29"/>
      <c r="N693" s="28">
        <f>IF(OR(TableauCB[[#This Row],[Etat]]="",TableauCB[[#This Row],[Etat]]="c"),IF(TableauCB[[#This Row],[Solde]]="","",N692),N692-TableauCB[[#This Row],[Débit]]+TableauCB[[#This Row],[Crédit]])</f>
        <v>6331.7960000000094</v>
      </c>
      <c r="O693" s="27">
        <f>IF(TableauCB[[#This Row],[Etat]]&lt;&gt;"",O692-TableauCB[[#This Row],[Débit]]+TableauCB[[#This Row],[Crédit]],O692-TableauCB[[#This Row],[Débit]])</f>
        <v>6211.7999999999993</v>
      </c>
      <c r="P693" s="27">
        <f>IF(AND(ISBLANK(TableauCB[[#This Row],[Débit]]),ISBLANK(TableauCB[[#This Row],[Crédit]])),"",P692+TableauCB[[#This Row],[Crédit]]-TableauCB[[#This Row],[Débit]])</f>
        <v>5365.7960000000076</v>
      </c>
      <c r="Q693" s="26"/>
      <c r="R693" s="4"/>
      <c r="S693" s="4"/>
      <c r="T693" s="24"/>
      <c r="U693" s="24"/>
      <c r="V693" s="9"/>
      <c r="W693" s="2"/>
      <c r="X693" s="9"/>
      <c r="Y693" s="8"/>
      <c r="Z693" s="7"/>
      <c r="AA693" s="7"/>
      <c r="AB693" s="6"/>
    </row>
    <row r="694" spans="2:28" ht="30" hidden="1" customHeight="1">
      <c r="B694" s="35" t="str">
        <f>IF(MONTH(F693)&lt;&gt;MONTH(TableauCB[[#This Row],[Date d''éxigibilité]]),(TableauCB[[#This Row],[Date d''éxigibilité]]),"")</f>
        <v/>
      </c>
      <c r="C694" s="11" t="s">
        <v>33</v>
      </c>
      <c r="D694" s="11" t="s">
        <v>22</v>
      </c>
      <c r="E694" s="11" t="s">
        <v>21</v>
      </c>
      <c r="F694" s="34">
        <v>42469</v>
      </c>
      <c r="G694"/>
      <c r="H694"/>
      <c r="I694" s="32"/>
      <c r="J694"/>
      <c r="K694" s="32"/>
      <c r="L694" s="30">
        <v>22.2</v>
      </c>
      <c r="M694" s="29"/>
      <c r="N694" s="28">
        <f>IF(OR(TableauCB[[#This Row],[Etat]]="",TableauCB[[#This Row],[Etat]]="c"),IF(TableauCB[[#This Row],[Solde]]="","",N693),N693-TableauCB[[#This Row],[Débit]]+TableauCB[[#This Row],[Crédit]])</f>
        <v>6309.5960000000096</v>
      </c>
      <c r="O694" s="27">
        <f>IF(TableauCB[[#This Row],[Etat]]&lt;&gt;"",O693-TableauCB[[#This Row],[Débit]]+TableauCB[[#This Row],[Crédit]],O693-TableauCB[[#This Row],[Débit]])</f>
        <v>6189.5999999999995</v>
      </c>
      <c r="P694" s="27">
        <f>IF(AND(ISBLANK(TableauCB[[#This Row],[Débit]]),ISBLANK(TableauCB[[#This Row],[Crédit]])),"",P693+TableauCB[[#This Row],[Crédit]]-TableauCB[[#This Row],[Débit]])</f>
        <v>5343.5960000000077</v>
      </c>
      <c r="Q694" s="26"/>
      <c r="R694" s="4"/>
      <c r="S694" s="4"/>
      <c r="T694" s="24"/>
      <c r="U694" s="24"/>
      <c r="V694" s="9"/>
      <c r="W694" s="2"/>
      <c r="X694" s="9"/>
      <c r="Y694" s="8"/>
      <c r="Z694" s="7"/>
      <c r="AA694" s="7"/>
      <c r="AB694" s="6"/>
    </row>
    <row r="695" spans="2:28" ht="30" hidden="1" customHeight="1">
      <c r="B695" s="35" t="str">
        <f>IF(MONTH(F694)&lt;&gt;MONTH(TableauCB[[#This Row],[Date d''éxigibilité]]),(TableauCB[[#This Row],[Date d''éxigibilité]]),"")</f>
        <v/>
      </c>
      <c r="C695" s="11" t="s">
        <v>33</v>
      </c>
      <c r="D695" s="11" t="s">
        <v>32</v>
      </c>
      <c r="E695" s="11" t="s">
        <v>10</v>
      </c>
      <c r="F695" s="34">
        <v>42471</v>
      </c>
      <c r="G695"/>
      <c r="H695"/>
      <c r="I695" s="32">
        <v>42531</v>
      </c>
      <c r="J695"/>
      <c r="K695" s="32">
        <v>42531</v>
      </c>
      <c r="L695" s="30"/>
      <c r="M695" s="29">
        <f>77*20*1.2</f>
        <v>1848</v>
      </c>
      <c r="N695" s="28">
        <f>IF(OR(TableauCB[[#This Row],[Etat]]="",TableauCB[[#This Row],[Etat]]="c"),IF(TableauCB[[#This Row],[Solde]]="","",N694),N694-TableauCB[[#This Row],[Débit]]+TableauCB[[#This Row],[Crédit]])</f>
        <v>8157.5960000000096</v>
      </c>
      <c r="O695" s="27">
        <f>IF(TableauCB[[#This Row],[Etat]]&lt;&gt;"",O694-TableauCB[[#This Row],[Débit]]+TableauCB[[#This Row],[Crédit]],O694-TableauCB[[#This Row],[Débit]])</f>
        <v>8037.5999999999995</v>
      </c>
      <c r="P695" s="27">
        <f>IF(AND(ISBLANK(TableauCB[[#This Row],[Débit]]),ISBLANK(TableauCB[[#This Row],[Crédit]])),"",P694+TableauCB[[#This Row],[Crédit]]-TableauCB[[#This Row],[Débit]])</f>
        <v>7191.5960000000077</v>
      </c>
      <c r="Q695" s="26"/>
      <c r="R695" s="4"/>
      <c r="S695" s="4"/>
      <c r="T695" s="24"/>
      <c r="U695" s="24"/>
      <c r="V695" s="9"/>
      <c r="W695" s="2"/>
      <c r="X695" s="9"/>
      <c r="Y695" s="8"/>
      <c r="Z695" s="7"/>
      <c r="AA695" s="7"/>
      <c r="AB695" s="6"/>
    </row>
    <row r="696" spans="2:28" ht="30" hidden="1" customHeight="1">
      <c r="B696" s="35" t="str">
        <f>IF(MONTH(F695)&lt;&gt;MONTH(TableauCB[[#This Row],[Date d''éxigibilité]]),(TableauCB[[#This Row],[Date d''éxigibilité]]),"")</f>
        <v/>
      </c>
      <c r="C696" s="11" t="s">
        <v>33</v>
      </c>
      <c r="D696" s="11" t="s">
        <v>15</v>
      </c>
      <c r="E696" s="11" t="s">
        <v>26</v>
      </c>
      <c r="F696" s="34">
        <v>42475</v>
      </c>
      <c r="G696"/>
      <c r="H696"/>
      <c r="I696" s="32">
        <v>42467</v>
      </c>
      <c r="J696"/>
      <c r="K696" s="32">
        <v>42467</v>
      </c>
      <c r="L696" s="30">
        <v>54</v>
      </c>
      <c r="M696" s="29"/>
      <c r="N696" s="28">
        <f>IF(OR(TableauCB[[#This Row],[Etat]]="",TableauCB[[#This Row],[Etat]]="c"),IF(TableauCB[[#This Row],[Solde]]="","",N695),N695-TableauCB[[#This Row],[Débit]]+TableauCB[[#This Row],[Crédit]])</f>
        <v>8103.5960000000096</v>
      </c>
      <c r="O696" s="27">
        <f>IF(TableauCB[[#This Row],[Etat]]&lt;&gt;"",O695-TableauCB[[#This Row],[Débit]]+TableauCB[[#This Row],[Crédit]],O695-TableauCB[[#This Row],[Débit]])</f>
        <v>7983.5999999999995</v>
      </c>
      <c r="P696" s="27">
        <f>IF(AND(ISBLANK(TableauCB[[#This Row],[Débit]]),ISBLANK(TableauCB[[#This Row],[Crédit]])),"",P695+TableauCB[[#This Row],[Crédit]]-TableauCB[[#This Row],[Débit]])</f>
        <v>7137.5960000000077</v>
      </c>
      <c r="Q696" s="26"/>
      <c r="R696" s="4"/>
      <c r="S696" s="4"/>
      <c r="T696" s="24"/>
      <c r="U696" s="24"/>
      <c r="V696" s="9"/>
      <c r="W696" s="2"/>
      <c r="X696" s="9"/>
      <c r="Y696" s="8"/>
      <c r="Z696" s="7"/>
      <c r="AA696" s="7"/>
      <c r="AB696" s="6"/>
    </row>
    <row r="697" spans="2:28" ht="30" hidden="1" customHeight="1">
      <c r="B697" s="35" t="str">
        <f>IF(MONTH(F696)&lt;&gt;MONTH(TableauCB[[#This Row],[Date d''éxigibilité]]),(TableauCB[[#This Row],[Date d''éxigibilité]]),"")</f>
        <v/>
      </c>
      <c r="C697" s="11" t="s">
        <v>33</v>
      </c>
      <c r="D697" s="11" t="s">
        <v>15</v>
      </c>
      <c r="E697" s="11" t="s">
        <v>27</v>
      </c>
      <c r="F697" s="34">
        <v>42475</v>
      </c>
      <c r="G697"/>
      <c r="H697"/>
      <c r="I697" s="32">
        <v>42467</v>
      </c>
      <c r="J697"/>
      <c r="K697" s="32">
        <v>42467</v>
      </c>
      <c r="L697" s="30">
        <v>110</v>
      </c>
      <c r="M697" s="29"/>
      <c r="N697" s="28">
        <f>IF(OR(TableauCB[[#This Row],[Etat]]="",TableauCB[[#This Row],[Etat]]="c"),IF(TableauCB[[#This Row],[Solde]]="","",N696),N696-TableauCB[[#This Row],[Débit]]+TableauCB[[#This Row],[Crédit]])</f>
        <v>7993.5960000000096</v>
      </c>
      <c r="O697" s="27">
        <f>IF(TableauCB[[#This Row],[Etat]]&lt;&gt;"",O696-TableauCB[[#This Row],[Débit]]+TableauCB[[#This Row],[Crédit]],O696-TableauCB[[#This Row],[Débit]])</f>
        <v>7873.5999999999995</v>
      </c>
      <c r="P697" s="27">
        <f>IF(AND(ISBLANK(TableauCB[[#This Row],[Débit]]),ISBLANK(TableauCB[[#This Row],[Crédit]])),"",P696+TableauCB[[#This Row],[Crédit]]-TableauCB[[#This Row],[Débit]])</f>
        <v>7027.5960000000077</v>
      </c>
      <c r="Q697" s="26"/>
      <c r="R697" s="4"/>
      <c r="S697" s="4"/>
      <c r="T697" s="24"/>
      <c r="U697" s="24"/>
      <c r="V697" s="9"/>
      <c r="W697" s="2"/>
      <c r="X697" s="9"/>
      <c r="Y697" s="8"/>
      <c r="Z697" s="7"/>
      <c r="AA697" s="7"/>
      <c r="AB697" s="6"/>
    </row>
    <row r="698" spans="2:28" ht="30" hidden="1" customHeight="1">
      <c r="B698" s="35" t="str">
        <f>IF(MONTH(F697)&lt;&gt;MONTH(TableauCB[[#This Row],[Date d''éxigibilité]]),(TableauCB[[#This Row],[Date d''éxigibilité]]),"")</f>
        <v/>
      </c>
      <c r="C698" s="11" t="s">
        <v>33</v>
      </c>
      <c r="D698" s="11" t="s">
        <v>15</v>
      </c>
      <c r="E698" s="11" t="s">
        <v>25</v>
      </c>
      <c r="F698" s="34">
        <v>42475</v>
      </c>
      <c r="G698"/>
      <c r="H698"/>
      <c r="I698" s="32">
        <v>42465</v>
      </c>
      <c r="J698"/>
      <c r="K698" s="32">
        <v>42465</v>
      </c>
      <c r="L698" s="30">
        <v>1142</v>
      </c>
      <c r="M698" s="29"/>
      <c r="N698" s="28">
        <f>IF(OR(TableauCB[[#This Row],[Etat]]="",TableauCB[[#This Row],[Etat]]="c"),IF(TableauCB[[#This Row],[Solde]]="","",N697),N697-TableauCB[[#This Row],[Débit]]+TableauCB[[#This Row],[Crédit]])</f>
        <v>6851.5960000000096</v>
      </c>
      <c r="O698" s="27">
        <f>IF(TableauCB[[#This Row],[Etat]]&lt;&gt;"",O697-TableauCB[[#This Row],[Débit]]+TableauCB[[#This Row],[Crédit]],O697-TableauCB[[#This Row],[Débit]])</f>
        <v>6731.5999999999995</v>
      </c>
      <c r="P698" s="27">
        <f>IF(AND(ISBLANK(TableauCB[[#This Row],[Débit]]),ISBLANK(TableauCB[[#This Row],[Crédit]])),"",P697+TableauCB[[#This Row],[Crédit]]-TableauCB[[#This Row],[Débit]])</f>
        <v>5885.5960000000077</v>
      </c>
      <c r="Q698" s="26"/>
      <c r="R698" s="4"/>
      <c r="S698" s="4"/>
      <c r="T698" s="24"/>
      <c r="U698" s="24"/>
      <c r="V698" s="9"/>
      <c r="W698" s="2"/>
      <c r="X698" s="9"/>
      <c r="Y698" s="8"/>
      <c r="Z698" s="7"/>
      <c r="AA698" s="7"/>
      <c r="AB698" s="6"/>
    </row>
    <row r="699" spans="2:28" ht="30" hidden="1" customHeight="1">
      <c r="B699" s="35" t="str">
        <f>IF(MONTH(F698)&lt;&gt;MONTH(TableauCB[[#This Row],[Date d''éxigibilité]]),(TableauCB[[#This Row],[Date d''éxigibilité]]),"")</f>
        <v/>
      </c>
      <c r="C699" s="11" t="s">
        <v>33</v>
      </c>
      <c r="D699" s="11" t="s">
        <v>15</v>
      </c>
      <c r="E699" s="11" t="s">
        <v>24</v>
      </c>
      <c r="F699" s="34">
        <v>42475</v>
      </c>
      <c r="G699"/>
      <c r="H699"/>
      <c r="I699" s="32"/>
      <c r="J699"/>
      <c r="K699" s="32"/>
      <c r="L699" s="30">
        <v>572.47</v>
      </c>
      <c r="M699" s="29"/>
      <c r="N699" s="28">
        <f>IF(OR(TableauCB[[#This Row],[Etat]]="",TableauCB[[#This Row],[Etat]]="c"),IF(TableauCB[[#This Row],[Solde]]="","",N698),N698-TableauCB[[#This Row],[Débit]]+TableauCB[[#This Row],[Crédit]])</f>
        <v>6279.1260000000093</v>
      </c>
      <c r="O699" s="27">
        <f>IF(TableauCB[[#This Row],[Etat]]&lt;&gt;"",O698-TableauCB[[#This Row],[Débit]]+TableauCB[[#This Row],[Crédit]],O698-TableauCB[[#This Row],[Débit]])</f>
        <v>6159.1299999999992</v>
      </c>
      <c r="P699" s="27">
        <f>IF(AND(ISBLANK(TableauCB[[#This Row],[Débit]]),ISBLANK(TableauCB[[#This Row],[Crédit]])),"",P698+TableauCB[[#This Row],[Crédit]]-TableauCB[[#This Row],[Débit]])</f>
        <v>5313.1260000000075</v>
      </c>
      <c r="Q699" s="26"/>
      <c r="R699" s="4"/>
      <c r="S699" s="4"/>
      <c r="T699" s="24"/>
      <c r="U699" s="24"/>
      <c r="V699" s="9"/>
      <c r="W699" s="2"/>
      <c r="X699" s="9"/>
      <c r="Y699" s="8"/>
      <c r="Z699" s="7"/>
      <c r="AA699" s="7"/>
      <c r="AB699" s="6"/>
    </row>
    <row r="700" spans="2:28" ht="30" hidden="1" customHeight="1">
      <c r="B700" s="35" t="str">
        <f>IF(MONTH(F699)&lt;&gt;MONTH(TableauCB[[#This Row],[Date d''éxigibilité]]),(TableauCB[[#This Row],[Date d''éxigibilité]]),"")</f>
        <v/>
      </c>
      <c r="C700" s="11" t="s">
        <v>33</v>
      </c>
      <c r="D700" s="11" t="s">
        <v>30</v>
      </c>
      <c r="E700" s="11" t="s">
        <v>41</v>
      </c>
      <c r="F700" s="34">
        <v>42475</v>
      </c>
      <c r="G700"/>
      <c r="H700"/>
      <c r="I700" s="32"/>
      <c r="J700"/>
      <c r="K700" s="32"/>
      <c r="L700" s="30">
        <v>167.1</v>
      </c>
      <c r="M700" s="29"/>
      <c r="N700" s="28">
        <f>IF(OR(TableauCB[[#This Row],[Etat]]="",TableauCB[[#This Row],[Etat]]="c"),IF(TableauCB[[#This Row],[Solde]]="","",N699),N699-TableauCB[[#This Row],[Débit]]+TableauCB[[#This Row],[Crédit]])</f>
        <v>6112.0260000000089</v>
      </c>
      <c r="O700" s="27">
        <f>IF(TableauCB[[#This Row],[Etat]]&lt;&gt;"",O699-TableauCB[[#This Row],[Débit]]+TableauCB[[#This Row],[Crédit]],O699-TableauCB[[#This Row],[Débit]])</f>
        <v>5992.0299999999988</v>
      </c>
      <c r="P700" s="27">
        <f>IF(AND(ISBLANK(TableauCB[[#This Row],[Débit]]),ISBLANK(TableauCB[[#This Row],[Crédit]])),"",P699+TableauCB[[#This Row],[Crédit]]-TableauCB[[#This Row],[Débit]])</f>
        <v>5146.0260000000071</v>
      </c>
      <c r="Q700" s="26"/>
      <c r="R700" s="4"/>
      <c r="S700" s="4"/>
      <c r="T700" s="24"/>
      <c r="U700" s="24"/>
      <c r="V700" s="9"/>
      <c r="W700" s="2"/>
      <c r="X700" s="9"/>
      <c r="Y700" s="8"/>
      <c r="Z700" s="7"/>
      <c r="AA700" s="7"/>
      <c r="AB700" s="6"/>
    </row>
    <row r="701" spans="2:28" ht="30" hidden="1" customHeight="1">
      <c r="B701" s="35" t="str">
        <f>IF(MONTH(F700)&lt;&gt;MONTH(TableauCB[[#This Row],[Date d''éxigibilité]]),(TableauCB[[#This Row],[Date d''éxigibilité]]),"")</f>
        <v/>
      </c>
      <c r="C701" s="11" t="s">
        <v>33</v>
      </c>
      <c r="D701" s="11" t="s">
        <v>15</v>
      </c>
      <c r="E701" s="11" t="s">
        <v>19</v>
      </c>
      <c r="F701" s="34">
        <v>42475</v>
      </c>
      <c r="G701"/>
      <c r="H701"/>
      <c r="I701" s="32"/>
      <c r="J701"/>
      <c r="K701" s="32"/>
      <c r="L701" s="30">
        <v>39</v>
      </c>
      <c r="M701" s="29"/>
      <c r="N701" s="28">
        <f>IF(OR(TableauCB[[#This Row],[Etat]]="",TableauCB[[#This Row],[Etat]]="c"),IF(TableauCB[[#This Row],[Solde]]="","",N700),N700-TableauCB[[#This Row],[Débit]]+TableauCB[[#This Row],[Crédit]])</f>
        <v>6073.0260000000089</v>
      </c>
      <c r="O701" s="27">
        <f>IF(TableauCB[[#This Row],[Etat]]&lt;&gt;"",O700-TableauCB[[#This Row],[Débit]]+TableauCB[[#This Row],[Crédit]],O700-TableauCB[[#This Row],[Débit]])</f>
        <v>5953.0299999999988</v>
      </c>
      <c r="P701" s="27">
        <f>IF(AND(ISBLANK(TableauCB[[#This Row],[Débit]]),ISBLANK(TableauCB[[#This Row],[Crédit]])),"",P700+TableauCB[[#This Row],[Crédit]]-TableauCB[[#This Row],[Débit]])</f>
        <v>5107.0260000000071</v>
      </c>
      <c r="Q701" s="26"/>
      <c r="R701" s="4"/>
      <c r="S701" s="4"/>
      <c r="T701" s="24"/>
      <c r="U701" s="24"/>
      <c r="V701" s="9"/>
      <c r="W701" s="2"/>
      <c r="X701" s="9"/>
      <c r="Y701" s="8"/>
      <c r="Z701" s="7"/>
      <c r="AA701" s="7"/>
      <c r="AB701" s="6"/>
    </row>
    <row r="702" spans="2:28" ht="30" hidden="1" customHeight="1">
      <c r="B702" s="35" t="str">
        <f>IF(MONTH(F701)&lt;&gt;MONTH(TableauCB[[#This Row],[Date d''éxigibilité]]),(TableauCB[[#This Row],[Date d''éxigibilité]]),"")</f>
        <v/>
      </c>
      <c r="C702" s="11" t="s">
        <v>33</v>
      </c>
      <c r="D702" s="11" t="s">
        <v>22</v>
      </c>
      <c r="E702" s="11" t="s">
        <v>17</v>
      </c>
      <c r="F702" s="34">
        <v>42475</v>
      </c>
      <c r="G702"/>
      <c r="H702"/>
      <c r="I702" s="32"/>
      <c r="J702"/>
      <c r="K702" s="32"/>
      <c r="L702" s="30">
        <v>45.6</v>
      </c>
      <c r="M702" s="29"/>
      <c r="N702" s="28">
        <f>IF(OR(TableauCB[[#This Row],[Etat]]="",TableauCB[[#This Row],[Etat]]="c"),IF(TableauCB[[#This Row],[Solde]]="","",N701),N701-TableauCB[[#This Row],[Débit]]+TableauCB[[#This Row],[Crédit]])</f>
        <v>6027.4260000000086</v>
      </c>
      <c r="O702" s="27">
        <f>IF(TableauCB[[#This Row],[Etat]]&lt;&gt;"",O701-TableauCB[[#This Row],[Débit]]+TableauCB[[#This Row],[Crédit]],O701-TableauCB[[#This Row],[Débit]])</f>
        <v>5907.4299999999985</v>
      </c>
      <c r="P702" s="27">
        <f>IF(AND(ISBLANK(TableauCB[[#This Row],[Débit]]),ISBLANK(TableauCB[[#This Row],[Crédit]])),"",P701+TableauCB[[#This Row],[Crédit]]-TableauCB[[#This Row],[Débit]])</f>
        <v>5061.4260000000068</v>
      </c>
      <c r="Q702" s="26"/>
      <c r="T702" s="24"/>
      <c r="U702" s="24"/>
      <c r="V702" s="9"/>
      <c r="W702" s="2"/>
      <c r="X702" s="9"/>
      <c r="Y702" s="8"/>
      <c r="Z702" s="7"/>
      <c r="AA702" s="7"/>
      <c r="AB702" s="6"/>
    </row>
    <row r="703" spans="2:28" ht="30" hidden="1" customHeight="1">
      <c r="B703" s="35" t="str">
        <f>IF(MONTH(F702)&lt;&gt;MONTH(TableauCB[[#This Row],[Date d''éxigibilité]]),(TableauCB[[#This Row],[Date d''éxigibilité]]),"")</f>
        <v/>
      </c>
      <c r="C703" s="11" t="s">
        <v>33</v>
      </c>
      <c r="D703" s="11" t="s">
        <v>22</v>
      </c>
      <c r="E703" s="11" t="s">
        <v>37</v>
      </c>
      <c r="F703" s="34">
        <v>42475</v>
      </c>
      <c r="G703"/>
      <c r="H703"/>
      <c r="I703" s="32"/>
      <c r="J703"/>
      <c r="K703" s="32"/>
      <c r="L703" s="30">
        <v>37.5</v>
      </c>
      <c r="M703" s="29"/>
      <c r="N703" s="28">
        <f>IF(OR(TableauCB[[#This Row],[Etat]]="",TableauCB[[#This Row],[Etat]]="c"),IF(TableauCB[[#This Row],[Solde]]="","",N702),N702-TableauCB[[#This Row],[Débit]]+TableauCB[[#This Row],[Crédit]])</f>
        <v>5989.9260000000086</v>
      </c>
      <c r="O703" s="27">
        <f>IF(TableauCB[[#This Row],[Etat]]&lt;&gt;"",O702-TableauCB[[#This Row],[Débit]]+TableauCB[[#This Row],[Crédit]],O702-TableauCB[[#This Row],[Débit]])</f>
        <v>5869.9299999999985</v>
      </c>
      <c r="P703" s="27">
        <f>IF(AND(ISBLANK(TableauCB[[#This Row],[Débit]]),ISBLANK(TableauCB[[#This Row],[Crédit]])),"",P702+TableauCB[[#This Row],[Crédit]]-TableauCB[[#This Row],[Débit]])</f>
        <v>5023.9260000000068</v>
      </c>
      <c r="Q703" s="26"/>
      <c r="T703" s="24"/>
      <c r="U703" s="24"/>
      <c r="V703" s="9"/>
      <c r="W703" s="2"/>
      <c r="X703" s="9"/>
      <c r="Y703" s="8"/>
      <c r="Z703" s="7"/>
      <c r="AA703" s="7"/>
      <c r="AB703" s="6"/>
    </row>
    <row r="704" spans="2:28" ht="30" hidden="1" customHeight="1">
      <c r="B704" s="35" t="str">
        <f>IF(MONTH(F703)&lt;&gt;MONTH(TableauCB[[#This Row],[Date d''éxigibilité]]),(TableauCB[[#This Row],[Date d''éxigibilité]]),"")</f>
        <v/>
      </c>
      <c r="C704" s="11" t="s">
        <v>33</v>
      </c>
      <c r="D704" s="11" t="s">
        <v>30</v>
      </c>
      <c r="E704" s="11" t="s">
        <v>41</v>
      </c>
      <c r="F704" s="34">
        <v>42476</v>
      </c>
      <c r="G704"/>
      <c r="H704"/>
      <c r="I704" s="32"/>
      <c r="J704"/>
      <c r="K704" s="32"/>
      <c r="L704" s="30">
        <v>53.38</v>
      </c>
      <c r="M704" s="29"/>
      <c r="N704" s="28">
        <f>IF(OR(TableauCB[[#This Row],[Etat]]="",TableauCB[[#This Row],[Etat]]="c"),IF(TableauCB[[#This Row],[Solde]]="","",N703),N703-TableauCB[[#This Row],[Débit]]+TableauCB[[#This Row],[Crédit]])</f>
        <v>5936.5460000000085</v>
      </c>
      <c r="O704" s="27">
        <f>IF(TableauCB[[#This Row],[Etat]]&lt;&gt;"",O703-TableauCB[[#This Row],[Débit]]+TableauCB[[#This Row],[Crédit]],O703-TableauCB[[#This Row],[Débit]])</f>
        <v>5816.5499999999984</v>
      </c>
      <c r="P704" s="27">
        <f>IF(AND(ISBLANK(TableauCB[[#This Row],[Débit]]),ISBLANK(TableauCB[[#This Row],[Crédit]])),"",P703+TableauCB[[#This Row],[Crédit]]-TableauCB[[#This Row],[Débit]])</f>
        <v>4970.5460000000066</v>
      </c>
      <c r="Q704" s="26"/>
      <c r="T704" s="24"/>
      <c r="U704" s="24"/>
      <c r="V704" s="9"/>
      <c r="W704" s="2"/>
      <c r="X704" s="9"/>
      <c r="Y704" s="8"/>
      <c r="Z704" s="7"/>
      <c r="AA704" s="7"/>
      <c r="AB704" s="6"/>
    </row>
    <row r="705" spans="2:28" ht="30" hidden="1" customHeight="1">
      <c r="B705" s="35" t="str">
        <f>IF(MONTH(F704)&lt;&gt;MONTH(TableauCB[[#This Row],[Date d''éxigibilité]]),(TableauCB[[#This Row],[Date d''éxigibilité]]),"")</f>
        <v/>
      </c>
      <c r="C705" s="11" t="s">
        <v>33</v>
      </c>
      <c r="D705" s="11" t="s">
        <v>22</v>
      </c>
      <c r="E705" s="11" t="s">
        <v>17</v>
      </c>
      <c r="F705" s="34">
        <v>42486</v>
      </c>
      <c r="G705"/>
      <c r="H705"/>
      <c r="I705" s="32"/>
      <c r="J705"/>
      <c r="K705" s="32"/>
      <c r="L705" s="30">
        <v>3.59</v>
      </c>
      <c r="M705" s="29"/>
      <c r="N705" s="28">
        <f>IF(OR(TableauCB[[#This Row],[Etat]]="",TableauCB[[#This Row],[Etat]]="c"),IF(TableauCB[[#This Row],[Solde]]="","",N704),N704-TableauCB[[#This Row],[Débit]]+TableauCB[[#This Row],[Crédit]])</f>
        <v>5932.9560000000083</v>
      </c>
      <c r="O705" s="27">
        <f>IF(TableauCB[[#This Row],[Etat]]&lt;&gt;"",O704-TableauCB[[#This Row],[Débit]]+TableauCB[[#This Row],[Crédit]],O704-TableauCB[[#This Row],[Débit]])</f>
        <v>5812.9599999999982</v>
      </c>
      <c r="P705" s="27">
        <f>IF(AND(ISBLANK(TableauCB[[#This Row],[Débit]]),ISBLANK(TableauCB[[#This Row],[Crédit]])),"",P704+TableauCB[[#This Row],[Crédit]]-TableauCB[[#This Row],[Débit]])</f>
        <v>4966.9560000000065</v>
      </c>
      <c r="Q705" s="26"/>
      <c r="T705" s="24"/>
      <c r="U705" s="24"/>
      <c r="V705" s="9"/>
      <c r="W705" s="2"/>
      <c r="X705" s="9"/>
      <c r="Y705" s="8"/>
      <c r="Z705" s="7"/>
      <c r="AA705" s="7"/>
      <c r="AB705" s="6"/>
    </row>
    <row r="706" spans="2:28" ht="30" hidden="1" customHeight="1">
      <c r="B706" s="35" t="str">
        <f>IF(MONTH(F705)&lt;&gt;MONTH(TableauCB[[#This Row],[Date d''éxigibilité]]),(TableauCB[[#This Row],[Date d''éxigibilité]]),"")</f>
        <v/>
      </c>
      <c r="C706" s="11" t="s">
        <v>33</v>
      </c>
      <c r="D706" s="11" t="s">
        <v>22</v>
      </c>
      <c r="E706" s="11" t="s">
        <v>17</v>
      </c>
      <c r="F706" s="34">
        <v>42487</v>
      </c>
      <c r="G706"/>
      <c r="H706"/>
      <c r="I706" s="32"/>
      <c r="J706"/>
      <c r="K706" s="32"/>
      <c r="L706" s="30">
        <v>35.15</v>
      </c>
      <c r="M706" s="29"/>
      <c r="N706" s="28">
        <f>IF(OR(TableauCB[[#This Row],[Etat]]="",TableauCB[[#This Row],[Etat]]="c"),IF(TableauCB[[#This Row],[Solde]]="","",N705),N705-TableauCB[[#This Row],[Débit]]+TableauCB[[#This Row],[Crédit]])</f>
        <v>5897.8060000000087</v>
      </c>
      <c r="O706" s="27">
        <f>IF(TableauCB[[#This Row],[Etat]]&lt;&gt;"",O705-TableauCB[[#This Row],[Débit]]+TableauCB[[#This Row],[Crédit]],O705-TableauCB[[#This Row],[Débit]])</f>
        <v>5777.8099999999986</v>
      </c>
      <c r="P706" s="27">
        <f>IF(AND(ISBLANK(TableauCB[[#This Row],[Débit]]),ISBLANK(TableauCB[[#This Row],[Crédit]])),"",P705+TableauCB[[#This Row],[Crédit]]-TableauCB[[#This Row],[Débit]])</f>
        <v>4931.8060000000069</v>
      </c>
      <c r="Q706" s="26"/>
      <c r="T706" s="24"/>
      <c r="U706" s="24"/>
      <c r="V706" s="9"/>
      <c r="W706" s="2"/>
      <c r="X706" s="9"/>
      <c r="Y706" s="8"/>
      <c r="Z706" s="7"/>
      <c r="AA706" s="7"/>
      <c r="AB706" s="6"/>
    </row>
    <row r="707" spans="2:28" ht="30" hidden="1" customHeight="1">
      <c r="B707" s="35" t="str">
        <f>IF(MONTH(F706)&lt;&gt;MONTH(TableauCB[[#This Row],[Date d''éxigibilité]]),(TableauCB[[#This Row],[Date d''éxigibilité]]),"")</f>
        <v/>
      </c>
      <c r="C707" s="11" t="s">
        <v>33</v>
      </c>
      <c r="D707" s="11" t="s">
        <v>15</v>
      </c>
      <c r="E707" s="11" t="s">
        <v>50</v>
      </c>
      <c r="F707" s="34">
        <v>42488</v>
      </c>
      <c r="G707"/>
      <c r="H707"/>
      <c r="I707" s="32"/>
      <c r="J707"/>
      <c r="K707" s="32"/>
      <c r="L707" s="30"/>
      <c r="M707" s="29">
        <v>804</v>
      </c>
      <c r="N707" s="28">
        <f>IF(OR(TableauCB[[#This Row],[Etat]]="",TableauCB[[#This Row],[Etat]]="c"),IF(TableauCB[[#This Row],[Solde]]="","",N706),N706-TableauCB[[#This Row],[Débit]]+TableauCB[[#This Row],[Crédit]])</f>
        <v>6701.8060000000087</v>
      </c>
      <c r="O707" s="27">
        <f>IF(TableauCB[[#This Row],[Etat]]&lt;&gt;"",O706-TableauCB[[#This Row],[Débit]]+TableauCB[[#This Row],[Crédit]],O706-TableauCB[[#This Row],[Débit]])</f>
        <v>6581.8099999999986</v>
      </c>
      <c r="P707" s="27">
        <f>IF(AND(ISBLANK(TableauCB[[#This Row],[Débit]]),ISBLANK(TableauCB[[#This Row],[Crédit]])),"",P706+TableauCB[[#This Row],[Crédit]]-TableauCB[[#This Row],[Débit]])</f>
        <v>5735.8060000000069</v>
      </c>
      <c r="Q707" s="26"/>
      <c r="R707" s="25"/>
      <c r="S707" s="25"/>
      <c r="T707" s="24"/>
      <c r="U707" s="24"/>
      <c r="V707" s="9"/>
      <c r="W707" s="2"/>
      <c r="X707" s="9"/>
      <c r="Y707" s="8"/>
      <c r="Z707" s="7"/>
      <c r="AA707" s="7"/>
      <c r="AB707" s="6"/>
    </row>
    <row r="708" spans="2:28" ht="30" hidden="1" customHeight="1">
      <c r="B708" s="35" t="str">
        <f>IF(MONTH(F707)&lt;&gt;MONTH(TableauCB[[#This Row],[Date d''éxigibilité]]),(TableauCB[[#This Row],[Date d''éxigibilité]]),"")</f>
        <v/>
      </c>
      <c r="C708" s="11" t="s">
        <v>33</v>
      </c>
      <c r="D708" s="11" t="s">
        <v>15</v>
      </c>
      <c r="E708" s="11" t="s">
        <v>50</v>
      </c>
      <c r="F708" s="34">
        <v>42488</v>
      </c>
      <c r="G708"/>
      <c r="H708"/>
      <c r="I708" s="32"/>
      <c r="J708"/>
      <c r="K708" s="32"/>
      <c r="L708" s="30"/>
      <c r="M708" s="29">
        <v>966</v>
      </c>
      <c r="N708" s="28">
        <f>IF(OR(TableauCB[[#This Row],[Etat]]="",TableauCB[[#This Row],[Etat]]="c"),IF(TableauCB[[#This Row],[Solde]]="","",N707),N707-TableauCB[[#This Row],[Débit]]+TableauCB[[#This Row],[Crédit]])</f>
        <v>7667.8060000000087</v>
      </c>
      <c r="O708" s="27">
        <f>IF(TableauCB[[#This Row],[Etat]]&lt;&gt;"",O707-TableauCB[[#This Row],[Débit]]+TableauCB[[#This Row],[Crédit]],O707-TableauCB[[#This Row],[Débit]])</f>
        <v>7547.8099999999986</v>
      </c>
      <c r="P708" s="27">
        <f>IF(AND(ISBLANK(TableauCB[[#This Row],[Débit]]),ISBLANK(TableauCB[[#This Row],[Crédit]])),"",P707+TableauCB[[#This Row],[Crédit]]-TableauCB[[#This Row],[Débit]])</f>
        <v>6701.8060000000069</v>
      </c>
      <c r="Q708" s="26"/>
      <c r="R708" s="25"/>
      <c r="S708" s="25"/>
      <c r="T708" s="24"/>
      <c r="U708" s="24"/>
      <c r="V708" s="9"/>
      <c r="W708" s="2"/>
      <c r="X708" s="9"/>
      <c r="Y708" s="8"/>
      <c r="Z708" s="7"/>
      <c r="AA708" s="7"/>
      <c r="AB708" s="6"/>
    </row>
    <row r="709" spans="2:28" ht="30" hidden="1" customHeight="1">
      <c r="B709" s="35" t="str">
        <f>IF(MONTH(F708)&lt;&gt;MONTH(TableauCB[[#This Row],[Date d''éxigibilité]]),(TableauCB[[#This Row],[Date d''éxigibilité]]),"")</f>
        <v/>
      </c>
      <c r="C709" s="11" t="s">
        <v>33</v>
      </c>
      <c r="D709" s="11" t="s">
        <v>11</v>
      </c>
      <c r="E709" s="11" t="s">
        <v>10</v>
      </c>
      <c r="F709" s="34">
        <v>42490</v>
      </c>
      <c r="G709"/>
      <c r="H709"/>
      <c r="I709" s="32">
        <v>42525</v>
      </c>
      <c r="J709"/>
      <c r="K709" s="32">
        <v>42525</v>
      </c>
      <c r="L709" s="30"/>
      <c r="M709" s="29">
        <v>108</v>
      </c>
      <c r="N709" s="28">
        <f>IF(OR(TableauCB[[#This Row],[Etat]]="",TableauCB[[#This Row],[Etat]]="c"),IF(TableauCB[[#This Row],[Solde]]="","",N708),N708-TableauCB[[#This Row],[Débit]]+TableauCB[[#This Row],[Crédit]])</f>
        <v>7775.8060000000087</v>
      </c>
      <c r="O709" s="27">
        <f>IF(TableauCB[[#This Row],[Etat]]&lt;&gt;"",O708-TableauCB[[#This Row],[Débit]]+TableauCB[[#This Row],[Crédit]],O708-TableauCB[[#This Row],[Débit]])</f>
        <v>7655.8099999999986</v>
      </c>
      <c r="P709" s="27">
        <f>IF(AND(ISBLANK(TableauCB[[#This Row],[Débit]]),ISBLANK(TableauCB[[#This Row],[Crédit]])),"",P708+TableauCB[[#This Row],[Crédit]]-TableauCB[[#This Row],[Débit]])</f>
        <v>6809.8060000000069</v>
      </c>
      <c r="Q709" s="26"/>
      <c r="R709" s="25"/>
      <c r="S709" s="25"/>
      <c r="T709" s="24"/>
      <c r="U709" s="24"/>
      <c r="V709" s="9"/>
      <c r="W709" s="2"/>
      <c r="X709" s="9"/>
      <c r="Y709" s="8"/>
      <c r="Z709" s="7"/>
      <c r="AA709" s="7"/>
      <c r="AB709" s="6"/>
    </row>
    <row r="710" spans="2:28" ht="30" hidden="1" customHeight="1">
      <c r="B710" s="35" t="str">
        <f>IF(MONTH(F709)&lt;&gt;MONTH(TableauCB[[#This Row],[Date d''éxigibilité]]),(TableauCB[[#This Row],[Date d''éxigibilité]]),"")</f>
        <v/>
      </c>
      <c r="C710" s="11" t="s">
        <v>33</v>
      </c>
      <c r="D710" s="11" t="s">
        <v>11</v>
      </c>
      <c r="E710" s="11" t="s">
        <v>10</v>
      </c>
      <c r="F710" s="34">
        <v>42490</v>
      </c>
      <c r="G710"/>
      <c r="H710"/>
      <c r="I710" s="32">
        <v>42679</v>
      </c>
      <c r="J710"/>
      <c r="K710" s="32"/>
      <c r="L710" s="30"/>
      <c r="M710" s="29">
        <v>198</v>
      </c>
      <c r="N710" s="28">
        <f>IF(OR(TableauCB[[#This Row],[Etat]]="",TableauCB[[#This Row],[Etat]]="c"),IF(TableauCB[[#This Row],[Solde]]="","",N709),N709-TableauCB[[#This Row],[Débit]]+TableauCB[[#This Row],[Crédit]])</f>
        <v>7973.8060000000087</v>
      </c>
      <c r="O710" s="27">
        <f>IF(TableauCB[[#This Row],[Etat]]&lt;&gt;"",O709-TableauCB[[#This Row],[Débit]]+TableauCB[[#This Row],[Crédit]],O709-TableauCB[[#This Row],[Débit]])</f>
        <v>7853.8099999999986</v>
      </c>
      <c r="P710" s="27">
        <f>IF(AND(ISBLANK(TableauCB[[#This Row],[Débit]]),ISBLANK(TableauCB[[#This Row],[Crédit]])),"",P709+TableauCB[[#This Row],[Crédit]]-TableauCB[[#This Row],[Débit]])</f>
        <v>7007.8060000000069</v>
      </c>
      <c r="Q710" s="26"/>
      <c r="R710" s="25"/>
      <c r="S710" s="25"/>
      <c r="T710" s="24"/>
      <c r="U710" s="24"/>
      <c r="V710" s="9"/>
      <c r="W710" s="2"/>
      <c r="X710" s="9"/>
      <c r="Y710" s="8"/>
      <c r="Z710" s="7"/>
      <c r="AA710" s="7"/>
      <c r="AB710" s="6"/>
    </row>
    <row r="711" spans="2:28" ht="30" hidden="1" customHeight="1">
      <c r="B711" s="35" t="str">
        <f>IF(MONTH(F710)&lt;&gt;MONTH(TableauCB[[#This Row],[Date d''éxigibilité]]),(TableauCB[[#This Row],[Date d''éxigibilité]]),"")</f>
        <v/>
      </c>
      <c r="C711" s="11" t="s">
        <v>33</v>
      </c>
      <c r="D711" s="11" t="s">
        <v>11</v>
      </c>
      <c r="E711" s="11" t="s">
        <v>10</v>
      </c>
      <c r="F711" s="34">
        <v>42490</v>
      </c>
      <c r="G711"/>
      <c r="H711"/>
      <c r="I711" s="32">
        <v>42571</v>
      </c>
      <c r="J711"/>
      <c r="K711" s="32">
        <v>42571</v>
      </c>
      <c r="L711" s="30"/>
      <c r="M711" s="29">
        <v>151.80000000000001</v>
      </c>
      <c r="N711" s="28">
        <f>IF(OR(TableauCB[[#This Row],[Etat]]="",TableauCB[[#This Row],[Etat]]="c"),IF(TableauCB[[#This Row],[Solde]]="","",N710),N710-TableauCB[[#This Row],[Débit]]+TableauCB[[#This Row],[Crédit]])</f>
        <v>8125.6060000000089</v>
      </c>
      <c r="O711" s="27">
        <f>IF(TableauCB[[#This Row],[Etat]]&lt;&gt;"",O710-TableauCB[[#This Row],[Débit]]+TableauCB[[#This Row],[Crédit]],O710-TableauCB[[#This Row],[Débit]])</f>
        <v>8005.6099999999988</v>
      </c>
      <c r="P711" s="27">
        <f>IF(AND(ISBLANK(TableauCB[[#This Row],[Débit]]),ISBLANK(TableauCB[[#This Row],[Crédit]])),"",P710+TableauCB[[#This Row],[Crédit]]-TableauCB[[#This Row],[Débit]])</f>
        <v>7159.606000000007</v>
      </c>
      <c r="Q711" s="26"/>
      <c r="R711" s="25"/>
      <c r="S711" s="25"/>
      <c r="T711" s="24"/>
      <c r="U711" s="24"/>
      <c r="V711" s="9"/>
      <c r="W711" s="2"/>
      <c r="X711" s="9"/>
      <c r="Y711" s="8"/>
      <c r="Z711" s="7"/>
      <c r="AA711" s="7"/>
      <c r="AB711" s="6"/>
    </row>
    <row r="712" spans="2:28" ht="30" hidden="1" customHeight="1">
      <c r="B712" s="35" t="str">
        <f>IF(MONTH(F711)&lt;&gt;MONTH(TableauCB[[#This Row],[Date d''éxigibilité]]),(TableauCB[[#This Row],[Date d''éxigibilité]]),"")</f>
        <v/>
      </c>
      <c r="C712" s="11" t="s">
        <v>33</v>
      </c>
      <c r="D712" s="11" t="s">
        <v>11</v>
      </c>
      <c r="E712" s="11" t="s">
        <v>12</v>
      </c>
      <c r="F712" s="34">
        <v>42490</v>
      </c>
      <c r="G712"/>
      <c r="H712"/>
      <c r="I712" s="32">
        <v>42521</v>
      </c>
      <c r="J712"/>
      <c r="K712" s="32">
        <v>42521</v>
      </c>
      <c r="L712" s="30"/>
      <c r="M712" s="29">
        <v>522</v>
      </c>
      <c r="N712" s="28">
        <f>IF(OR(TableauCB[[#This Row],[Etat]]="",TableauCB[[#This Row],[Etat]]="c"),IF(TableauCB[[#This Row],[Solde]]="","",N711),N711-TableauCB[[#This Row],[Débit]]+TableauCB[[#This Row],[Crédit]])</f>
        <v>8647.6060000000089</v>
      </c>
      <c r="O712" s="27">
        <f>IF(TableauCB[[#This Row],[Etat]]&lt;&gt;"",O711-TableauCB[[#This Row],[Débit]]+TableauCB[[#This Row],[Crédit]],O711-TableauCB[[#This Row],[Débit]])</f>
        <v>8527.6099999999988</v>
      </c>
      <c r="P712" s="27">
        <f>IF(AND(ISBLANK(TableauCB[[#This Row],[Débit]]),ISBLANK(TableauCB[[#This Row],[Crédit]])),"",P711+TableauCB[[#This Row],[Crédit]]-TableauCB[[#This Row],[Débit]])</f>
        <v>7681.606000000007</v>
      </c>
      <c r="Q712" s="26"/>
      <c r="R712" s="25"/>
      <c r="S712" s="25"/>
      <c r="T712" s="24"/>
      <c r="U712" s="24"/>
      <c r="V712" s="9"/>
      <c r="W712" s="2"/>
      <c r="X712" s="9"/>
      <c r="Y712" s="8"/>
      <c r="Z712" s="7"/>
      <c r="AA712" s="7"/>
      <c r="AB712" s="6"/>
    </row>
    <row r="713" spans="2:28" ht="30" hidden="1" customHeight="1">
      <c r="B713" s="35" t="str">
        <f>IF(MONTH(F712)&lt;&gt;MONTH(TableauCB[[#This Row],[Date d''éxigibilité]]),(TableauCB[[#This Row],[Date d''éxigibilité]]),"")</f>
        <v/>
      </c>
      <c r="C713" s="11" t="s">
        <v>33</v>
      </c>
      <c r="D713" s="11" t="s">
        <v>11</v>
      </c>
      <c r="E713" s="11" t="s">
        <v>10</v>
      </c>
      <c r="F713" s="34">
        <v>42490</v>
      </c>
      <c r="G713"/>
      <c r="H713"/>
      <c r="I713" s="32">
        <v>42500</v>
      </c>
      <c r="J713"/>
      <c r="K713" s="32">
        <v>42500</v>
      </c>
      <c r="L713" s="30"/>
      <c r="M713" s="29">
        <v>251.52</v>
      </c>
      <c r="N713" s="28">
        <f>IF(OR(TableauCB[[#This Row],[Etat]]="",TableauCB[[#This Row],[Etat]]="c"),IF(TableauCB[[#This Row],[Solde]]="","",N712),N712-TableauCB[[#This Row],[Débit]]+TableauCB[[#This Row],[Crédit]])</f>
        <v>8899.1260000000093</v>
      </c>
      <c r="O713" s="27">
        <f>IF(TableauCB[[#This Row],[Etat]]&lt;&gt;"",O712-TableauCB[[#This Row],[Débit]]+TableauCB[[#This Row],[Crédit]],O712-TableauCB[[#This Row],[Débit]])</f>
        <v>8779.1299999999992</v>
      </c>
      <c r="P713" s="27">
        <f>IF(AND(ISBLANK(TableauCB[[#This Row],[Débit]]),ISBLANK(TableauCB[[#This Row],[Crédit]])),"",P712+TableauCB[[#This Row],[Crédit]]-TableauCB[[#This Row],[Débit]])</f>
        <v>7933.1260000000075</v>
      </c>
      <c r="Q713" s="26"/>
      <c r="R713" s="25"/>
      <c r="S713" s="25"/>
      <c r="T713" s="24"/>
      <c r="U713" s="24"/>
      <c r="V713" s="9"/>
      <c r="W713" s="2"/>
      <c r="X713" s="9"/>
      <c r="Y713" s="8"/>
      <c r="Z713" s="7"/>
      <c r="AA713" s="7"/>
      <c r="AB713" s="6"/>
    </row>
    <row r="714" spans="2:28" ht="30" hidden="1" customHeight="1">
      <c r="B714" s="35" t="str">
        <f>IF(MONTH(F713)&lt;&gt;MONTH(TableauCB[[#This Row],[Date d''éxigibilité]]),(TableauCB[[#This Row],[Date d''éxigibilité]]),"")</f>
        <v/>
      </c>
      <c r="C714" s="11" t="s">
        <v>33</v>
      </c>
      <c r="D714" s="11" t="s">
        <v>11</v>
      </c>
      <c r="E714" s="11" t="s">
        <v>10</v>
      </c>
      <c r="F714" s="34">
        <v>42490</v>
      </c>
      <c r="G714"/>
      <c r="H714"/>
      <c r="I714" s="32">
        <v>42522</v>
      </c>
      <c r="J714"/>
      <c r="K714" s="32">
        <v>42522</v>
      </c>
      <c r="L714" s="30"/>
      <c r="M714" s="29">
        <v>624</v>
      </c>
      <c r="N714" s="28">
        <f>IF(OR(TableauCB[[#This Row],[Etat]]="",TableauCB[[#This Row],[Etat]]="c"),IF(TableauCB[[#This Row],[Solde]]="","",N713),N713-TableauCB[[#This Row],[Débit]]+TableauCB[[#This Row],[Crédit]])</f>
        <v>9523.1260000000093</v>
      </c>
      <c r="O714" s="27">
        <f>IF(TableauCB[[#This Row],[Etat]]&lt;&gt;"",O713-TableauCB[[#This Row],[Débit]]+TableauCB[[#This Row],[Crédit]],O713-TableauCB[[#This Row],[Débit]])</f>
        <v>9403.1299999999992</v>
      </c>
      <c r="P714" s="27">
        <f>IF(AND(ISBLANK(TableauCB[[#This Row],[Débit]]),ISBLANK(TableauCB[[#This Row],[Crédit]])),"",P713+TableauCB[[#This Row],[Crédit]]-TableauCB[[#This Row],[Débit]])</f>
        <v>8557.1260000000075</v>
      </c>
      <c r="Q714" s="26"/>
      <c r="R714" s="25"/>
      <c r="S714" s="25"/>
      <c r="T714" s="24"/>
      <c r="U714" s="24"/>
      <c r="V714" s="9"/>
      <c r="W714" s="2"/>
      <c r="X714" s="9"/>
      <c r="Y714" s="8"/>
      <c r="Z714" s="7"/>
      <c r="AA714" s="7"/>
      <c r="AB714" s="6"/>
    </row>
    <row r="715" spans="2:28" ht="30" hidden="1" customHeight="1">
      <c r="B715" s="35" t="str">
        <f>IF(MONTH(F714)&lt;&gt;MONTH(TableauCB[[#This Row],[Date d''éxigibilité]]),(TableauCB[[#This Row],[Date d''éxigibilité]]),"")</f>
        <v/>
      </c>
      <c r="C715" s="11" t="s">
        <v>33</v>
      </c>
      <c r="D715" s="11" t="s">
        <v>11</v>
      </c>
      <c r="E715" s="11" t="s">
        <v>12</v>
      </c>
      <c r="F715" s="34">
        <v>42490</v>
      </c>
      <c r="G715"/>
      <c r="H715"/>
      <c r="I715" s="32">
        <v>42502</v>
      </c>
      <c r="J715"/>
      <c r="K715" s="32">
        <v>42502</v>
      </c>
      <c r="L715" s="30"/>
      <c r="M715" s="29">
        <v>115.2</v>
      </c>
      <c r="N715" s="28">
        <f>IF(OR(TableauCB[[#This Row],[Etat]]="",TableauCB[[#This Row],[Etat]]="c"),IF(TableauCB[[#This Row],[Solde]]="","",N714),N714-TableauCB[[#This Row],[Débit]]+TableauCB[[#This Row],[Crédit]])</f>
        <v>9638.32600000001</v>
      </c>
      <c r="O715" s="27">
        <f>IF(TableauCB[[#This Row],[Etat]]&lt;&gt;"",O714-TableauCB[[#This Row],[Débit]]+TableauCB[[#This Row],[Crédit]],O714-TableauCB[[#This Row],[Débit]])</f>
        <v>9518.33</v>
      </c>
      <c r="P715" s="27">
        <f>IF(AND(ISBLANK(TableauCB[[#This Row],[Débit]]),ISBLANK(TableauCB[[#This Row],[Crédit]])),"",P714+TableauCB[[#This Row],[Crédit]]-TableauCB[[#This Row],[Débit]])</f>
        <v>8672.3260000000082</v>
      </c>
      <c r="Q715" s="26"/>
      <c r="R715" s="25"/>
      <c r="S715" s="25"/>
      <c r="T715" s="24"/>
      <c r="U715" s="24"/>
      <c r="V715" s="9"/>
      <c r="W715" s="2"/>
      <c r="X715" s="9"/>
      <c r="Y715" s="8"/>
      <c r="Z715" s="7"/>
      <c r="AA715" s="7"/>
      <c r="AB715" s="6"/>
    </row>
    <row r="716" spans="2:28" ht="30" hidden="1" customHeight="1">
      <c r="B716" s="35" t="str">
        <f>IF(MONTH(F715)&lt;&gt;MONTH(TableauCB[[#This Row],[Date d''éxigibilité]]),(TableauCB[[#This Row],[Date d''éxigibilité]]),"")</f>
        <v/>
      </c>
      <c r="C716" s="11" t="s">
        <v>33</v>
      </c>
      <c r="D716" s="11" t="s">
        <v>11</v>
      </c>
      <c r="E716" s="11" t="s">
        <v>47</v>
      </c>
      <c r="F716" s="34">
        <v>42490</v>
      </c>
      <c r="G716"/>
      <c r="H716"/>
      <c r="I716" s="32">
        <v>42692</v>
      </c>
      <c r="J716"/>
      <c r="K716" s="32">
        <v>42693</v>
      </c>
      <c r="L716" s="30"/>
      <c r="M716" s="29">
        <v>120</v>
      </c>
      <c r="N716" s="28">
        <f>IF(OR(TableauCB[[#This Row],[Etat]]="",TableauCB[[#This Row],[Etat]]="c"),IF(TableauCB[[#This Row],[Solde]]="","",N715),N715-TableauCB[[#This Row],[Débit]]+TableauCB[[#This Row],[Crédit]])</f>
        <v>9758.32600000001</v>
      </c>
      <c r="O716" s="27">
        <f>IF(TableauCB[[#This Row],[Etat]]&lt;&gt;"",O715-TableauCB[[#This Row],[Débit]]+TableauCB[[#This Row],[Crédit]],O715-TableauCB[[#This Row],[Débit]])</f>
        <v>9638.33</v>
      </c>
      <c r="P716" s="27">
        <f>IF(AND(ISBLANK(TableauCB[[#This Row],[Débit]]),ISBLANK(TableauCB[[#This Row],[Crédit]])),"",P715+TableauCB[[#This Row],[Crédit]]-TableauCB[[#This Row],[Débit]])</f>
        <v>8792.3260000000082</v>
      </c>
      <c r="Q716" s="26"/>
      <c r="R716" s="25"/>
      <c r="S716" s="25"/>
      <c r="T716" s="24"/>
      <c r="U716" s="24"/>
      <c r="V716" s="9"/>
      <c r="W716" s="2"/>
      <c r="X716" s="9"/>
      <c r="Y716" s="8"/>
      <c r="Z716" s="7"/>
      <c r="AA716" s="7"/>
      <c r="AB716" s="6"/>
    </row>
    <row r="717" spans="2:28" ht="30" hidden="1" customHeight="1">
      <c r="B717" s="35" t="str">
        <f>IF(MONTH(F716)&lt;&gt;MONTH(TableauCB[[#This Row],[Date d''éxigibilité]]),(TableauCB[[#This Row],[Date d''éxigibilité]]),"")</f>
        <v/>
      </c>
      <c r="C717" s="11" t="s">
        <v>33</v>
      </c>
      <c r="D717" s="11" t="s">
        <v>11</v>
      </c>
      <c r="E717" s="11" t="s">
        <v>10</v>
      </c>
      <c r="F717" s="34">
        <v>42490</v>
      </c>
      <c r="G717"/>
      <c r="H717"/>
      <c r="I717" s="32">
        <v>42532</v>
      </c>
      <c r="J717"/>
      <c r="K717" s="32">
        <v>42532</v>
      </c>
      <c r="L717" s="30"/>
      <c r="M717" s="29">
        <v>96</v>
      </c>
      <c r="N717" s="28">
        <f>IF(OR(TableauCB[[#This Row],[Etat]]="",TableauCB[[#This Row],[Etat]]="c"),IF(TableauCB[[#This Row],[Solde]]="","",N716),N716-TableauCB[[#This Row],[Débit]]+TableauCB[[#This Row],[Crédit]])</f>
        <v>9854.32600000001</v>
      </c>
      <c r="O717" s="27">
        <f>IF(TableauCB[[#This Row],[Etat]]&lt;&gt;"",O716-TableauCB[[#This Row],[Débit]]+TableauCB[[#This Row],[Crédit]],O716-TableauCB[[#This Row],[Débit]])</f>
        <v>9734.33</v>
      </c>
      <c r="P717" s="27">
        <f>IF(AND(ISBLANK(TableauCB[[#This Row],[Débit]]),ISBLANK(TableauCB[[#This Row],[Crédit]])),"",P716+TableauCB[[#This Row],[Crédit]]-TableauCB[[#This Row],[Débit]])</f>
        <v>8888.3260000000082</v>
      </c>
      <c r="Q717" s="26"/>
      <c r="R717" s="25"/>
      <c r="S717" s="25"/>
      <c r="T717" s="24"/>
      <c r="U717" s="24"/>
      <c r="V717" s="9"/>
      <c r="W717" s="2"/>
      <c r="X717" s="9"/>
      <c r="Y717" s="8"/>
      <c r="Z717" s="7"/>
      <c r="AA717" s="7"/>
      <c r="AB717" s="6"/>
    </row>
    <row r="718" spans="2:28" ht="30" hidden="1" customHeight="1">
      <c r="B718" s="35" t="str">
        <f>IF(MONTH(F717)&lt;&gt;MONTH(TableauCB[[#This Row],[Date d''éxigibilité]]),(TableauCB[[#This Row],[Date d''éxigibilité]]),"")</f>
        <v/>
      </c>
      <c r="C718" s="11" t="s">
        <v>33</v>
      </c>
      <c r="D718" s="11" t="s">
        <v>11</v>
      </c>
      <c r="E718" s="11" t="s">
        <v>10</v>
      </c>
      <c r="F718" s="34">
        <v>42490</v>
      </c>
      <c r="G718"/>
      <c r="H718"/>
      <c r="I718" s="32">
        <v>42504</v>
      </c>
      <c r="J718"/>
      <c r="K718" s="32">
        <v>42504</v>
      </c>
      <c r="L718" s="30"/>
      <c r="M718" s="29">
        <v>510</v>
      </c>
      <c r="N718" s="28">
        <f>IF(OR(TableauCB[[#This Row],[Etat]]="",TableauCB[[#This Row],[Etat]]="c"),IF(TableauCB[[#This Row],[Solde]]="","",N717),N717-TableauCB[[#This Row],[Débit]]+TableauCB[[#This Row],[Crédit]])</f>
        <v>10364.32600000001</v>
      </c>
      <c r="O718" s="27">
        <f>IF(TableauCB[[#This Row],[Etat]]&lt;&gt;"",O717-TableauCB[[#This Row],[Débit]]+TableauCB[[#This Row],[Crédit]],O717-TableauCB[[#This Row],[Débit]])</f>
        <v>10244.33</v>
      </c>
      <c r="P718" s="27">
        <f>IF(AND(ISBLANK(TableauCB[[#This Row],[Débit]]),ISBLANK(TableauCB[[#This Row],[Crédit]])),"",P717+TableauCB[[#This Row],[Crédit]]-TableauCB[[#This Row],[Débit]])</f>
        <v>9398.3260000000082</v>
      </c>
      <c r="Q718" s="26"/>
      <c r="T718" s="24"/>
      <c r="U718" s="24"/>
      <c r="V718" s="9"/>
      <c r="W718" s="2"/>
      <c r="X718" s="9"/>
      <c r="Y718" s="8"/>
      <c r="Z718" s="7"/>
      <c r="AA718" s="7"/>
      <c r="AB718" s="6"/>
    </row>
    <row r="719" spans="2:28" ht="30" hidden="1" customHeight="1">
      <c r="B719" s="35" t="str">
        <f>IF(MONTH(F718)&lt;&gt;MONTH(TableauCB[[#This Row],[Date d''éxigibilité]]),(TableauCB[[#This Row],[Date d''éxigibilité]]),"")</f>
        <v/>
      </c>
      <c r="C719" s="11" t="s">
        <v>33</v>
      </c>
      <c r="D719" s="11" t="s">
        <v>32</v>
      </c>
      <c r="E719" s="11" t="s">
        <v>10</v>
      </c>
      <c r="F719" s="34">
        <v>42490</v>
      </c>
      <c r="G719"/>
      <c r="H719"/>
      <c r="I719" s="32">
        <v>42592</v>
      </c>
      <c r="J719"/>
      <c r="K719" s="32">
        <v>42592</v>
      </c>
      <c r="L719" s="30"/>
      <c r="M719" s="29">
        <v>1260</v>
      </c>
      <c r="N719" s="28">
        <f>IF(OR(TableauCB[[#This Row],[Etat]]="",TableauCB[[#This Row],[Etat]]="c"),IF(TableauCB[[#This Row],[Solde]]="","",N718),N718-TableauCB[[#This Row],[Débit]]+TableauCB[[#This Row],[Crédit]])</f>
        <v>11624.32600000001</v>
      </c>
      <c r="O719" s="27">
        <f>IF(TableauCB[[#This Row],[Etat]]&lt;&gt;"",O718-TableauCB[[#This Row],[Débit]]+TableauCB[[#This Row],[Crédit]],O718-TableauCB[[#This Row],[Débit]])</f>
        <v>11504.33</v>
      </c>
      <c r="P719" s="27">
        <f>IF(AND(ISBLANK(TableauCB[[#This Row],[Débit]]),ISBLANK(TableauCB[[#This Row],[Crédit]])),"",P718+TableauCB[[#This Row],[Crédit]]-TableauCB[[#This Row],[Débit]])</f>
        <v>10658.326000000008</v>
      </c>
      <c r="Q719" s="26"/>
      <c r="T719" s="24"/>
      <c r="U719" s="24"/>
      <c r="V719" s="9"/>
      <c r="W719" s="2"/>
      <c r="X719" s="9"/>
      <c r="Y719" s="8"/>
      <c r="Z719" s="7"/>
      <c r="AA719" s="7"/>
      <c r="AB719" s="6"/>
    </row>
    <row r="720" spans="2:28" ht="30" hidden="1" customHeight="1">
      <c r="B720" s="35" t="str">
        <f>IF(MONTH(F719)&lt;&gt;MONTH(TableauCB[[#This Row],[Date d''éxigibilité]]),(TableauCB[[#This Row],[Date d''éxigibilité]]),"")</f>
        <v/>
      </c>
      <c r="C720" s="11" t="s">
        <v>33</v>
      </c>
      <c r="D720" s="11" t="s">
        <v>22</v>
      </c>
      <c r="E720" s="11" t="s">
        <v>43</v>
      </c>
      <c r="F720" s="34">
        <v>42490</v>
      </c>
      <c r="G720"/>
      <c r="H720"/>
      <c r="I720" s="32">
        <v>42494</v>
      </c>
      <c r="J720"/>
      <c r="K720" s="32">
        <v>42494</v>
      </c>
      <c r="L720" s="30">
        <v>240</v>
      </c>
      <c r="M720" s="29"/>
      <c r="N720" s="28">
        <f>IF(OR(TableauCB[[#This Row],[Etat]]="",TableauCB[[#This Row],[Etat]]="c"),IF(TableauCB[[#This Row],[Solde]]="","",N719),N719-TableauCB[[#This Row],[Débit]]+TableauCB[[#This Row],[Crédit]])</f>
        <v>11384.32600000001</v>
      </c>
      <c r="O720" s="27">
        <f>IF(TableauCB[[#This Row],[Etat]]&lt;&gt;"",O719-TableauCB[[#This Row],[Débit]]+TableauCB[[#This Row],[Crédit]],O719-TableauCB[[#This Row],[Débit]])</f>
        <v>11264.33</v>
      </c>
      <c r="P720" s="27">
        <f>IF(AND(ISBLANK(TableauCB[[#This Row],[Débit]]),ISBLANK(TableauCB[[#This Row],[Crédit]])),"",P719+TableauCB[[#This Row],[Crédit]]-TableauCB[[#This Row],[Débit]])</f>
        <v>10418.326000000008</v>
      </c>
      <c r="Q720" s="26"/>
      <c r="T720" s="24"/>
      <c r="U720" s="24"/>
      <c r="V720" s="9"/>
      <c r="W720" s="2"/>
      <c r="X720" s="9"/>
      <c r="Y720" s="8"/>
      <c r="Z720" s="7"/>
      <c r="AA720" s="7"/>
      <c r="AB720" s="6"/>
    </row>
    <row r="721" spans="2:28" ht="30" hidden="1" customHeight="1">
      <c r="B721" s="35" t="str">
        <f>IF(MONTH(F720)&lt;&gt;MONTH(TableauCB[[#This Row],[Date d''éxigibilité]]),(TableauCB[[#This Row],[Date d''éxigibilité]]),"")</f>
        <v/>
      </c>
      <c r="C721" s="11" t="s">
        <v>33</v>
      </c>
      <c r="D721" s="11" t="s">
        <v>5</v>
      </c>
      <c r="E721" s="11" t="s">
        <v>7</v>
      </c>
      <c r="F721" s="34">
        <v>42490</v>
      </c>
      <c r="G721"/>
      <c r="H721"/>
      <c r="I721" s="32">
        <v>42494</v>
      </c>
      <c r="J721"/>
      <c r="K721" s="32">
        <v>42494</v>
      </c>
      <c r="L721" s="30">
        <v>1426.78</v>
      </c>
      <c r="M721" s="29"/>
      <c r="N721" s="28">
        <f>IF(OR(TableauCB[[#This Row],[Etat]]="",TableauCB[[#This Row],[Etat]]="c"),IF(TableauCB[[#This Row],[Solde]]="","",N720),N720-TableauCB[[#This Row],[Débit]]+TableauCB[[#This Row],[Crédit]])</f>
        <v>9957.5460000000094</v>
      </c>
      <c r="O721" s="27">
        <f>IF(TableauCB[[#This Row],[Etat]]&lt;&gt;"",O720-TableauCB[[#This Row],[Débit]]+TableauCB[[#This Row],[Crédit]],O720-TableauCB[[#This Row],[Débit]])</f>
        <v>9837.5499999999993</v>
      </c>
      <c r="P721" s="27">
        <f>IF(AND(ISBLANK(TableauCB[[#This Row],[Débit]]),ISBLANK(TableauCB[[#This Row],[Crédit]])),"",P720+TableauCB[[#This Row],[Crédit]]-TableauCB[[#This Row],[Débit]])</f>
        <v>8991.5460000000076</v>
      </c>
      <c r="Q721" s="26"/>
      <c r="R721" s="25"/>
      <c r="S721" s="25"/>
      <c r="T721" s="24"/>
      <c r="U721" s="24"/>
      <c r="V721" s="9"/>
      <c r="W721" s="2"/>
      <c r="X721" s="9"/>
      <c r="Y721" s="8"/>
      <c r="Z721" s="7"/>
      <c r="AA721" s="7"/>
      <c r="AB721" s="6"/>
    </row>
    <row r="722" spans="2:28" ht="30" hidden="1" customHeight="1">
      <c r="B722" s="35" t="str">
        <f>IF(MONTH(F721)&lt;&gt;MONTH(TableauCB[[#This Row],[Date d''éxigibilité]]),(TableauCB[[#This Row],[Date d''éxigibilité]]),"")</f>
        <v/>
      </c>
      <c r="C722" s="11" t="s">
        <v>33</v>
      </c>
      <c r="D722" s="11" t="s">
        <v>5</v>
      </c>
      <c r="E722" s="11" t="s">
        <v>6</v>
      </c>
      <c r="F722" s="34">
        <v>42490</v>
      </c>
      <c r="G722"/>
      <c r="H722"/>
      <c r="I722" s="32">
        <v>42593</v>
      </c>
      <c r="J722"/>
      <c r="K722" s="32">
        <v>42597</v>
      </c>
      <c r="L722" s="30">
        <v>164.5</v>
      </c>
      <c r="M722" s="29"/>
      <c r="N722" s="28">
        <f>IF(OR(TableauCB[[#This Row],[Etat]]="",TableauCB[[#This Row],[Etat]]="c"),IF(TableauCB[[#This Row],[Solde]]="","",N721),N721-TableauCB[[#This Row],[Débit]]+TableauCB[[#This Row],[Crédit]])</f>
        <v>9793.0460000000094</v>
      </c>
      <c r="O722" s="27">
        <f>IF(TableauCB[[#This Row],[Etat]]&lt;&gt;"",O721-TableauCB[[#This Row],[Débit]]+TableauCB[[#This Row],[Crédit]],O721-TableauCB[[#This Row],[Débit]])</f>
        <v>9673.0499999999993</v>
      </c>
      <c r="P722" s="27">
        <f>IF(AND(ISBLANK(TableauCB[[#This Row],[Débit]]),ISBLANK(TableauCB[[#This Row],[Crédit]])),"",P721+TableauCB[[#This Row],[Crédit]]-TableauCB[[#This Row],[Débit]])</f>
        <v>8827.0460000000076</v>
      </c>
      <c r="Q722" s="26"/>
      <c r="R722" s="42">
        <v>3406.72</v>
      </c>
      <c r="S722" s="36"/>
      <c r="T722" s="24"/>
      <c r="U722" s="24"/>
      <c r="V722" s="9"/>
      <c r="W722" s="2"/>
      <c r="X722" s="9"/>
      <c r="Y722" s="8"/>
      <c r="Z722" s="7"/>
      <c r="AA722" s="7"/>
      <c r="AB722" s="6"/>
    </row>
    <row r="723" spans="2:28" ht="30" hidden="1" customHeight="1">
      <c r="B723" s="35">
        <f>IF(MONTH(F722)&lt;&gt;MONTH(TableauCB[[#This Row],[Date d''éxigibilité]]),(TableauCB[[#This Row],[Date d''éxigibilité]]),"")</f>
        <v>42493</v>
      </c>
      <c r="C723" s="11" t="s">
        <v>33</v>
      </c>
      <c r="D723" s="11" t="s">
        <v>15</v>
      </c>
      <c r="E723" s="11" t="s">
        <v>23</v>
      </c>
      <c r="F723" s="34">
        <v>42493</v>
      </c>
      <c r="G723"/>
      <c r="H723"/>
      <c r="I723" s="32"/>
      <c r="J723"/>
      <c r="K723" s="32"/>
      <c r="L723" s="30">
        <v>684</v>
      </c>
      <c r="M723" s="29"/>
      <c r="N723" s="28">
        <f>IF(OR(TableauCB[[#This Row],[Etat]]="",TableauCB[[#This Row],[Etat]]="c"),IF(TableauCB[[#This Row],[Solde]]="","",N722),N722-TableauCB[[#This Row],[Débit]]+TableauCB[[#This Row],[Crédit]])</f>
        <v>9109.0460000000094</v>
      </c>
      <c r="O723" s="27">
        <f>IF(TableauCB[[#This Row],[Etat]]&lt;&gt;"",O722-TableauCB[[#This Row],[Débit]]+TableauCB[[#This Row],[Crédit]],O722-TableauCB[[#This Row],[Débit]])</f>
        <v>8989.0499999999993</v>
      </c>
      <c r="P723" s="27">
        <f>IF(AND(ISBLANK(TableauCB[[#This Row],[Débit]]),ISBLANK(TableauCB[[#This Row],[Crédit]])),"",P722+TableauCB[[#This Row],[Crédit]]-TableauCB[[#This Row],[Débit]])</f>
        <v>8143.0460000000076</v>
      </c>
      <c r="Q723" s="26"/>
      <c r="R723" s="25"/>
      <c r="S723" s="25"/>
      <c r="T723" s="24"/>
      <c r="U723" s="24"/>
      <c r="V723" s="9"/>
      <c r="W723" s="2"/>
      <c r="X723" s="9"/>
      <c r="Y723" s="8"/>
      <c r="Z723" s="7"/>
      <c r="AA723" s="7"/>
      <c r="AB723" s="6"/>
    </row>
    <row r="724" spans="2:28" ht="30" hidden="1" customHeight="1">
      <c r="B724" s="35" t="str">
        <f>IF(MONTH(F723)&lt;&gt;MONTH(TableauCB[[#This Row],[Date d''éxigibilité]]),(TableauCB[[#This Row],[Date d''éxigibilité]]),"")</f>
        <v/>
      </c>
      <c r="C724" s="11" t="s">
        <v>33</v>
      </c>
      <c r="D724" s="11" t="s">
        <v>30</v>
      </c>
      <c r="E724" s="11" t="s">
        <v>30</v>
      </c>
      <c r="F724" s="34">
        <v>42493</v>
      </c>
      <c r="G724"/>
      <c r="H724"/>
      <c r="I724" s="32"/>
      <c r="J724"/>
      <c r="K724" s="32"/>
      <c r="L724" s="30">
        <v>57.77</v>
      </c>
      <c r="M724" s="29"/>
      <c r="N724" s="28">
        <f>IF(OR(TableauCB[[#This Row],[Etat]]="",TableauCB[[#This Row],[Etat]]="c"),IF(TableauCB[[#This Row],[Solde]]="","",N723),N723-TableauCB[[#This Row],[Débit]]+TableauCB[[#This Row],[Crédit]])</f>
        <v>9051.2760000000089</v>
      </c>
      <c r="O724" s="27">
        <f>IF(TableauCB[[#This Row],[Etat]]&lt;&gt;"",O723-TableauCB[[#This Row],[Débit]]+TableauCB[[#This Row],[Crédit]],O723-TableauCB[[#This Row],[Débit]])</f>
        <v>8931.2799999999988</v>
      </c>
      <c r="P724" s="27">
        <f>IF(AND(ISBLANK(TableauCB[[#This Row],[Débit]]),ISBLANK(TableauCB[[#This Row],[Crédit]])),"",P723+TableauCB[[#This Row],[Crédit]]-TableauCB[[#This Row],[Débit]])</f>
        <v>8085.2760000000071</v>
      </c>
      <c r="Q724" s="26"/>
      <c r="R724" s="25"/>
      <c r="S724" s="25"/>
      <c r="T724" s="24"/>
      <c r="U724" s="24"/>
      <c r="V724" s="9"/>
      <c r="W724" s="2"/>
      <c r="X724" s="9"/>
      <c r="Y724" s="8"/>
      <c r="Z724" s="7"/>
      <c r="AA724" s="7"/>
      <c r="AB724" s="6"/>
    </row>
    <row r="725" spans="2:28" ht="30" hidden="1" customHeight="1">
      <c r="B725" s="35" t="str">
        <f>IF(MONTH(F724)&lt;&gt;MONTH(TableauCB[[#This Row],[Date d''éxigibilité]]),(TableauCB[[#This Row],[Date d''éxigibilité]]),"")</f>
        <v/>
      </c>
      <c r="C725" s="11" t="s">
        <v>33</v>
      </c>
      <c r="D725" s="11" t="s">
        <v>22</v>
      </c>
      <c r="E725" s="11" t="s">
        <v>21</v>
      </c>
      <c r="F725" s="34">
        <v>42495</v>
      </c>
      <c r="G725"/>
      <c r="H725"/>
      <c r="I725" s="32">
        <v>42500</v>
      </c>
      <c r="J725"/>
      <c r="K725" s="32">
        <v>42500</v>
      </c>
      <c r="L725" s="30">
        <v>22.2</v>
      </c>
      <c r="M725" s="29"/>
      <c r="N725" s="28">
        <f>IF(OR(TableauCB[[#This Row],[Etat]]="",TableauCB[[#This Row],[Etat]]="c"),IF(TableauCB[[#This Row],[Solde]]="","",N724),N724-TableauCB[[#This Row],[Débit]]+TableauCB[[#This Row],[Crédit]])</f>
        <v>9029.0760000000082</v>
      </c>
      <c r="O725" s="27">
        <f>IF(TableauCB[[#This Row],[Etat]]&lt;&gt;"",O724-TableauCB[[#This Row],[Débit]]+TableauCB[[#This Row],[Crédit]],O724-TableauCB[[#This Row],[Débit]])</f>
        <v>8909.0799999999981</v>
      </c>
      <c r="P725" s="27">
        <f>IF(AND(ISBLANK(TableauCB[[#This Row],[Débit]]),ISBLANK(TableauCB[[#This Row],[Crédit]])),"",P724+TableauCB[[#This Row],[Crédit]]-TableauCB[[#This Row],[Débit]])</f>
        <v>8063.0760000000073</v>
      </c>
      <c r="Q725" s="26"/>
      <c r="R725" s="25"/>
      <c r="S725" s="25"/>
      <c r="T725" s="24"/>
      <c r="U725" s="24"/>
      <c r="V725" s="9"/>
      <c r="W725" s="2"/>
      <c r="X725" s="9"/>
      <c r="Y725" s="8"/>
      <c r="Z725" s="7"/>
      <c r="AA725" s="7"/>
      <c r="AB725" s="6"/>
    </row>
    <row r="726" spans="2:28" ht="30" hidden="1" customHeight="1">
      <c r="B726" s="35" t="str">
        <f>IF(MONTH(F725)&lt;&gt;MONTH(TableauCB[[#This Row],[Date d''éxigibilité]]),(TableauCB[[#This Row],[Date d''éxigibilité]]),"")</f>
        <v/>
      </c>
      <c r="C726" s="11" t="s">
        <v>33</v>
      </c>
      <c r="D726" s="11" t="s">
        <v>22</v>
      </c>
      <c r="E726" s="11" t="s">
        <v>37</v>
      </c>
      <c r="F726" s="34">
        <v>42504</v>
      </c>
      <c r="G726"/>
      <c r="H726"/>
      <c r="I726" s="32"/>
      <c r="J726"/>
      <c r="K726" s="32"/>
      <c r="L726" s="30">
        <v>90</v>
      </c>
      <c r="M726" s="29"/>
      <c r="N726" s="28">
        <f>IF(OR(TableauCB[[#This Row],[Etat]]="",TableauCB[[#This Row],[Etat]]="c"),IF(TableauCB[[#This Row],[Solde]]="","",N725),N725-TableauCB[[#This Row],[Débit]]+TableauCB[[#This Row],[Crédit]])</f>
        <v>8939.0760000000082</v>
      </c>
      <c r="O726" s="27">
        <f>IF(TableauCB[[#This Row],[Etat]]&lt;&gt;"",O725-TableauCB[[#This Row],[Débit]]+TableauCB[[#This Row],[Crédit]],O725-TableauCB[[#This Row],[Débit]])</f>
        <v>8819.0799999999981</v>
      </c>
      <c r="P726" s="27">
        <f>IF(AND(ISBLANK(TableauCB[[#This Row],[Débit]]),ISBLANK(TableauCB[[#This Row],[Crédit]])),"",P725+TableauCB[[#This Row],[Crédit]]-TableauCB[[#This Row],[Débit]])</f>
        <v>7973.0760000000073</v>
      </c>
      <c r="Q726" s="26"/>
      <c r="R726" s="25"/>
      <c r="S726" s="25"/>
      <c r="T726" s="24"/>
      <c r="U726" s="24"/>
      <c r="V726" s="9"/>
      <c r="W726" s="2"/>
      <c r="X726" s="9"/>
      <c r="Y726" s="8"/>
      <c r="Z726" s="7"/>
      <c r="AA726" s="7"/>
      <c r="AB726" s="6"/>
    </row>
    <row r="727" spans="2:28" ht="30" hidden="1" customHeight="1">
      <c r="B727" s="35" t="str">
        <f>IF(MONTH(F726)&lt;&gt;MONTH(TableauCB[[#This Row],[Date d''éxigibilité]]),(TableauCB[[#This Row],[Date d''éxigibilité]]),"")</f>
        <v/>
      </c>
      <c r="C727" s="11" t="s">
        <v>33</v>
      </c>
      <c r="D727" s="11" t="s">
        <v>15</v>
      </c>
      <c r="E727" s="11" t="s">
        <v>19</v>
      </c>
      <c r="F727" s="34">
        <v>42505</v>
      </c>
      <c r="G727"/>
      <c r="H727"/>
      <c r="I727" s="32"/>
      <c r="J727"/>
      <c r="K727" s="32"/>
      <c r="L727" s="30">
        <v>39</v>
      </c>
      <c r="M727" s="29"/>
      <c r="N727" s="28">
        <f>IF(OR(TableauCB[[#This Row],[Etat]]="",TableauCB[[#This Row],[Etat]]="c"),IF(TableauCB[[#This Row],[Solde]]="","",N726),N726-TableauCB[[#This Row],[Débit]]+TableauCB[[#This Row],[Crédit]])</f>
        <v>8900.0760000000082</v>
      </c>
      <c r="O727" s="27">
        <f>IF(TableauCB[[#This Row],[Etat]]&lt;&gt;"",O726-TableauCB[[#This Row],[Débit]]+TableauCB[[#This Row],[Crédit]],O726-TableauCB[[#This Row],[Débit]])</f>
        <v>8780.0799999999981</v>
      </c>
      <c r="P727" s="27">
        <f>IF(AND(ISBLANK(TableauCB[[#This Row],[Débit]]),ISBLANK(TableauCB[[#This Row],[Crédit]])),"",P726+TableauCB[[#This Row],[Crédit]]-TableauCB[[#This Row],[Débit]])</f>
        <v>7934.0760000000073</v>
      </c>
      <c r="Q727" s="26"/>
      <c r="R727" s="25"/>
      <c r="S727" s="25"/>
      <c r="T727" s="24"/>
      <c r="U727" s="24"/>
      <c r="V727" s="9"/>
      <c r="W727" s="2"/>
      <c r="X727" s="9"/>
      <c r="Y727" s="8"/>
      <c r="Z727" s="7"/>
      <c r="AA727" s="7"/>
      <c r="AB727" s="6"/>
    </row>
    <row r="728" spans="2:28" ht="30" hidden="1" customHeight="1">
      <c r="B728" s="35" t="str">
        <f>IF(MONTH(F727)&lt;&gt;MONTH(TableauCB[[#This Row],[Date d''éxigibilité]]),(TableauCB[[#This Row],[Date d''éxigibilité]]),"")</f>
        <v/>
      </c>
      <c r="C728" s="11" t="s">
        <v>33</v>
      </c>
      <c r="D728" s="11" t="s">
        <v>22</v>
      </c>
      <c r="E728" s="11" t="s">
        <v>17</v>
      </c>
      <c r="F728" s="34">
        <v>42505</v>
      </c>
      <c r="G728"/>
      <c r="H728"/>
      <c r="I728" s="32"/>
      <c r="J728"/>
      <c r="K728" s="32"/>
      <c r="L728" s="30">
        <v>45.6</v>
      </c>
      <c r="M728" s="29"/>
      <c r="N728" s="28">
        <f>IF(OR(TableauCB[[#This Row],[Etat]]="",TableauCB[[#This Row],[Etat]]="c"),IF(TableauCB[[#This Row],[Solde]]="","",N727),N727-TableauCB[[#This Row],[Débit]]+TableauCB[[#This Row],[Crédit]])</f>
        <v>8854.4760000000078</v>
      </c>
      <c r="O728" s="27">
        <f>IF(TableauCB[[#This Row],[Etat]]&lt;&gt;"",O727-TableauCB[[#This Row],[Débit]]+TableauCB[[#This Row],[Crédit]],O727-TableauCB[[#This Row],[Débit]])</f>
        <v>8734.4799999999977</v>
      </c>
      <c r="P728" s="27">
        <f>IF(AND(ISBLANK(TableauCB[[#This Row],[Débit]]),ISBLANK(TableauCB[[#This Row],[Crédit]])),"",P727+TableauCB[[#This Row],[Crédit]]-TableauCB[[#This Row],[Débit]])</f>
        <v>7888.4760000000069</v>
      </c>
      <c r="Q728" s="26"/>
      <c r="R728" s="25"/>
      <c r="S728" s="25"/>
      <c r="T728" s="24"/>
      <c r="U728" s="24"/>
      <c r="V728" s="9"/>
      <c r="W728" s="2"/>
      <c r="X728" s="9"/>
      <c r="Y728" s="8"/>
      <c r="Z728" s="7"/>
      <c r="AA728" s="7"/>
      <c r="AB728" s="6"/>
    </row>
    <row r="729" spans="2:28" ht="30" hidden="1" customHeight="1">
      <c r="B729" s="35" t="str">
        <f>IF(MONTH(F728)&lt;&gt;MONTH(TableauCB[[#This Row],[Date d''éxigibilité]]),(TableauCB[[#This Row],[Date d''éxigibilité]]),"")</f>
        <v/>
      </c>
      <c r="C729" s="11" t="s">
        <v>33</v>
      </c>
      <c r="D729" s="11" t="s">
        <v>30</v>
      </c>
      <c r="E729" s="11" t="s">
        <v>41</v>
      </c>
      <c r="F729" s="34">
        <v>42509</v>
      </c>
      <c r="G729"/>
      <c r="H729"/>
      <c r="I729" s="32"/>
      <c r="J729"/>
      <c r="K729" s="32"/>
      <c r="L729" s="30">
        <v>469.4</v>
      </c>
      <c r="M729" s="29"/>
      <c r="N729" s="28">
        <f>IF(OR(TableauCB[[#This Row],[Etat]]="",TableauCB[[#This Row],[Etat]]="c"),IF(TableauCB[[#This Row],[Solde]]="","",N728),N728-TableauCB[[#This Row],[Débit]]+TableauCB[[#This Row],[Crédit]])</f>
        <v>8385.0760000000082</v>
      </c>
      <c r="O729" s="27">
        <f>IF(TableauCB[[#This Row],[Etat]]&lt;&gt;"",O728-TableauCB[[#This Row],[Débit]]+TableauCB[[#This Row],[Crédit]],O728-TableauCB[[#This Row],[Débit]])</f>
        <v>8265.0799999999981</v>
      </c>
      <c r="P729" s="27">
        <f>IF(AND(ISBLANK(TableauCB[[#This Row],[Débit]]),ISBLANK(TableauCB[[#This Row],[Crédit]])),"",P728+TableauCB[[#This Row],[Crédit]]-TableauCB[[#This Row],[Débit]])</f>
        <v>7419.0760000000073</v>
      </c>
      <c r="Q729" s="26"/>
      <c r="R729" s="25"/>
      <c r="S729" s="25"/>
      <c r="T729" s="24"/>
      <c r="U729" s="24"/>
      <c r="V729" s="9"/>
      <c r="W729" s="2"/>
      <c r="X729" s="9"/>
      <c r="Y729" s="8"/>
      <c r="Z729" s="7"/>
      <c r="AA729" s="7"/>
      <c r="AB729" s="6"/>
    </row>
    <row r="730" spans="2:28" ht="30" hidden="1" customHeight="1">
      <c r="B730" s="35" t="str">
        <f>IF(MONTH(F729)&lt;&gt;MONTH(TableauCB[[#This Row],[Date d''éxigibilité]]),(TableauCB[[#This Row],[Date d''éxigibilité]]),"")</f>
        <v/>
      </c>
      <c r="C730" s="11" t="s">
        <v>33</v>
      </c>
      <c r="D730" s="11" t="s">
        <v>22</v>
      </c>
      <c r="E730" s="11" t="s">
        <v>17</v>
      </c>
      <c r="F730" s="34">
        <v>42510</v>
      </c>
      <c r="G730"/>
      <c r="H730"/>
      <c r="I730" s="32"/>
      <c r="J730"/>
      <c r="K730" s="32"/>
      <c r="L730" s="30">
        <v>3.59</v>
      </c>
      <c r="M730" s="29"/>
      <c r="N730" s="28">
        <f>IF(OR(TableauCB[[#This Row],[Etat]]="",TableauCB[[#This Row],[Etat]]="c"),IF(TableauCB[[#This Row],[Solde]]="","",N729),N729-TableauCB[[#This Row],[Débit]]+TableauCB[[#This Row],[Crédit]])</f>
        <v>8381.4860000000081</v>
      </c>
      <c r="O730" s="27">
        <f>IF(TableauCB[[#This Row],[Etat]]&lt;&gt;"",O729-TableauCB[[#This Row],[Débit]]+TableauCB[[#This Row],[Crédit]],O729-TableauCB[[#This Row],[Débit]])</f>
        <v>8261.489999999998</v>
      </c>
      <c r="P730" s="27">
        <f>IF(AND(ISBLANK(TableauCB[[#This Row],[Débit]]),ISBLANK(TableauCB[[#This Row],[Crédit]])),"",P729+TableauCB[[#This Row],[Crédit]]-TableauCB[[#This Row],[Débit]])</f>
        <v>7415.4860000000072</v>
      </c>
      <c r="Q730" s="26"/>
      <c r="R730" s="25"/>
      <c r="S730" s="25"/>
      <c r="T730" s="24"/>
      <c r="U730" s="24"/>
      <c r="V730" s="9"/>
      <c r="W730" s="2"/>
      <c r="X730" s="9"/>
      <c r="Y730" s="8"/>
      <c r="Z730" s="7"/>
      <c r="AA730" s="7"/>
      <c r="AB730" s="6"/>
    </row>
    <row r="731" spans="2:28" ht="30" hidden="1" customHeight="1">
      <c r="B731" s="35" t="str">
        <f>IF(MONTH(F730)&lt;&gt;MONTH(TableauCB[[#This Row],[Date d''éxigibilité]]),(TableauCB[[#This Row],[Date d''éxigibilité]]),"")</f>
        <v/>
      </c>
      <c r="C731" s="11" t="s">
        <v>33</v>
      </c>
      <c r="D731" s="11" t="s">
        <v>22</v>
      </c>
      <c r="E731" s="11" t="s">
        <v>46</v>
      </c>
      <c r="F731" s="34">
        <v>42511</v>
      </c>
      <c r="G731"/>
      <c r="H731"/>
      <c r="I731" s="32"/>
      <c r="J731"/>
      <c r="K731" s="32"/>
      <c r="L731" s="30">
        <v>57</v>
      </c>
      <c r="M731" s="29"/>
      <c r="N731" s="28">
        <f>IF(OR(TableauCB[[#This Row],[Etat]]="",TableauCB[[#This Row],[Etat]]="c"),IF(TableauCB[[#This Row],[Solde]]="","",N730),N730-TableauCB[[#This Row],[Débit]]+TableauCB[[#This Row],[Crédit]])</f>
        <v>8324.4860000000081</v>
      </c>
      <c r="O731" s="27">
        <f>IF(TableauCB[[#This Row],[Etat]]&lt;&gt;"",O730-TableauCB[[#This Row],[Débit]]+TableauCB[[#This Row],[Crédit]],O730-TableauCB[[#This Row],[Débit]])</f>
        <v>8204.489999999998</v>
      </c>
      <c r="P731" s="27">
        <f>IF(AND(ISBLANK(TableauCB[[#This Row],[Débit]]),ISBLANK(TableauCB[[#This Row],[Crédit]])),"",P730+TableauCB[[#This Row],[Crédit]]-TableauCB[[#This Row],[Débit]])</f>
        <v>7358.4860000000072</v>
      </c>
      <c r="Q731" s="26"/>
      <c r="R731" s="25"/>
      <c r="S731" s="25"/>
      <c r="T731" s="24"/>
      <c r="U731" s="24"/>
      <c r="V731" s="9"/>
      <c r="W731" s="2"/>
      <c r="X731" s="9"/>
      <c r="Y731" s="8"/>
      <c r="Z731" s="7"/>
      <c r="AA731" s="7"/>
      <c r="AB731" s="6"/>
    </row>
    <row r="732" spans="2:28" ht="30" hidden="1" customHeight="1">
      <c r="B732" s="35" t="str">
        <f>IF(MONTH(F731)&lt;&gt;MONTH(TableauCB[[#This Row],[Date d''éxigibilité]]),(TableauCB[[#This Row],[Date d''éxigibilité]]),"")</f>
        <v/>
      </c>
      <c r="C732" s="11" t="s">
        <v>33</v>
      </c>
      <c r="D732" s="11" t="s">
        <v>30</v>
      </c>
      <c r="E732" s="11" t="s">
        <v>41</v>
      </c>
      <c r="F732" s="34">
        <v>42515</v>
      </c>
      <c r="G732"/>
      <c r="H732"/>
      <c r="I732" s="32"/>
      <c r="J732"/>
      <c r="K732" s="32"/>
      <c r="L732" s="30">
        <v>31.51</v>
      </c>
      <c r="M732" s="29"/>
      <c r="N732" s="28">
        <f>IF(OR(TableauCB[[#This Row],[Etat]]="",TableauCB[[#This Row],[Etat]]="c"),IF(TableauCB[[#This Row],[Solde]]="","",N731),N731-TableauCB[[#This Row],[Débit]]+TableauCB[[#This Row],[Crédit]])</f>
        <v>8292.9760000000078</v>
      </c>
      <c r="O732" s="27">
        <f>IF(TableauCB[[#This Row],[Etat]]&lt;&gt;"",O731-TableauCB[[#This Row],[Débit]]+TableauCB[[#This Row],[Crédit]],O731-TableauCB[[#This Row],[Débit]])</f>
        <v>8172.9799999999977</v>
      </c>
      <c r="P732" s="27">
        <f>IF(AND(ISBLANK(TableauCB[[#This Row],[Débit]]),ISBLANK(TableauCB[[#This Row],[Crédit]])),"",P731+TableauCB[[#This Row],[Crédit]]-TableauCB[[#This Row],[Débit]])</f>
        <v>7326.9760000000069</v>
      </c>
      <c r="Q732" s="26"/>
      <c r="R732" s="25"/>
      <c r="S732" s="25"/>
      <c r="T732" s="24"/>
      <c r="U732" s="24"/>
      <c r="V732" s="9"/>
      <c r="W732" s="2"/>
      <c r="X732" s="9"/>
      <c r="Y732" s="8"/>
      <c r="Z732" s="7"/>
      <c r="AA732" s="7"/>
      <c r="AB732" s="6"/>
    </row>
    <row r="733" spans="2:28" ht="30" hidden="1" customHeight="1">
      <c r="B733" s="35" t="str">
        <f>IF(MONTH(F732)&lt;&gt;MONTH(TableauCB[[#This Row],[Date d''éxigibilité]]),(TableauCB[[#This Row],[Date d''éxigibilité]]),"")</f>
        <v/>
      </c>
      <c r="C733" s="11" t="s">
        <v>33</v>
      </c>
      <c r="D733" s="11" t="s">
        <v>30</v>
      </c>
      <c r="E733" s="11" t="s">
        <v>41</v>
      </c>
      <c r="F733" s="34">
        <v>42517</v>
      </c>
      <c r="G733"/>
      <c r="H733"/>
      <c r="I733" s="32"/>
      <c r="J733"/>
      <c r="K733" s="32"/>
      <c r="L733" s="30">
        <v>116.66</v>
      </c>
      <c r="M733" s="29"/>
      <c r="N733" s="28">
        <f>IF(OR(TableauCB[[#This Row],[Etat]]="",TableauCB[[#This Row],[Etat]]="c"),IF(TableauCB[[#This Row],[Solde]]="","",N732),N732-TableauCB[[#This Row],[Débit]]+TableauCB[[#This Row],[Crédit]])</f>
        <v>8176.316000000008</v>
      </c>
      <c r="O733" s="27">
        <f>IF(TableauCB[[#This Row],[Etat]]&lt;&gt;"",O732-TableauCB[[#This Row],[Débit]]+TableauCB[[#This Row],[Crédit]],O732-TableauCB[[#This Row],[Débit]])</f>
        <v>8056.3199999999979</v>
      </c>
      <c r="P733" s="27">
        <f>IF(AND(ISBLANK(TableauCB[[#This Row],[Débit]]),ISBLANK(TableauCB[[#This Row],[Crédit]])),"",P732+TableauCB[[#This Row],[Crédit]]-TableauCB[[#This Row],[Débit]])</f>
        <v>7210.3160000000071</v>
      </c>
      <c r="Q733" s="26"/>
      <c r="R733" s="25"/>
      <c r="S733" s="25"/>
      <c r="T733" s="24"/>
      <c r="U733" s="24"/>
      <c r="V733" s="9"/>
      <c r="W733" s="2"/>
      <c r="X733" s="9"/>
      <c r="Y733" s="8"/>
      <c r="Z733" s="7"/>
      <c r="AA733" s="7"/>
      <c r="AB733" s="6"/>
    </row>
    <row r="734" spans="2:28" ht="30" hidden="1" customHeight="1">
      <c r="B734" s="35" t="str">
        <f>IF(MONTH(F733)&lt;&gt;MONTH(TableauCB[[#This Row],[Date d''éxigibilité]]),(TableauCB[[#This Row],[Date d''éxigibilité]]),"")</f>
        <v/>
      </c>
      <c r="C734" s="11" t="s">
        <v>33</v>
      </c>
      <c r="D734" s="11" t="s">
        <v>22</v>
      </c>
      <c r="E734" s="11" t="s">
        <v>17</v>
      </c>
      <c r="F734" s="34">
        <v>42517</v>
      </c>
      <c r="G734"/>
      <c r="H734"/>
      <c r="I734" s="32"/>
      <c r="J734"/>
      <c r="K734" s="32"/>
      <c r="L734" s="30">
        <v>30.08</v>
      </c>
      <c r="M734" s="29"/>
      <c r="N734" s="28">
        <f>IF(OR(TableauCB[[#This Row],[Etat]]="",TableauCB[[#This Row],[Etat]]="c"),IF(TableauCB[[#This Row],[Solde]]="","",N733),N733-TableauCB[[#This Row],[Débit]]+TableauCB[[#This Row],[Crédit]])</f>
        <v>8146.2360000000081</v>
      </c>
      <c r="O734" s="27">
        <f>IF(TableauCB[[#This Row],[Etat]]&lt;&gt;"",O733-TableauCB[[#This Row],[Débit]]+TableauCB[[#This Row],[Crédit]],O733-TableauCB[[#This Row],[Débit]])</f>
        <v>8026.239999999998</v>
      </c>
      <c r="P734" s="27">
        <f>IF(AND(ISBLANK(TableauCB[[#This Row],[Débit]]),ISBLANK(TableauCB[[#This Row],[Crédit]])),"",P733+TableauCB[[#This Row],[Crédit]]-TableauCB[[#This Row],[Débit]])</f>
        <v>7180.2360000000072</v>
      </c>
      <c r="Q734" s="26"/>
      <c r="R734" s="25"/>
      <c r="S734" s="25"/>
      <c r="T734" s="24"/>
      <c r="U734" s="24"/>
      <c r="V734" s="9"/>
      <c r="W734" s="2"/>
      <c r="X734" s="9"/>
      <c r="Y734" s="8"/>
      <c r="Z734" s="7"/>
      <c r="AA734" s="7"/>
      <c r="AB734" s="6"/>
    </row>
    <row r="735" spans="2:28" ht="30" hidden="1" customHeight="1">
      <c r="B735" s="35" t="str">
        <f>IF(MONTH(F734)&lt;&gt;MONTH(TableauCB[[#This Row],[Date d''éxigibilité]]),(TableauCB[[#This Row],[Date d''éxigibilité]]),"")</f>
        <v/>
      </c>
      <c r="C735" s="11" t="s">
        <v>33</v>
      </c>
      <c r="D735" s="11" t="s">
        <v>11</v>
      </c>
      <c r="E735" s="11" t="s">
        <v>10</v>
      </c>
      <c r="F735" s="34">
        <v>42520</v>
      </c>
      <c r="G735"/>
      <c r="H735"/>
      <c r="I735" s="32">
        <v>42558</v>
      </c>
      <c r="J735"/>
      <c r="K735" s="32">
        <v>42558</v>
      </c>
      <c r="L735" s="30"/>
      <c r="M735" s="29">
        <v>108</v>
      </c>
      <c r="N735" s="28">
        <f>IF(OR(TableauCB[[#This Row],[Etat]]="",TableauCB[[#This Row],[Etat]]="c"),IF(TableauCB[[#This Row],[Solde]]="","",N734),N734-TableauCB[[#This Row],[Débit]]+TableauCB[[#This Row],[Crédit]])</f>
        <v>8254.2360000000081</v>
      </c>
      <c r="O735" s="27">
        <f>IF(TableauCB[[#This Row],[Etat]]&lt;&gt;"",O734-TableauCB[[#This Row],[Débit]]+TableauCB[[#This Row],[Crédit]],O734-TableauCB[[#This Row],[Débit]])</f>
        <v>8134.239999999998</v>
      </c>
      <c r="P735" s="27">
        <f>IF(AND(ISBLANK(TableauCB[[#This Row],[Débit]]),ISBLANK(TableauCB[[#This Row],[Crédit]])),"",P734+TableauCB[[#This Row],[Crédit]]-TableauCB[[#This Row],[Débit]])</f>
        <v>7288.2360000000072</v>
      </c>
      <c r="Q735" s="26"/>
      <c r="R735" s="25"/>
      <c r="S735" s="25"/>
      <c r="T735" s="24"/>
      <c r="U735" s="24"/>
      <c r="V735" s="9"/>
      <c r="W735" s="2"/>
      <c r="X735" s="9"/>
      <c r="Y735" s="8"/>
      <c r="Z735" s="7"/>
      <c r="AA735" s="7"/>
      <c r="AB735" s="6"/>
    </row>
    <row r="736" spans="2:28" ht="30" hidden="1" customHeight="1">
      <c r="B736" s="35" t="str">
        <f>IF(MONTH(F735)&lt;&gt;MONTH(TableauCB[[#This Row],[Date d''éxigibilité]]),(TableauCB[[#This Row],[Date d''éxigibilité]]),"")</f>
        <v/>
      </c>
      <c r="C736" s="11" t="s">
        <v>33</v>
      </c>
      <c r="D736" s="11" t="s">
        <v>11</v>
      </c>
      <c r="E736" s="11" t="s">
        <v>10</v>
      </c>
      <c r="F736" s="34">
        <v>42520</v>
      </c>
      <c r="G736"/>
      <c r="H736"/>
      <c r="I736" s="32">
        <v>42679</v>
      </c>
      <c r="J736"/>
      <c r="K736" s="32"/>
      <c r="L736" s="30"/>
      <c r="M736" s="29">
        <v>198</v>
      </c>
      <c r="N736" s="28">
        <f>IF(OR(TableauCB[[#This Row],[Etat]]="",TableauCB[[#This Row],[Etat]]="c"),IF(TableauCB[[#This Row],[Solde]]="","",N735),N735-TableauCB[[#This Row],[Débit]]+TableauCB[[#This Row],[Crédit]])</f>
        <v>8452.2360000000081</v>
      </c>
      <c r="O736" s="27">
        <f>IF(TableauCB[[#This Row],[Etat]]&lt;&gt;"",O735-TableauCB[[#This Row],[Débit]]+TableauCB[[#This Row],[Crédit]],O735-TableauCB[[#This Row],[Débit]])</f>
        <v>8332.239999999998</v>
      </c>
      <c r="P736" s="27">
        <f>IF(AND(ISBLANK(TableauCB[[#This Row],[Débit]]),ISBLANK(TableauCB[[#This Row],[Crédit]])),"",P735+TableauCB[[#This Row],[Crédit]]-TableauCB[[#This Row],[Débit]])</f>
        <v>7486.2360000000072</v>
      </c>
      <c r="Q736" s="26"/>
      <c r="R736" s="25"/>
      <c r="S736" s="25"/>
      <c r="T736" s="24"/>
      <c r="U736" s="24"/>
      <c r="V736" s="9"/>
      <c r="W736" s="2"/>
      <c r="X736" s="9"/>
      <c r="Y736" s="8"/>
      <c r="Z736" s="7"/>
      <c r="AA736" s="7"/>
      <c r="AB736" s="6"/>
    </row>
    <row r="737" spans="2:28" ht="30" hidden="1" customHeight="1">
      <c r="B737" s="35" t="str">
        <f>IF(MONTH(F736)&lt;&gt;MONTH(TableauCB[[#This Row],[Date d''éxigibilité]]),(TableauCB[[#This Row],[Date d''éxigibilité]]),"")</f>
        <v/>
      </c>
      <c r="C737" s="11" t="s">
        <v>33</v>
      </c>
      <c r="D737" s="11" t="s">
        <v>11</v>
      </c>
      <c r="E737" s="11" t="s">
        <v>10</v>
      </c>
      <c r="F737" s="34">
        <v>42520</v>
      </c>
      <c r="G737"/>
      <c r="H737"/>
      <c r="I737" s="32">
        <v>42608</v>
      </c>
      <c r="J737"/>
      <c r="K737" s="32">
        <v>42614</v>
      </c>
      <c r="L737" s="30"/>
      <c r="M737" s="29">
        <v>151.80000000000001</v>
      </c>
      <c r="N737" s="28">
        <f>IF(OR(TableauCB[[#This Row],[Etat]]="",TableauCB[[#This Row],[Etat]]="c"),IF(TableauCB[[#This Row],[Solde]]="","",N736),N736-TableauCB[[#This Row],[Débit]]+TableauCB[[#This Row],[Crédit]])</f>
        <v>8604.0360000000073</v>
      </c>
      <c r="O737" s="27">
        <f>IF(TableauCB[[#This Row],[Etat]]&lt;&gt;"",O736-TableauCB[[#This Row],[Débit]]+TableauCB[[#This Row],[Crédit]],O736-TableauCB[[#This Row],[Débit]])</f>
        <v>8484.0399999999972</v>
      </c>
      <c r="P737" s="27">
        <f>IF(AND(ISBLANK(TableauCB[[#This Row],[Débit]]),ISBLANK(TableauCB[[#This Row],[Crédit]])),"",P736+TableauCB[[#This Row],[Crédit]]-TableauCB[[#This Row],[Débit]])</f>
        <v>7638.0360000000073</v>
      </c>
      <c r="Q737" s="26"/>
      <c r="R737" s="25"/>
      <c r="S737" s="25"/>
      <c r="T737" s="24"/>
      <c r="U737" s="24"/>
      <c r="V737" s="9"/>
      <c r="W737" s="2"/>
      <c r="X737" s="9"/>
      <c r="Y737" s="8"/>
      <c r="Z737" s="7"/>
      <c r="AA737" s="7"/>
      <c r="AB737" s="6"/>
    </row>
    <row r="738" spans="2:28" ht="30" hidden="1" customHeight="1">
      <c r="B738" s="35" t="str">
        <f>IF(MONTH(F737)&lt;&gt;MONTH(TableauCB[[#This Row],[Date d''éxigibilité]]),(TableauCB[[#This Row],[Date d''éxigibilité]]),"")</f>
        <v/>
      </c>
      <c r="C738" s="11" t="s">
        <v>33</v>
      </c>
      <c r="D738" s="11" t="s">
        <v>11</v>
      </c>
      <c r="E738" s="11" t="s">
        <v>12</v>
      </c>
      <c r="F738" s="34">
        <v>42520</v>
      </c>
      <c r="G738"/>
      <c r="H738"/>
      <c r="I738" s="32">
        <v>42531</v>
      </c>
      <c r="J738"/>
      <c r="K738" s="32">
        <v>42531</v>
      </c>
      <c r="L738" s="30"/>
      <c r="M738" s="29">
        <v>522</v>
      </c>
      <c r="N738" s="28">
        <f>IF(OR(TableauCB[[#This Row],[Etat]]="",TableauCB[[#This Row],[Etat]]="c"),IF(TableauCB[[#This Row],[Solde]]="","",N737),N737-TableauCB[[#This Row],[Débit]]+TableauCB[[#This Row],[Crédit]])</f>
        <v>9126.0360000000073</v>
      </c>
      <c r="O738" s="27">
        <f>IF(TableauCB[[#This Row],[Etat]]&lt;&gt;"",O737-TableauCB[[#This Row],[Débit]]+TableauCB[[#This Row],[Crédit]],O737-TableauCB[[#This Row],[Débit]])</f>
        <v>9006.0399999999972</v>
      </c>
      <c r="P738" s="27">
        <f>IF(AND(ISBLANK(TableauCB[[#This Row],[Débit]]),ISBLANK(TableauCB[[#This Row],[Crédit]])),"",P737+TableauCB[[#This Row],[Crédit]]-TableauCB[[#This Row],[Débit]])</f>
        <v>8160.0360000000073</v>
      </c>
      <c r="Q738" s="26"/>
      <c r="R738" s="25"/>
      <c r="S738" s="25"/>
      <c r="T738" s="24"/>
      <c r="U738" s="24"/>
      <c r="V738" s="9"/>
      <c r="W738" s="2"/>
      <c r="X738" s="9"/>
      <c r="Y738" s="8"/>
      <c r="Z738" s="7"/>
      <c r="AA738" s="7"/>
      <c r="AB738" s="6"/>
    </row>
    <row r="739" spans="2:28" ht="30" hidden="1" customHeight="1">
      <c r="B739" s="35" t="str">
        <f>IF(MONTH(F738)&lt;&gt;MONTH(TableauCB[[#This Row],[Date d''éxigibilité]]),(TableauCB[[#This Row],[Date d''éxigibilité]]),"")</f>
        <v/>
      </c>
      <c r="C739" s="11" t="s">
        <v>33</v>
      </c>
      <c r="D739" s="11" t="s">
        <v>11</v>
      </c>
      <c r="E739" s="11" t="s">
        <v>10</v>
      </c>
      <c r="F739" s="34">
        <v>42520</v>
      </c>
      <c r="G739"/>
      <c r="H739"/>
      <c r="I739" s="32">
        <v>42534</v>
      </c>
      <c r="J739"/>
      <c r="K739" s="32">
        <v>42534</v>
      </c>
      <c r="L739" s="30"/>
      <c r="M739" s="29">
        <v>168.96</v>
      </c>
      <c r="N739" s="28">
        <f>IF(OR(TableauCB[[#This Row],[Etat]]="",TableauCB[[#This Row],[Etat]]="c"),IF(TableauCB[[#This Row],[Solde]]="","",N738),N738-TableauCB[[#This Row],[Débit]]+TableauCB[[#This Row],[Crédit]])</f>
        <v>9294.9960000000065</v>
      </c>
      <c r="O739" s="27">
        <f>IF(TableauCB[[#This Row],[Etat]]&lt;&gt;"",O738-TableauCB[[#This Row],[Débit]]+TableauCB[[#This Row],[Crédit]],O738-TableauCB[[#This Row],[Débit]])</f>
        <v>9174.9999999999964</v>
      </c>
      <c r="P739" s="27">
        <f>IF(AND(ISBLANK(TableauCB[[#This Row],[Débit]]),ISBLANK(TableauCB[[#This Row],[Crédit]])),"",P738+TableauCB[[#This Row],[Crédit]]-TableauCB[[#This Row],[Débit]])</f>
        <v>8328.9960000000065</v>
      </c>
      <c r="Q739" s="26"/>
      <c r="R739" s="25"/>
      <c r="S739" s="25"/>
      <c r="T739" s="24"/>
      <c r="U739" s="24"/>
      <c r="V739" s="9"/>
      <c r="W739" s="2"/>
      <c r="X739" s="9"/>
      <c r="Y739" s="8"/>
      <c r="Z739" s="7"/>
      <c r="AA739" s="7"/>
      <c r="AB739" s="6"/>
    </row>
    <row r="740" spans="2:28" ht="30" hidden="1" customHeight="1">
      <c r="B740" s="35" t="str">
        <f>IF(MONTH(F739)&lt;&gt;MONTH(TableauCB[[#This Row],[Date d''éxigibilité]]),(TableauCB[[#This Row],[Date d''éxigibilité]]),"")</f>
        <v/>
      </c>
      <c r="C740" s="11" t="s">
        <v>33</v>
      </c>
      <c r="D740" s="11" t="s">
        <v>11</v>
      </c>
      <c r="E740" s="11" t="s">
        <v>10</v>
      </c>
      <c r="F740" s="34">
        <v>42520</v>
      </c>
      <c r="G740"/>
      <c r="H740"/>
      <c r="I740" s="32">
        <v>42552</v>
      </c>
      <c r="J740"/>
      <c r="K740" s="32">
        <v>42552</v>
      </c>
      <c r="L740" s="30"/>
      <c r="M740" s="29">
        <v>624</v>
      </c>
      <c r="N740" s="28">
        <f>IF(OR(TableauCB[[#This Row],[Etat]]="",TableauCB[[#This Row],[Etat]]="c"),IF(TableauCB[[#This Row],[Solde]]="","",N739),N739-TableauCB[[#This Row],[Débit]]+TableauCB[[#This Row],[Crédit]])</f>
        <v>9918.9960000000065</v>
      </c>
      <c r="O740" s="27">
        <f>IF(TableauCB[[#This Row],[Etat]]&lt;&gt;"",O739-TableauCB[[#This Row],[Débit]]+TableauCB[[#This Row],[Crédit]],O739-TableauCB[[#This Row],[Débit]])</f>
        <v>9798.9999999999964</v>
      </c>
      <c r="P740" s="27">
        <f>IF(AND(ISBLANK(TableauCB[[#This Row],[Débit]]),ISBLANK(TableauCB[[#This Row],[Crédit]])),"",P739+TableauCB[[#This Row],[Crédit]]-TableauCB[[#This Row],[Débit]])</f>
        <v>8952.9960000000065</v>
      </c>
      <c r="Q740" s="26"/>
      <c r="R740" s="25"/>
      <c r="S740" s="25"/>
      <c r="T740" s="24"/>
      <c r="U740" s="24"/>
      <c r="V740" s="9"/>
      <c r="W740" s="2"/>
      <c r="X740" s="9"/>
      <c r="Y740" s="8"/>
      <c r="Z740" s="7"/>
      <c r="AA740" s="7"/>
      <c r="AB740" s="6"/>
    </row>
    <row r="741" spans="2:28" ht="30" hidden="1" customHeight="1">
      <c r="B741" s="35" t="str">
        <f>IF(MONTH(F740)&lt;&gt;MONTH(TableauCB[[#This Row],[Date d''éxigibilité]]),(TableauCB[[#This Row],[Date d''éxigibilité]]),"")</f>
        <v/>
      </c>
      <c r="C741" s="11" t="s">
        <v>33</v>
      </c>
      <c r="D741" s="11" t="s">
        <v>11</v>
      </c>
      <c r="E741" s="11" t="s">
        <v>12</v>
      </c>
      <c r="F741" s="34">
        <v>42520</v>
      </c>
      <c r="G741"/>
      <c r="H741"/>
      <c r="I741" s="32">
        <v>42524</v>
      </c>
      <c r="J741"/>
      <c r="K741" s="32">
        <v>42524</v>
      </c>
      <c r="L741" s="30"/>
      <c r="M741" s="29">
        <v>115.2</v>
      </c>
      <c r="N741" s="28">
        <f>IF(OR(TableauCB[[#This Row],[Etat]]="",TableauCB[[#This Row],[Etat]]="c"),IF(TableauCB[[#This Row],[Solde]]="","",N740),N740-TableauCB[[#This Row],[Débit]]+TableauCB[[#This Row],[Crédit]])</f>
        <v>10034.196000000007</v>
      </c>
      <c r="O741" s="27">
        <f>IF(TableauCB[[#This Row],[Etat]]&lt;&gt;"",O740-TableauCB[[#This Row],[Débit]]+TableauCB[[#This Row],[Crédit]],O740-TableauCB[[#This Row],[Débit]])</f>
        <v>9914.1999999999971</v>
      </c>
      <c r="P741" s="27">
        <f>IF(AND(ISBLANK(TableauCB[[#This Row],[Débit]]),ISBLANK(TableauCB[[#This Row],[Crédit]])),"",P740+TableauCB[[#This Row],[Crédit]]-TableauCB[[#This Row],[Débit]])</f>
        <v>9068.1960000000072</v>
      </c>
      <c r="Q741" s="26"/>
      <c r="R741" s="25"/>
      <c r="S741" s="25"/>
      <c r="T741" s="24"/>
      <c r="U741" s="24"/>
      <c r="V741" s="9"/>
      <c r="W741" s="2"/>
      <c r="X741" s="9"/>
      <c r="Y741" s="8"/>
      <c r="Z741" s="7"/>
      <c r="AA741" s="7"/>
      <c r="AB741" s="6"/>
    </row>
    <row r="742" spans="2:28" ht="30" hidden="1" customHeight="1">
      <c r="B742" s="35" t="str">
        <f>IF(MONTH(F741)&lt;&gt;MONTH(TableauCB[[#This Row],[Date d''éxigibilité]]),(TableauCB[[#This Row],[Date d''éxigibilité]]),"")</f>
        <v/>
      </c>
      <c r="C742" s="11" t="s">
        <v>33</v>
      </c>
      <c r="D742" s="11" t="s">
        <v>11</v>
      </c>
      <c r="E742" s="11" t="s">
        <v>47</v>
      </c>
      <c r="F742" s="34">
        <v>42520</v>
      </c>
      <c r="G742"/>
      <c r="H742"/>
      <c r="I742" s="32">
        <v>42601</v>
      </c>
      <c r="J742"/>
      <c r="K742" s="32">
        <v>42602</v>
      </c>
      <c r="L742" s="30"/>
      <c r="M742" s="29">
        <v>120</v>
      </c>
      <c r="N742" s="28">
        <f>IF(OR(TableauCB[[#This Row],[Etat]]="",TableauCB[[#This Row],[Etat]]="c"),IF(TableauCB[[#This Row],[Solde]]="","",N741),N741-TableauCB[[#This Row],[Débit]]+TableauCB[[#This Row],[Crédit]])</f>
        <v>10154.196000000007</v>
      </c>
      <c r="O742" s="27">
        <f>IF(TableauCB[[#This Row],[Etat]]&lt;&gt;"",O741-TableauCB[[#This Row],[Débit]]+TableauCB[[#This Row],[Crédit]],O741-TableauCB[[#This Row],[Débit]])</f>
        <v>10034.199999999997</v>
      </c>
      <c r="P742" s="27">
        <f>IF(AND(ISBLANK(TableauCB[[#This Row],[Débit]]),ISBLANK(TableauCB[[#This Row],[Crédit]])),"",P741+TableauCB[[#This Row],[Crédit]]-TableauCB[[#This Row],[Débit]])</f>
        <v>9188.1960000000072</v>
      </c>
      <c r="Q742" s="26"/>
      <c r="T742" s="24"/>
      <c r="U742" s="24"/>
      <c r="V742" s="9"/>
      <c r="W742" s="2"/>
      <c r="X742" s="9"/>
      <c r="Y742" s="8"/>
      <c r="Z742" s="7"/>
      <c r="AA742" s="7"/>
      <c r="AB742" s="6"/>
    </row>
    <row r="743" spans="2:28" ht="30" hidden="1" customHeight="1">
      <c r="B743" s="35" t="str">
        <f>IF(MONTH(F742)&lt;&gt;MONTH(TableauCB[[#This Row],[Date d''éxigibilité]]),(TableauCB[[#This Row],[Date d''éxigibilité]]),"")</f>
        <v/>
      </c>
      <c r="C743" s="11" t="s">
        <v>33</v>
      </c>
      <c r="D743" s="11" t="s">
        <v>11</v>
      </c>
      <c r="E743" s="11" t="s">
        <v>10</v>
      </c>
      <c r="F743" s="34">
        <v>42520</v>
      </c>
      <c r="G743"/>
      <c r="H743"/>
      <c r="I743" s="32">
        <v>42605</v>
      </c>
      <c r="J743"/>
      <c r="K743" s="32">
        <v>42614</v>
      </c>
      <c r="L743" s="30"/>
      <c r="M743" s="29">
        <v>96</v>
      </c>
      <c r="N743" s="28">
        <f>IF(OR(TableauCB[[#This Row],[Etat]]="",TableauCB[[#This Row],[Etat]]="c"),IF(TableauCB[[#This Row],[Solde]]="","",N742),N742-TableauCB[[#This Row],[Débit]]+TableauCB[[#This Row],[Crédit]])</f>
        <v>10250.196000000007</v>
      </c>
      <c r="O743" s="27">
        <f>IF(TableauCB[[#This Row],[Etat]]&lt;&gt;"",O742-TableauCB[[#This Row],[Débit]]+TableauCB[[#This Row],[Crédit]],O742-TableauCB[[#This Row],[Débit]])</f>
        <v>10130.199999999997</v>
      </c>
      <c r="P743" s="27">
        <f>IF(AND(ISBLANK(TableauCB[[#This Row],[Débit]]),ISBLANK(TableauCB[[#This Row],[Crédit]])),"",P742+TableauCB[[#This Row],[Crédit]]-TableauCB[[#This Row],[Débit]])</f>
        <v>9284.1960000000072</v>
      </c>
      <c r="Q743" s="26"/>
      <c r="R743" s="25"/>
      <c r="S743" s="25"/>
      <c r="T743" s="24"/>
      <c r="U743" s="24"/>
      <c r="V743" s="9"/>
      <c r="W743" s="2"/>
      <c r="X743" s="9"/>
      <c r="Y743" s="8"/>
      <c r="Z743" s="7"/>
      <c r="AA743" s="7"/>
      <c r="AB743" s="6"/>
    </row>
    <row r="744" spans="2:28" ht="30" hidden="1" customHeight="1">
      <c r="B744" s="35" t="str">
        <f>IF(MONTH(F743)&lt;&gt;MONTH(TableauCB[[#This Row],[Date d''éxigibilité]]),(TableauCB[[#This Row],[Date d''éxigibilité]]),"")</f>
        <v/>
      </c>
      <c r="C744" s="11" t="s">
        <v>33</v>
      </c>
      <c r="D744" s="11" t="s">
        <v>11</v>
      </c>
      <c r="E744" s="11" t="s">
        <v>10</v>
      </c>
      <c r="F744" s="34">
        <v>42520</v>
      </c>
      <c r="G744"/>
      <c r="H744"/>
      <c r="I744" s="32">
        <v>42525</v>
      </c>
      <c r="J744"/>
      <c r="K744" s="32">
        <v>42525</v>
      </c>
      <c r="L744" s="30"/>
      <c r="M744" s="29">
        <v>510</v>
      </c>
      <c r="N744" s="28">
        <f>IF(OR(TableauCB[[#This Row],[Etat]]="",TableauCB[[#This Row],[Etat]]="c"),IF(TableauCB[[#This Row],[Solde]]="","",N743),N743-TableauCB[[#This Row],[Débit]]+TableauCB[[#This Row],[Crédit]])</f>
        <v>10760.196000000007</v>
      </c>
      <c r="O744" s="27">
        <f>IF(TableauCB[[#This Row],[Etat]]&lt;&gt;"",O743-TableauCB[[#This Row],[Débit]]+TableauCB[[#This Row],[Crédit]],O743-TableauCB[[#This Row],[Débit]])</f>
        <v>10640.199999999997</v>
      </c>
      <c r="P744" s="27">
        <f>IF(AND(ISBLANK(TableauCB[[#This Row],[Débit]]),ISBLANK(TableauCB[[#This Row],[Crédit]])),"",P743+TableauCB[[#This Row],[Crédit]]-TableauCB[[#This Row],[Débit]])</f>
        <v>9794.1960000000072</v>
      </c>
      <c r="Q744" s="26"/>
      <c r="R744" s="25"/>
      <c r="S744" s="25"/>
      <c r="T744" s="24"/>
      <c r="U744" s="24"/>
      <c r="V744" s="9"/>
      <c r="W744" s="2"/>
      <c r="X744" s="9"/>
      <c r="Y744" s="8"/>
      <c r="Z744" s="7"/>
      <c r="AA744" s="7"/>
      <c r="AB744" s="6"/>
    </row>
    <row r="745" spans="2:28" ht="30" hidden="1" customHeight="1">
      <c r="B745" s="35" t="str">
        <f>IF(MONTH(F744)&lt;&gt;MONTH(TableauCB[[#This Row],[Date d''éxigibilité]]),(TableauCB[[#This Row],[Date d''éxigibilité]]),"")</f>
        <v/>
      </c>
      <c r="C745" s="11" t="s">
        <v>33</v>
      </c>
      <c r="D745" s="11" t="s">
        <v>11</v>
      </c>
      <c r="E745" s="11" t="s">
        <v>49</v>
      </c>
      <c r="F745" s="34">
        <v>42520</v>
      </c>
      <c r="G745"/>
      <c r="H745"/>
      <c r="I745" s="32">
        <v>42546</v>
      </c>
      <c r="J745"/>
      <c r="K745" s="32">
        <v>42546</v>
      </c>
      <c r="L745" s="30"/>
      <c r="M745" s="29">
        <v>144</v>
      </c>
      <c r="N745" s="28">
        <f>IF(OR(TableauCB[[#This Row],[Etat]]="",TableauCB[[#This Row],[Etat]]="c"),IF(TableauCB[[#This Row],[Solde]]="","",N744),N744-TableauCB[[#This Row],[Débit]]+TableauCB[[#This Row],[Crédit]])</f>
        <v>10904.196000000007</v>
      </c>
      <c r="O745" s="27">
        <f>IF(TableauCB[[#This Row],[Etat]]&lt;&gt;"",O744-TableauCB[[#This Row],[Débit]]+TableauCB[[#This Row],[Crédit]],O744-TableauCB[[#This Row],[Débit]])</f>
        <v>10784.199999999997</v>
      </c>
      <c r="P745" s="27">
        <f>IF(AND(ISBLANK(TableauCB[[#This Row],[Débit]]),ISBLANK(TableauCB[[#This Row],[Crédit]])),"",P744+TableauCB[[#This Row],[Crédit]]-TableauCB[[#This Row],[Débit]])</f>
        <v>9938.1960000000072</v>
      </c>
      <c r="Q745" s="26"/>
      <c r="R745" s="25"/>
      <c r="S745" s="25"/>
      <c r="T745" s="24"/>
      <c r="U745" s="24"/>
      <c r="V745" s="9"/>
      <c r="W745" s="2"/>
      <c r="X745" s="9"/>
      <c r="Y745" s="8"/>
      <c r="Z745" s="7"/>
      <c r="AA745" s="7"/>
      <c r="AB745" s="6"/>
    </row>
    <row r="746" spans="2:28" ht="30" hidden="1" customHeight="1">
      <c r="B746" s="35" t="str">
        <f>IF(MONTH(F745)&lt;&gt;MONTH(TableauCB[[#This Row],[Date d''éxigibilité]]),(TableauCB[[#This Row],[Date d''éxigibilité]]),"")</f>
        <v/>
      </c>
      <c r="C746" s="11" t="s">
        <v>33</v>
      </c>
      <c r="D746" s="11" t="s">
        <v>32</v>
      </c>
      <c r="E746" s="11" t="s">
        <v>10</v>
      </c>
      <c r="F746" s="34">
        <v>42520</v>
      </c>
      <c r="G746"/>
      <c r="H746"/>
      <c r="I746" s="32">
        <v>42592</v>
      </c>
      <c r="J746"/>
      <c r="K746" s="32">
        <v>42592</v>
      </c>
      <c r="L746" s="30"/>
      <c r="M746" s="29">
        <v>1680</v>
      </c>
      <c r="N746" s="28">
        <f>IF(OR(TableauCB[[#This Row],[Etat]]="",TableauCB[[#This Row],[Etat]]="c"),IF(TableauCB[[#This Row],[Solde]]="","",N745),N745-TableauCB[[#This Row],[Débit]]+TableauCB[[#This Row],[Crédit]])</f>
        <v>12584.196000000007</v>
      </c>
      <c r="O746" s="27">
        <f>IF(TableauCB[[#This Row],[Etat]]&lt;&gt;"",O745-TableauCB[[#This Row],[Débit]]+TableauCB[[#This Row],[Crédit]],O745-TableauCB[[#This Row],[Débit]])</f>
        <v>12464.199999999997</v>
      </c>
      <c r="P746" s="27">
        <f>IF(AND(ISBLANK(TableauCB[[#This Row],[Débit]]),ISBLANK(TableauCB[[#This Row],[Crédit]])),"",P745+TableauCB[[#This Row],[Crédit]]-TableauCB[[#This Row],[Débit]])</f>
        <v>11618.196000000007</v>
      </c>
      <c r="Q746" s="26"/>
      <c r="R746" s="25"/>
      <c r="S746" s="25"/>
      <c r="T746" s="24"/>
      <c r="U746" s="24"/>
      <c r="V746" s="9"/>
      <c r="W746" s="2"/>
      <c r="X746" s="9"/>
      <c r="Y746" s="8"/>
      <c r="Z746" s="7"/>
      <c r="AA746" s="7"/>
      <c r="AB746" s="6"/>
    </row>
    <row r="747" spans="2:28" ht="30" hidden="1" customHeight="1">
      <c r="B747" s="35" t="str">
        <f>IF(MONTH(F746)&lt;&gt;MONTH(TableauCB[[#This Row],[Date d''éxigibilité]]),(TableauCB[[#This Row],[Date d''éxigibilité]]),"")</f>
        <v/>
      </c>
      <c r="C747" s="11" t="s">
        <v>33</v>
      </c>
      <c r="D747" s="11" t="s">
        <v>22</v>
      </c>
      <c r="E747" s="11" t="s">
        <v>43</v>
      </c>
      <c r="F747" s="34">
        <v>42520</v>
      </c>
      <c r="G747"/>
      <c r="H747"/>
      <c r="I747" s="32">
        <v>42534</v>
      </c>
      <c r="J747"/>
      <c r="K747" s="32">
        <v>42534</v>
      </c>
      <c r="L747" s="30">
        <v>240</v>
      </c>
      <c r="M747" s="29"/>
      <c r="N747" s="28">
        <f>IF(OR(TableauCB[[#This Row],[Etat]]="",TableauCB[[#This Row],[Etat]]="c"),IF(TableauCB[[#This Row],[Solde]]="","",N746),N746-TableauCB[[#This Row],[Débit]]+TableauCB[[#This Row],[Crédit]])</f>
        <v>12344.196000000007</v>
      </c>
      <c r="O747" s="27">
        <f>IF(TableauCB[[#This Row],[Etat]]&lt;&gt;"",O746-TableauCB[[#This Row],[Débit]]+TableauCB[[#This Row],[Crédit]],O746-TableauCB[[#This Row],[Débit]])</f>
        <v>12224.199999999997</v>
      </c>
      <c r="P747" s="27">
        <f>IF(AND(ISBLANK(TableauCB[[#This Row],[Débit]]),ISBLANK(TableauCB[[#This Row],[Crédit]])),"",P746+TableauCB[[#This Row],[Crédit]]-TableauCB[[#This Row],[Débit]])</f>
        <v>11378.196000000007</v>
      </c>
      <c r="Q747" s="26"/>
      <c r="R747" s="25"/>
      <c r="S747" s="25"/>
      <c r="T747" s="24"/>
      <c r="U747" s="24"/>
      <c r="V747" s="9"/>
      <c r="W747" s="2"/>
      <c r="X747" s="9"/>
      <c r="Y747" s="8"/>
      <c r="Z747" s="7"/>
      <c r="AA747" s="7"/>
      <c r="AB747" s="6"/>
    </row>
    <row r="748" spans="2:28" ht="30" hidden="1" customHeight="1">
      <c r="B748" s="35" t="str">
        <f>IF(MONTH(F747)&lt;&gt;MONTH(TableauCB[[#This Row],[Date d''éxigibilité]]),(TableauCB[[#This Row],[Date d''éxigibilité]]),"")</f>
        <v/>
      </c>
      <c r="C748" s="11" t="s">
        <v>33</v>
      </c>
      <c r="D748" s="11" t="s">
        <v>5</v>
      </c>
      <c r="E748" s="11" t="s">
        <v>7</v>
      </c>
      <c r="F748" s="34">
        <v>42520</v>
      </c>
      <c r="G748"/>
      <c r="H748"/>
      <c r="I748" s="32"/>
      <c r="J748"/>
      <c r="K748" s="32"/>
      <c r="L748" s="30">
        <v>1150.76</v>
      </c>
      <c r="M748" s="29"/>
      <c r="N748" s="28">
        <f>IF(OR(TableauCB[[#This Row],[Etat]]="",TableauCB[[#This Row],[Etat]]="c"),IF(TableauCB[[#This Row],[Solde]]="","",N747),N747-TableauCB[[#This Row],[Débit]]+TableauCB[[#This Row],[Crédit]])</f>
        <v>11193.436000000007</v>
      </c>
      <c r="O748" s="27">
        <f>IF(TableauCB[[#This Row],[Etat]]&lt;&gt;"",O747-TableauCB[[#This Row],[Débit]]+TableauCB[[#This Row],[Crédit]],O747-TableauCB[[#This Row],[Débit]])</f>
        <v>11073.439999999997</v>
      </c>
      <c r="P748" s="27">
        <f>IF(AND(ISBLANK(TableauCB[[#This Row],[Débit]]),ISBLANK(TableauCB[[#This Row],[Crédit]])),"",P747+TableauCB[[#This Row],[Crédit]]-TableauCB[[#This Row],[Débit]])</f>
        <v>10227.436000000007</v>
      </c>
      <c r="Q748" s="26"/>
      <c r="R748" s="36"/>
      <c r="S748" s="36"/>
      <c r="T748" s="24"/>
      <c r="U748" s="24"/>
      <c r="V748" s="9"/>
      <c r="W748" s="2"/>
      <c r="X748" s="9"/>
      <c r="Y748" s="8"/>
      <c r="Z748" s="7"/>
      <c r="AA748" s="7"/>
      <c r="AB748" s="6"/>
    </row>
    <row r="749" spans="2:28" ht="30" hidden="1" customHeight="1">
      <c r="B749" s="35" t="str">
        <f>IF(MONTH(F748)&lt;&gt;MONTH(TableauCB[[#This Row],[Date d''éxigibilité]]),(TableauCB[[#This Row],[Date d''éxigibilité]]),"")</f>
        <v/>
      </c>
      <c r="C749" s="11" t="s">
        <v>33</v>
      </c>
      <c r="D749" s="11" t="s">
        <v>5</v>
      </c>
      <c r="E749" s="11" t="s">
        <v>6</v>
      </c>
      <c r="F749" s="34">
        <v>42520</v>
      </c>
      <c r="G749"/>
      <c r="H749"/>
      <c r="I749" s="32">
        <v>42593</v>
      </c>
      <c r="J749"/>
      <c r="K749" s="32">
        <v>42597</v>
      </c>
      <c r="L749" s="30">
        <v>163.61000000000001</v>
      </c>
      <c r="M749" s="29"/>
      <c r="N749" s="28">
        <f>IF(OR(TableauCB[[#This Row],[Etat]]="",TableauCB[[#This Row],[Etat]]="c"),IF(TableauCB[[#This Row],[Solde]]="","",N748),N748-TableauCB[[#This Row],[Débit]]+TableauCB[[#This Row],[Crédit]])</f>
        <v>11029.826000000006</v>
      </c>
      <c r="O749" s="27">
        <f>IF(TableauCB[[#This Row],[Etat]]&lt;&gt;"",O748-TableauCB[[#This Row],[Débit]]+TableauCB[[#This Row],[Crédit]],O748-TableauCB[[#This Row],[Débit]])</f>
        <v>10909.829999999996</v>
      </c>
      <c r="P749" s="27">
        <f>IF(AND(ISBLANK(TableauCB[[#This Row],[Débit]]),ISBLANK(TableauCB[[#This Row],[Crédit]])),"",P748+TableauCB[[#This Row],[Crédit]]-TableauCB[[#This Row],[Débit]])</f>
        <v>10063.826000000006</v>
      </c>
      <c r="Q749" s="26"/>
      <c r="R749" s="25">
        <v>1236.78</v>
      </c>
      <c r="S749" s="25"/>
      <c r="T749" s="24"/>
      <c r="U749" s="24"/>
      <c r="V749" s="9"/>
      <c r="W749" s="2"/>
      <c r="X749" s="9"/>
      <c r="Y749" s="8"/>
      <c r="Z749" s="7"/>
      <c r="AA749" s="7"/>
      <c r="AB749" s="6"/>
    </row>
    <row r="750" spans="2:28" ht="30" hidden="1" customHeight="1">
      <c r="B750" s="35">
        <f>IF(MONTH(F749)&lt;&gt;MONTH(TableauCB[[#This Row],[Date d''éxigibilité]]),(TableauCB[[#This Row],[Date d''éxigibilité]]),"")</f>
        <v>42525</v>
      </c>
      <c r="C750" s="11" t="s">
        <v>33</v>
      </c>
      <c r="D750" s="11" t="s">
        <v>45</v>
      </c>
      <c r="E750" s="11" t="s">
        <v>47</v>
      </c>
      <c r="F750" s="34">
        <v>42525</v>
      </c>
      <c r="G750"/>
      <c r="H750"/>
      <c r="I750" s="32"/>
      <c r="J750"/>
      <c r="K750" s="32"/>
      <c r="L750" s="30">
        <v>400</v>
      </c>
      <c r="M750" s="29"/>
      <c r="N750" s="28">
        <f>IF(OR(TableauCB[[#This Row],[Etat]]="",TableauCB[[#This Row],[Etat]]="c"),IF(TableauCB[[#This Row],[Solde]]="","",N749),N749-TableauCB[[#This Row],[Débit]]+TableauCB[[#This Row],[Crédit]])</f>
        <v>10629.826000000006</v>
      </c>
      <c r="O750" s="27">
        <f>IF(TableauCB[[#This Row],[Etat]]&lt;&gt;"",O749-TableauCB[[#This Row],[Débit]]+TableauCB[[#This Row],[Crédit]],O749-TableauCB[[#This Row],[Débit]])</f>
        <v>10509.829999999996</v>
      </c>
      <c r="P750" s="27">
        <f>IF(AND(ISBLANK(TableauCB[[#This Row],[Débit]]),ISBLANK(TableauCB[[#This Row],[Crédit]])),"",P749+TableauCB[[#This Row],[Crédit]]-TableauCB[[#This Row],[Débit]])</f>
        <v>9663.8260000000064</v>
      </c>
      <c r="Q750" s="26"/>
      <c r="R750" s="25"/>
      <c r="S750" s="25"/>
      <c r="T750" s="24"/>
      <c r="U750" s="24"/>
      <c r="V750" s="9"/>
      <c r="W750" s="2"/>
      <c r="X750" s="9"/>
      <c r="Y750" s="8"/>
      <c r="Z750" s="7"/>
      <c r="AA750" s="7"/>
      <c r="AB750" s="6"/>
    </row>
    <row r="751" spans="2:28" ht="30" hidden="1" customHeight="1">
      <c r="B751" s="35" t="str">
        <f>IF(MONTH(F750)&lt;&gt;MONTH(TableauCB[[#This Row],[Date d''éxigibilité]]),(TableauCB[[#This Row],[Date d''éxigibilité]]),"")</f>
        <v/>
      </c>
      <c r="C751" s="11" t="s">
        <v>33</v>
      </c>
      <c r="D751" s="11" t="s">
        <v>22</v>
      </c>
      <c r="E751" s="11" t="s">
        <v>21</v>
      </c>
      <c r="F751" s="34">
        <v>42530</v>
      </c>
      <c r="G751"/>
      <c r="H751"/>
      <c r="I751" s="32"/>
      <c r="J751"/>
      <c r="K751" s="32"/>
      <c r="L751" s="30">
        <v>22.2</v>
      </c>
      <c r="M751" s="29"/>
      <c r="N751" s="28">
        <f>IF(OR(TableauCB[[#This Row],[Etat]]="",TableauCB[[#This Row],[Etat]]="c"),IF(TableauCB[[#This Row],[Solde]]="","",N750),N750-TableauCB[[#This Row],[Débit]]+TableauCB[[#This Row],[Crédit]])</f>
        <v>10607.626000000006</v>
      </c>
      <c r="O751" s="27">
        <f>IF(TableauCB[[#This Row],[Etat]]&lt;&gt;"",O750-TableauCB[[#This Row],[Débit]]+TableauCB[[#This Row],[Crédit]],O750-TableauCB[[#This Row],[Débit]])</f>
        <v>10487.629999999996</v>
      </c>
      <c r="P751" s="27">
        <f>IF(AND(ISBLANK(TableauCB[[#This Row],[Débit]]),ISBLANK(TableauCB[[#This Row],[Crédit]])),"",P750+TableauCB[[#This Row],[Crédit]]-TableauCB[[#This Row],[Débit]])</f>
        <v>9641.6260000000057</v>
      </c>
      <c r="Q751" s="26"/>
      <c r="R751" s="25"/>
      <c r="S751" s="25"/>
      <c r="T751" s="24"/>
      <c r="U751" s="24"/>
      <c r="V751" s="9"/>
      <c r="W751" s="2"/>
      <c r="X751" s="9"/>
      <c r="Y751" s="8"/>
      <c r="Z751" s="7"/>
      <c r="AA751" s="7"/>
      <c r="AB751" s="6"/>
    </row>
    <row r="752" spans="2:28" ht="30" hidden="1" customHeight="1">
      <c r="B752" s="35" t="str">
        <f>IF(MONTH(F751)&lt;&gt;MONTH(TableauCB[[#This Row],[Date d''éxigibilité]]),(TableauCB[[#This Row],[Date d''éxigibilité]]),"")</f>
        <v/>
      </c>
      <c r="C752" s="11" t="s">
        <v>33</v>
      </c>
      <c r="D752" s="11" t="s">
        <v>32</v>
      </c>
      <c r="E752" s="11" t="s">
        <v>10</v>
      </c>
      <c r="F752" s="34">
        <v>42534</v>
      </c>
      <c r="G752"/>
      <c r="H752"/>
      <c r="I752" s="32">
        <v>42592</v>
      </c>
      <c r="J752"/>
      <c r="K752" s="32">
        <v>42592</v>
      </c>
      <c r="L752" s="30"/>
      <c r="M752" s="29">
        <v>840</v>
      </c>
      <c r="N752" s="28">
        <f>IF(OR(TableauCB[[#This Row],[Etat]]="",TableauCB[[#This Row],[Etat]]="c"),IF(TableauCB[[#This Row],[Solde]]="","",N751),N751-TableauCB[[#This Row],[Débit]]+TableauCB[[#This Row],[Crédit]])</f>
        <v>11447.626000000006</v>
      </c>
      <c r="O752" s="27">
        <f>IF(TableauCB[[#This Row],[Etat]]&lt;&gt;"",O751-TableauCB[[#This Row],[Débit]]+TableauCB[[#This Row],[Crédit]],O751-TableauCB[[#This Row],[Débit]])</f>
        <v>11327.629999999996</v>
      </c>
      <c r="P752" s="27">
        <f>IF(AND(ISBLANK(TableauCB[[#This Row],[Débit]]),ISBLANK(TableauCB[[#This Row],[Crédit]])),"",P751+TableauCB[[#This Row],[Crédit]]-TableauCB[[#This Row],[Débit]])</f>
        <v>10481.626000000006</v>
      </c>
      <c r="Q752" s="26"/>
      <c r="R752" s="25"/>
      <c r="S752" s="25"/>
      <c r="T752" s="24"/>
      <c r="U752" s="24"/>
      <c r="V752" s="9"/>
      <c r="W752" s="2"/>
      <c r="X752" s="9"/>
      <c r="Y752" s="8"/>
      <c r="Z752" s="7"/>
      <c r="AA752" s="7"/>
      <c r="AB752" s="6"/>
    </row>
    <row r="753" spans="2:28" ht="30" hidden="1" customHeight="1">
      <c r="B753" s="35" t="str">
        <f>IF(MONTH(F752)&lt;&gt;MONTH(TableauCB[[#This Row],[Date d''éxigibilité]]),(TableauCB[[#This Row],[Date d''éxigibilité]]),"")</f>
        <v/>
      </c>
      <c r="C753" s="11" t="s">
        <v>33</v>
      </c>
      <c r="D753" s="11" t="s">
        <v>15</v>
      </c>
      <c r="E753" s="11" t="s">
        <v>19</v>
      </c>
      <c r="F753" s="34">
        <v>42536</v>
      </c>
      <c r="G753"/>
      <c r="H753"/>
      <c r="I753" s="32"/>
      <c r="J753"/>
      <c r="K753" s="32"/>
      <c r="L753" s="30">
        <v>39</v>
      </c>
      <c r="M753" s="29"/>
      <c r="N753" s="28">
        <f>IF(OR(TableauCB[[#This Row],[Etat]]="",TableauCB[[#This Row],[Etat]]="c"),IF(TableauCB[[#This Row],[Solde]]="","",N752),N752-TableauCB[[#This Row],[Débit]]+TableauCB[[#This Row],[Crédit]])</f>
        <v>11408.626000000006</v>
      </c>
      <c r="O753" s="27">
        <f>IF(TableauCB[[#This Row],[Etat]]&lt;&gt;"",O752-TableauCB[[#This Row],[Débit]]+TableauCB[[#This Row],[Crédit]],O752-TableauCB[[#This Row],[Débit]])</f>
        <v>11288.629999999996</v>
      </c>
      <c r="P753" s="27">
        <f>IF(AND(ISBLANK(TableauCB[[#This Row],[Débit]]),ISBLANK(TableauCB[[#This Row],[Crédit]])),"",P752+TableauCB[[#This Row],[Crédit]]-TableauCB[[#This Row],[Débit]])</f>
        <v>10442.626000000006</v>
      </c>
      <c r="Q753" s="26"/>
      <c r="R753" s="25"/>
      <c r="S753" s="25"/>
      <c r="T753" s="24"/>
      <c r="U753" s="24"/>
      <c r="V753" s="9"/>
      <c r="W753" s="2"/>
      <c r="X753" s="9"/>
      <c r="Y753" s="8"/>
      <c r="Z753" s="7"/>
      <c r="AA753" s="7"/>
      <c r="AB753" s="6"/>
    </row>
    <row r="754" spans="2:28" ht="30" hidden="1" customHeight="1">
      <c r="B754" s="35" t="str">
        <f>IF(MONTH(F753)&lt;&gt;MONTH(TableauCB[[#This Row],[Date d''éxigibilité]]),(TableauCB[[#This Row],[Date d''éxigibilité]]),"")</f>
        <v/>
      </c>
      <c r="C754" s="11" t="s">
        <v>33</v>
      </c>
      <c r="D754" s="11" t="s">
        <v>22</v>
      </c>
      <c r="E754" s="11" t="s">
        <v>17</v>
      </c>
      <c r="F754" s="34">
        <v>42536</v>
      </c>
      <c r="G754"/>
      <c r="H754"/>
      <c r="I754" s="32"/>
      <c r="J754"/>
      <c r="K754" s="32"/>
      <c r="L754" s="30">
        <v>45.6</v>
      </c>
      <c r="M754" s="29"/>
      <c r="N754" s="28">
        <f>IF(OR(TableauCB[[#This Row],[Etat]]="",TableauCB[[#This Row],[Etat]]="c"),IF(TableauCB[[#This Row],[Solde]]="","",N753),N753-TableauCB[[#This Row],[Débit]]+TableauCB[[#This Row],[Crédit]])</f>
        <v>11363.026000000005</v>
      </c>
      <c r="O754" s="27">
        <f>IF(TableauCB[[#This Row],[Etat]]&lt;&gt;"",O753-TableauCB[[#This Row],[Débit]]+TableauCB[[#This Row],[Crédit]],O753-TableauCB[[#This Row],[Débit]])</f>
        <v>11243.029999999995</v>
      </c>
      <c r="P754" s="27">
        <f>IF(AND(ISBLANK(TableauCB[[#This Row],[Débit]]),ISBLANK(TableauCB[[#This Row],[Crédit]])),"",P753+TableauCB[[#This Row],[Crédit]]-TableauCB[[#This Row],[Débit]])</f>
        <v>10397.026000000005</v>
      </c>
      <c r="Q754" s="26"/>
      <c r="S754" s="41"/>
      <c r="T754" s="24"/>
      <c r="U754" s="24"/>
      <c r="V754" s="9"/>
      <c r="W754" s="2"/>
      <c r="X754" s="9"/>
      <c r="Y754" s="8"/>
      <c r="Z754" s="7"/>
      <c r="AA754" s="7"/>
      <c r="AB754" s="6"/>
    </row>
    <row r="755" spans="2:28" ht="30" hidden="1" customHeight="1">
      <c r="B755" s="35" t="str">
        <f>IF(MONTH(F754)&lt;&gt;MONTH(TableauCB[[#This Row],[Date d''éxigibilité]]),(TableauCB[[#This Row],[Date d''éxigibilité]]),"")</f>
        <v/>
      </c>
      <c r="C755" s="11" t="s">
        <v>33</v>
      </c>
      <c r="D755" s="11" t="s">
        <v>22</v>
      </c>
      <c r="E755" s="11" t="s">
        <v>17</v>
      </c>
      <c r="F755" s="34">
        <v>42541</v>
      </c>
      <c r="G755"/>
      <c r="H755"/>
      <c r="I755" s="32"/>
      <c r="J755"/>
      <c r="K755" s="32"/>
      <c r="L755" s="30">
        <v>3.59</v>
      </c>
      <c r="M755" s="29"/>
      <c r="N755" s="28">
        <f>IF(OR(TableauCB[[#This Row],[Etat]]="",TableauCB[[#This Row],[Etat]]="c"),IF(TableauCB[[#This Row],[Solde]]="","",N754),N754-TableauCB[[#This Row],[Débit]]+TableauCB[[#This Row],[Crédit]])</f>
        <v>11359.436000000005</v>
      </c>
      <c r="O755" s="27">
        <f>IF(TableauCB[[#This Row],[Etat]]&lt;&gt;"",O754-TableauCB[[#This Row],[Débit]]+TableauCB[[#This Row],[Crédit]],O754-TableauCB[[#This Row],[Débit]])</f>
        <v>11239.439999999995</v>
      </c>
      <c r="P755" s="27">
        <f>IF(AND(ISBLANK(TableauCB[[#This Row],[Débit]]),ISBLANK(TableauCB[[#This Row],[Crédit]])),"",P754+TableauCB[[#This Row],[Crédit]]-TableauCB[[#This Row],[Débit]])</f>
        <v>10393.436000000005</v>
      </c>
      <c r="Q755" s="26"/>
      <c r="T755" s="24"/>
      <c r="U755" s="24"/>
      <c r="V755" s="9"/>
      <c r="W755" s="2"/>
      <c r="X755" s="9"/>
      <c r="Y755" s="8"/>
      <c r="Z755" s="7"/>
      <c r="AA755" s="7"/>
      <c r="AB755" s="6"/>
    </row>
    <row r="756" spans="2:28" ht="30" hidden="1" customHeight="1">
      <c r="B756" s="35" t="str">
        <f>IF(MONTH(F755)&lt;&gt;MONTH(TableauCB[[#This Row],[Date d''éxigibilité]]),(TableauCB[[#This Row],[Date d''éxigibilité]]),"")</f>
        <v/>
      </c>
      <c r="C756" s="11" t="s">
        <v>33</v>
      </c>
      <c r="D756" s="11" t="s">
        <v>22</v>
      </c>
      <c r="E756" s="11" t="s">
        <v>17</v>
      </c>
      <c r="F756" s="34">
        <v>42549</v>
      </c>
      <c r="G756"/>
      <c r="H756"/>
      <c r="I756" s="32"/>
      <c r="J756"/>
      <c r="K756" s="32"/>
      <c r="L756" s="30">
        <v>46.66</v>
      </c>
      <c r="M756" s="29"/>
      <c r="N756" s="28">
        <f>IF(OR(TableauCB[[#This Row],[Etat]]="",TableauCB[[#This Row],[Etat]]="c"),IF(TableauCB[[#This Row],[Solde]]="","",N755),N755-TableauCB[[#This Row],[Débit]]+TableauCB[[#This Row],[Crédit]])</f>
        <v>11312.776000000005</v>
      </c>
      <c r="O756" s="27">
        <f>IF(TableauCB[[#This Row],[Etat]]&lt;&gt;"",O755-TableauCB[[#This Row],[Débit]]+TableauCB[[#This Row],[Crédit]],O755-TableauCB[[#This Row],[Débit]])</f>
        <v>11192.779999999995</v>
      </c>
      <c r="P756" s="27">
        <f>IF(AND(ISBLANK(TableauCB[[#This Row],[Débit]]),ISBLANK(TableauCB[[#This Row],[Crédit]])),"",P755+TableauCB[[#This Row],[Crédit]]-TableauCB[[#This Row],[Débit]])</f>
        <v>10346.776000000005</v>
      </c>
      <c r="Q756" s="26"/>
      <c r="T756" s="24"/>
      <c r="U756" s="24"/>
      <c r="V756" s="9"/>
      <c r="W756" s="2"/>
      <c r="X756" s="9"/>
      <c r="Y756" s="8"/>
      <c r="Z756" s="7"/>
      <c r="AA756" s="7"/>
      <c r="AB756" s="6"/>
    </row>
    <row r="757" spans="2:28" ht="30" hidden="1" customHeight="1">
      <c r="B757" s="35" t="str">
        <f>IF(MONTH(F756)&lt;&gt;MONTH(TableauCB[[#This Row],[Date d''éxigibilité]]),(TableauCB[[#This Row],[Date d''éxigibilité]]),"")</f>
        <v/>
      </c>
      <c r="C757" s="11" t="s">
        <v>33</v>
      </c>
      <c r="D757" s="11" t="s">
        <v>11</v>
      </c>
      <c r="E757" s="11" t="s">
        <v>10</v>
      </c>
      <c r="F757" s="34">
        <v>42551</v>
      </c>
      <c r="G757"/>
      <c r="H757"/>
      <c r="I757" s="32">
        <v>42583</v>
      </c>
      <c r="J757"/>
      <c r="K757" s="32">
        <v>42593</v>
      </c>
      <c r="L757" s="30"/>
      <c r="M757" s="29">
        <v>108</v>
      </c>
      <c r="N757" s="28">
        <f>IF(OR(TableauCB[[#This Row],[Etat]]="",TableauCB[[#This Row],[Etat]]="c"),IF(TableauCB[[#This Row],[Solde]]="","",N756),N756-TableauCB[[#This Row],[Débit]]+TableauCB[[#This Row],[Crédit]])</f>
        <v>11420.776000000005</v>
      </c>
      <c r="O757" s="27">
        <f>IF(TableauCB[[#This Row],[Etat]]&lt;&gt;"",O756-TableauCB[[#This Row],[Débit]]+TableauCB[[#This Row],[Crédit]],O756-TableauCB[[#This Row],[Débit]])</f>
        <v>11300.779999999995</v>
      </c>
      <c r="P757" s="27">
        <f>IF(AND(ISBLANK(TableauCB[[#This Row],[Débit]]),ISBLANK(TableauCB[[#This Row],[Crédit]])),"",P756+TableauCB[[#This Row],[Crédit]]-TableauCB[[#This Row],[Débit]])</f>
        <v>10454.776000000005</v>
      </c>
      <c r="Q757" s="26"/>
      <c r="T757" s="24"/>
      <c r="U757" s="24"/>
      <c r="V757" s="9"/>
      <c r="W757" s="2"/>
      <c r="X757" s="9"/>
      <c r="Y757" s="8"/>
      <c r="Z757" s="7"/>
      <c r="AA757" s="7"/>
      <c r="AB757" s="6"/>
    </row>
    <row r="758" spans="2:28" ht="30" hidden="1" customHeight="1">
      <c r="B758" s="35" t="str">
        <f>IF(MONTH(F757)&lt;&gt;MONTH(TableauCB[[#This Row],[Date d''éxigibilité]]),(TableauCB[[#This Row],[Date d''éxigibilité]]),"")</f>
        <v/>
      </c>
      <c r="C758" s="11" t="s">
        <v>33</v>
      </c>
      <c r="D758" s="11" t="s">
        <v>11</v>
      </c>
      <c r="E758" s="11" t="s">
        <v>10</v>
      </c>
      <c r="F758" s="34">
        <v>42551</v>
      </c>
      <c r="G758"/>
      <c r="H758"/>
      <c r="I758" s="32">
        <v>42679</v>
      </c>
      <c r="J758"/>
      <c r="K758" s="32"/>
      <c r="L758" s="30"/>
      <c r="M758" s="29">
        <v>198</v>
      </c>
      <c r="N758" s="28">
        <f>IF(OR(TableauCB[[#This Row],[Etat]]="",TableauCB[[#This Row],[Etat]]="c"),IF(TableauCB[[#This Row],[Solde]]="","",N757),N757-TableauCB[[#This Row],[Débit]]+TableauCB[[#This Row],[Crédit]])</f>
        <v>11618.776000000005</v>
      </c>
      <c r="O758" s="27">
        <f>IF(TableauCB[[#This Row],[Etat]]&lt;&gt;"",O757-TableauCB[[#This Row],[Débit]]+TableauCB[[#This Row],[Crédit]],O757-TableauCB[[#This Row],[Débit]])</f>
        <v>11498.779999999995</v>
      </c>
      <c r="P758" s="27">
        <f>IF(AND(ISBLANK(TableauCB[[#This Row],[Débit]]),ISBLANK(TableauCB[[#This Row],[Crédit]])),"",P757+TableauCB[[#This Row],[Crédit]]-TableauCB[[#This Row],[Débit]])</f>
        <v>10652.776000000005</v>
      </c>
      <c r="Q758" s="26"/>
      <c r="T758" s="24"/>
      <c r="U758" s="24"/>
      <c r="V758" s="9"/>
      <c r="W758" s="2"/>
      <c r="X758" s="9"/>
      <c r="Y758" s="8"/>
      <c r="Z758" s="7"/>
      <c r="AA758" s="7"/>
      <c r="AB758" s="6"/>
    </row>
    <row r="759" spans="2:28" ht="30" hidden="1" customHeight="1">
      <c r="B759" s="35" t="str">
        <f>IF(MONTH(F758)&lt;&gt;MONTH(TableauCB[[#This Row],[Date d''éxigibilité]]),(TableauCB[[#This Row],[Date d''éxigibilité]]),"")</f>
        <v/>
      </c>
      <c r="C759" s="11" t="s">
        <v>33</v>
      </c>
      <c r="D759" s="11" t="s">
        <v>11</v>
      </c>
      <c r="E759" s="11" t="s">
        <v>10</v>
      </c>
      <c r="F759" s="34">
        <v>42551</v>
      </c>
      <c r="G759"/>
      <c r="H759"/>
      <c r="I759" s="32">
        <v>42627</v>
      </c>
      <c r="J759"/>
      <c r="K759" s="32"/>
      <c r="L759" s="30"/>
      <c r="M759" s="29">
        <v>151.80000000000001</v>
      </c>
      <c r="N759" s="28">
        <f>IF(OR(TableauCB[[#This Row],[Etat]]="",TableauCB[[#This Row],[Etat]]="c"),IF(TableauCB[[#This Row],[Solde]]="","",N758),N758-TableauCB[[#This Row],[Débit]]+TableauCB[[#This Row],[Crédit]])</f>
        <v>11770.576000000005</v>
      </c>
      <c r="O759" s="27">
        <f>IF(TableauCB[[#This Row],[Etat]]&lt;&gt;"",O758-TableauCB[[#This Row],[Débit]]+TableauCB[[#This Row],[Crédit]],O758-TableauCB[[#This Row],[Débit]])</f>
        <v>11650.579999999994</v>
      </c>
      <c r="P759" s="27">
        <f>IF(AND(ISBLANK(TableauCB[[#This Row],[Débit]]),ISBLANK(TableauCB[[#This Row],[Crédit]])),"",P758+TableauCB[[#This Row],[Crédit]]-TableauCB[[#This Row],[Débit]])</f>
        <v>10804.576000000005</v>
      </c>
      <c r="Q759" s="26"/>
      <c r="R759" s="25"/>
      <c r="S759" s="25"/>
      <c r="T759" s="24"/>
      <c r="U759" s="24"/>
      <c r="V759" s="9"/>
      <c r="W759" s="2"/>
      <c r="X759" s="9"/>
      <c r="Y759" s="8"/>
      <c r="Z759" s="7"/>
      <c r="AA759" s="7"/>
      <c r="AB759" s="6"/>
    </row>
    <row r="760" spans="2:28" ht="30" hidden="1" customHeight="1">
      <c r="B760" s="35" t="str">
        <f>IF(MONTH(F759)&lt;&gt;MONTH(TableauCB[[#This Row],[Date d''éxigibilité]]),(TableauCB[[#This Row],[Date d''éxigibilité]]),"")</f>
        <v/>
      </c>
      <c r="C760" s="11" t="s">
        <v>33</v>
      </c>
      <c r="D760" s="11" t="s">
        <v>11</v>
      </c>
      <c r="E760" s="11" t="s">
        <v>12</v>
      </c>
      <c r="F760" s="34">
        <v>42551</v>
      </c>
      <c r="G760"/>
      <c r="H760"/>
      <c r="I760" s="32">
        <v>42570</v>
      </c>
      <c r="J760"/>
      <c r="K760" s="32">
        <v>42570</v>
      </c>
      <c r="L760" s="30"/>
      <c r="M760" s="29">
        <v>522</v>
      </c>
      <c r="N760" s="28">
        <f>IF(OR(TableauCB[[#This Row],[Etat]]="",TableauCB[[#This Row],[Etat]]="c"),IF(TableauCB[[#This Row],[Solde]]="","",N759),N759-TableauCB[[#This Row],[Débit]]+TableauCB[[#This Row],[Crédit]])</f>
        <v>12292.576000000005</v>
      </c>
      <c r="O760" s="27">
        <f>IF(TableauCB[[#This Row],[Etat]]&lt;&gt;"",O759-TableauCB[[#This Row],[Débit]]+TableauCB[[#This Row],[Crédit]],O759-TableauCB[[#This Row],[Débit]])</f>
        <v>12172.579999999994</v>
      </c>
      <c r="P760" s="27">
        <f>IF(AND(ISBLANK(TableauCB[[#This Row],[Débit]]),ISBLANK(TableauCB[[#This Row],[Crédit]])),"",P759+TableauCB[[#This Row],[Crédit]]-TableauCB[[#This Row],[Débit]])</f>
        <v>11326.576000000005</v>
      </c>
      <c r="Q760" s="26"/>
      <c r="R760" s="25"/>
      <c r="S760" s="25"/>
      <c r="T760" s="24"/>
      <c r="U760" s="24"/>
      <c r="V760" s="9"/>
      <c r="W760" s="2"/>
      <c r="X760" s="9"/>
      <c r="Y760" s="8"/>
      <c r="Z760" s="7"/>
      <c r="AA760" s="7"/>
      <c r="AB760" s="6"/>
    </row>
    <row r="761" spans="2:28" ht="30" hidden="1" customHeight="1">
      <c r="B761" s="35" t="str">
        <f>IF(MONTH(F760)&lt;&gt;MONTH(TableauCB[[#This Row],[Date d''éxigibilité]]),(TableauCB[[#This Row],[Date d''éxigibilité]]),"")</f>
        <v/>
      </c>
      <c r="C761" s="11" t="s">
        <v>33</v>
      </c>
      <c r="D761" s="11" t="s">
        <v>11</v>
      </c>
      <c r="E761" s="11" t="s">
        <v>10</v>
      </c>
      <c r="F761" s="34">
        <v>42551</v>
      </c>
      <c r="G761"/>
      <c r="H761"/>
      <c r="I761" s="32">
        <v>42565</v>
      </c>
      <c r="J761"/>
      <c r="K761" s="32">
        <v>42565</v>
      </c>
      <c r="L761" s="30"/>
      <c r="M761" s="29">
        <v>192</v>
      </c>
      <c r="N761" s="28">
        <f>IF(OR(TableauCB[[#This Row],[Etat]]="",TableauCB[[#This Row],[Etat]]="c"),IF(TableauCB[[#This Row],[Solde]]="","",N760),N760-TableauCB[[#This Row],[Débit]]+TableauCB[[#This Row],[Crédit]])</f>
        <v>12484.576000000005</v>
      </c>
      <c r="O761" s="27">
        <f>IF(TableauCB[[#This Row],[Etat]]&lt;&gt;"",O760-TableauCB[[#This Row],[Débit]]+TableauCB[[#This Row],[Crédit]],O760-TableauCB[[#This Row],[Débit]])</f>
        <v>12364.579999999994</v>
      </c>
      <c r="P761" s="27">
        <f>IF(AND(ISBLANK(TableauCB[[#This Row],[Débit]]),ISBLANK(TableauCB[[#This Row],[Crédit]])),"",P760+TableauCB[[#This Row],[Crédit]]-TableauCB[[#This Row],[Débit]])</f>
        <v>11518.576000000005</v>
      </c>
      <c r="Q761" s="26"/>
      <c r="R761" s="25"/>
      <c r="S761" s="25"/>
      <c r="T761" s="24"/>
      <c r="U761" s="24"/>
      <c r="V761" s="9"/>
      <c r="W761" s="2"/>
      <c r="X761" s="9"/>
      <c r="Y761" s="8"/>
      <c r="Z761" s="7"/>
      <c r="AA761" s="7"/>
      <c r="AB761" s="6"/>
    </row>
    <row r="762" spans="2:28" ht="30" hidden="1" customHeight="1">
      <c r="B762" s="35" t="str">
        <f>IF(MONTH(F761)&lt;&gt;MONTH(TableauCB[[#This Row],[Date d''éxigibilité]]),(TableauCB[[#This Row],[Date d''éxigibilité]]),"")</f>
        <v/>
      </c>
      <c r="C762" s="11" t="s">
        <v>33</v>
      </c>
      <c r="D762" s="11" t="s">
        <v>11</v>
      </c>
      <c r="E762" s="11" t="s">
        <v>10</v>
      </c>
      <c r="F762" s="34">
        <v>42551</v>
      </c>
      <c r="G762"/>
      <c r="H762"/>
      <c r="I762" s="32">
        <v>42584</v>
      </c>
      <c r="J762"/>
      <c r="K762" s="32">
        <v>42584</v>
      </c>
      <c r="L762" s="30"/>
      <c r="M762" s="29">
        <v>624</v>
      </c>
      <c r="N762" s="28">
        <f>IF(OR(TableauCB[[#This Row],[Etat]]="",TableauCB[[#This Row],[Etat]]="c"),IF(TableauCB[[#This Row],[Solde]]="","",N761),N761-TableauCB[[#This Row],[Débit]]+TableauCB[[#This Row],[Crédit]])</f>
        <v>13108.576000000005</v>
      </c>
      <c r="O762" s="27">
        <f>IF(TableauCB[[#This Row],[Etat]]&lt;&gt;"",O761-TableauCB[[#This Row],[Débit]]+TableauCB[[#This Row],[Crédit]],O761-TableauCB[[#This Row],[Débit]])</f>
        <v>12988.579999999994</v>
      </c>
      <c r="P762" s="27">
        <f>IF(AND(ISBLANK(TableauCB[[#This Row],[Débit]]),ISBLANK(TableauCB[[#This Row],[Crédit]])),"",P761+TableauCB[[#This Row],[Crédit]]-TableauCB[[#This Row],[Débit]])</f>
        <v>12142.576000000005</v>
      </c>
      <c r="Q762" s="26"/>
      <c r="R762" s="25"/>
      <c r="S762" s="25"/>
      <c r="T762" s="24"/>
      <c r="U762" s="24"/>
      <c r="V762" s="9"/>
      <c r="W762" s="2"/>
      <c r="X762" s="9"/>
      <c r="Y762" s="8"/>
      <c r="Z762" s="7"/>
      <c r="AA762" s="7"/>
      <c r="AB762" s="6"/>
    </row>
    <row r="763" spans="2:28" ht="30" hidden="1" customHeight="1">
      <c r="B763" s="35" t="str">
        <f>IF(MONTH(F762)&lt;&gt;MONTH(TableauCB[[#This Row],[Date d''éxigibilité]]),(TableauCB[[#This Row],[Date d''éxigibilité]]),"")</f>
        <v/>
      </c>
      <c r="C763" s="11" t="s">
        <v>33</v>
      </c>
      <c r="D763" s="11" t="s">
        <v>11</v>
      </c>
      <c r="E763" s="11" t="s">
        <v>12</v>
      </c>
      <c r="F763" s="34">
        <v>42551</v>
      </c>
      <c r="G763"/>
      <c r="H763"/>
      <c r="I763" s="32">
        <v>42560</v>
      </c>
      <c r="J763"/>
      <c r="K763" s="32">
        <v>42560</v>
      </c>
      <c r="L763" s="30"/>
      <c r="M763" s="29">
        <v>115.2</v>
      </c>
      <c r="N763" s="28">
        <f>IF(OR(TableauCB[[#This Row],[Etat]]="",TableauCB[[#This Row],[Etat]]="c"),IF(TableauCB[[#This Row],[Solde]]="","",N762),N762-TableauCB[[#This Row],[Débit]]+TableauCB[[#This Row],[Crédit]])</f>
        <v>13223.776000000005</v>
      </c>
      <c r="O763" s="27">
        <f>IF(TableauCB[[#This Row],[Etat]]&lt;&gt;"",O762-TableauCB[[#This Row],[Débit]]+TableauCB[[#This Row],[Crédit]],O762-TableauCB[[#This Row],[Débit]])</f>
        <v>13103.779999999995</v>
      </c>
      <c r="P763" s="27">
        <f>IF(AND(ISBLANK(TableauCB[[#This Row],[Débit]]),ISBLANK(TableauCB[[#This Row],[Crédit]])),"",P762+TableauCB[[#This Row],[Crédit]]-TableauCB[[#This Row],[Débit]])</f>
        <v>12257.776000000005</v>
      </c>
      <c r="Q763" s="26"/>
      <c r="R763" s="25"/>
      <c r="S763" s="25"/>
      <c r="T763" s="24"/>
      <c r="U763" s="24"/>
      <c r="V763" s="9"/>
      <c r="W763" s="2"/>
      <c r="X763" s="9"/>
      <c r="Y763" s="8"/>
      <c r="Z763" s="7"/>
      <c r="AA763" s="7"/>
      <c r="AB763" s="6"/>
    </row>
    <row r="764" spans="2:28" ht="30" hidden="1" customHeight="1">
      <c r="B764" s="35" t="str">
        <f>IF(MONTH(F763)&lt;&gt;MONTH(TableauCB[[#This Row],[Date d''éxigibilité]]),(TableauCB[[#This Row],[Date d''éxigibilité]]),"")</f>
        <v/>
      </c>
      <c r="C764" s="11" t="s">
        <v>33</v>
      </c>
      <c r="D764" s="11" t="s">
        <v>11</v>
      </c>
      <c r="E764" s="11" t="s">
        <v>10</v>
      </c>
      <c r="F764" s="34">
        <v>42551</v>
      </c>
      <c r="G764"/>
      <c r="H764"/>
      <c r="I764" s="32">
        <v>42601</v>
      </c>
      <c r="J764"/>
      <c r="K764" s="32">
        <v>42602</v>
      </c>
      <c r="L764" s="30"/>
      <c r="M764" s="29">
        <v>120</v>
      </c>
      <c r="N764" s="28">
        <f>IF(OR(TableauCB[[#This Row],[Etat]]="",TableauCB[[#This Row],[Etat]]="c"),IF(TableauCB[[#This Row],[Solde]]="","",N763),N763-TableauCB[[#This Row],[Débit]]+TableauCB[[#This Row],[Crédit]])</f>
        <v>13343.776000000005</v>
      </c>
      <c r="O764" s="27">
        <f>IF(TableauCB[[#This Row],[Etat]]&lt;&gt;"",O763-TableauCB[[#This Row],[Débit]]+TableauCB[[#This Row],[Crédit]],O763-TableauCB[[#This Row],[Débit]])</f>
        <v>13223.779999999995</v>
      </c>
      <c r="P764" s="27">
        <f>IF(AND(ISBLANK(TableauCB[[#This Row],[Débit]]),ISBLANK(TableauCB[[#This Row],[Crédit]])),"",P763+TableauCB[[#This Row],[Crédit]]-TableauCB[[#This Row],[Débit]])</f>
        <v>12377.776000000005</v>
      </c>
      <c r="Q764" s="26"/>
      <c r="T764" s="24"/>
      <c r="U764" s="24"/>
      <c r="V764" s="9"/>
      <c r="W764" s="2"/>
      <c r="X764" s="9"/>
      <c r="Y764" s="8"/>
      <c r="Z764" s="7"/>
      <c r="AA764" s="7"/>
      <c r="AB764" s="6"/>
    </row>
    <row r="765" spans="2:28" ht="30" hidden="1" customHeight="1">
      <c r="B765" s="35" t="str">
        <f>IF(MONTH(F764)&lt;&gt;MONTH(TableauCB[[#This Row],[Date d''éxigibilité]]),(TableauCB[[#This Row],[Date d''éxigibilité]]),"")</f>
        <v/>
      </c>
      <c r="C765" s="11" t="s">
        <v>33</v>
      </c>
      <c r="D765" s="11" t="s">
        <v>11</v>
      </c>
      <c r="E765" s="11" t="s">
        <v>10</v>
      </c>
      <c r="F765" s="34">
        <v>42551</v>
      </c>
      <c r="G765"/>
      <c r="H765"/>
      <c r="I765" s="32">
        <v>42556</v>
      </c>
      <c r="J765"/>
      <c r="K765" s="32">
        <v>42556</v>
      </c>
      <c r="L765" s="30"/>
      <c r="M765" s="29">
        <v>96</v>
      </c>
      <c r="N765" s="28">
        <f>IF(OR(TableauCB[[#This Row],[Etat]]="",TableauCB[[#This Row],[Etat]]="c"),IF(TableauCB[[#This Row],[Solde]]="","",N764),N764-TableauCB[[#This Row],[Débit]]+TableauCB[[#This Row],[Crédit]])</f>
        <v>13439.776000000005</v>
      </c>
      <c r="O765" s="27">
        <f>IF(TableauCB[[#This Row],[Etat]]&lt;&gt;"",O764-TableauCB[[#This Row],[Débit]]+TableauCB[[#This Row],[Crédit]],O764-TableauCB[[#This Row],[Débit]])</f>
        <v>13319.779999999995</v>
      </c>
      <c r="P765" s="27">
        <f>IF(AND(ISBLANK(TableauCB[[#This Row],[Débit]]),ISBLANK(TableauCB[[#This Row],[Crédit]])),"",P764+TableauCB[[#This Row],[Crédit]]-TableauCB[[#This Row],[Débit]])</f>
        <v>12473.776000000005</v>
      </c>
      <c r="Q765" s="26"/>
      <c r="T765" s="24"/>
      <c r="U765" s="24"/>
      <c r="V765" s="9"/>
      <c r="W765" s="2"/>
      <c r="X765" s="9"/>
      <c r="Y765" s="8"/>
      <c r="Z765" s="7"/>
      <c r="AA765" s="7"/>
      <c r="AB765" s="6"/>
    </row>
    <row r="766" spans="2:28" ht="30" hidden="1" customHeight="1">
      <c r="B766" s="35" t="str">
        <f>IF(MONTH(F765)&lt;&gt;MONTH(TableauCB[[#This Row],[Date d''éxigibilité]]),(TableauCB[[#This Row],[Date d''éxigibilité]]),"")</f>
        <v/>
      </c>
      <c r="C766" s="11" t="s">
        <v>33</v>
      </c>
      <c r="D766" s="11" t="s">
        <v>11</v>
      </c>
      <c r="E766" s="11" t="s">
        <v>10</v>
      </c>
      <c r="F766" s="34">
        <v>42551</v>
      </c>
      <c r="G766"/>
      <c r="H766"/>
      <c r="I766" s="32">
        <v>42570</v>
      </c>
      <c r="J766"/>
      <c r="K766" s="32">
        <v>42570</v>
      </c>
      <c r="L766" s="30"/>
      <c r="M766" s="29">
        <v>510</v>
      </c>
      <c r="N766" s="28">
        <f>IF(OR(TableauCB[[#This Row],[Etat]]="",TableauCB[[#This Row],[Etat]]="c"),IF(TableauCB[[#This Row],[Solde]]="","",N765),N765-TableauCB[[#This Row],[Débit]]+TableauCB[[#This Row],[Crédit]])</f>
        <v>13949.776000000005</v>
      </c>
      <c r="O766" s="27">
        <f>IF(TableauCB[[#This Row],[Etat]]&lt;&gt;"",O765-TableauCB[[#This Row],[Débit]]+TableauCB[[#This Row],[Crédit]],O765-TableauCB[[#This Row],[Débit]])</f>
        <v>13829.779999999995</v>
      </c>
      <c r="P766" s="27">
        <f>IF(AND(ISBLANK(TableauCB[[#This Row],[Débit]]),ISBLANK(TableauCB[[#This Row],[Crédit]])),"",P765+TableauCB[[#This Row],[Crédit]]-TableauCB[[#This Row],[Débit]])</f>
        <v>12983.776000000005</v>
      </c>
      <c r="Q766" s="26"/>
      <c r="T766" s="24"/>
      <c r="U766" s="24"/>
      <c r="V766" s="9"/>
      <c r="W766" s="2"/>
      <c r="X766" s="9"/>
      <c r="Y766" s="8"/>
      <c r="Z766" s="7"/>
      <c r="AA766" s="7"/>
      <c r="AB766" s="6"/>
    </row>
    <row r="767" spans="2:28" ht="30" hidden="1" customHeight="1">
      <c r="B767" s="35" t="str">
        <f>IF(MONTH(F766)&lt;&gt;MONTH(TableauCB[[#This Row],[Date d''éxigibilité]]),(TableauCB[[#This Row],[Date d''éxigibilité]]),"")</f>
        <v/>
      </c>
      <c r="C767" s="11" t="s">
        <v>33</v>
      </c>
      <c r="D767" s="11" t="s">
        <v>22</v>
      </c>
      <c r="E767" s="11" t="s">
        <v>43</v>
      </c>
      <c r="F767" s="34">
        <v>42551</v>
      </c>
      <c r="G767"/>
      <c r="H767"/>
      <c r="I767" s="32">
        <v>42592</v>
      </c>
      <c r="J767"/>
      <c r="K767" s="32">
        <v>42592</v>
      </c>
      <c r="L767" s="30">
        <v>240</v>
      </c>
      <c r="M767" s="29"/>
      <c r="N767" s="28">
        <f>IF(OR(TableauCB[[#This Row],[Etat]]="",TableauCB[[#This Row],[Etat]]="c"),IF(TableauCB[[#This Row],[Solde]]="","",N766),N766-TableauCB[[#This Row],[Débit]]+TableauCB[[#This Row],[Crédit]])</f>
        <v>13709.776000000005</v>
      </c>
      <c r="O767" s="27">
        <f>IF(TableauCB[[#This Row],[Etat]]&lt;&gt;"",O766-TableauCB[[#This Row],[Débit]]+TableauCB[[#This Row],[Crédit]],O766-TableauCB[[#This Row],[Débit]])</f>
        <v>13589.779999999995</v>
      </c>
      <c r="P767" s="27">
        <f>IF(AND(ISBLANK(TableauCB[[#This Row],[Débit]]),ISBLANK(TableauCB[[#This Row],[Crédit]])),"",P766+TableauCB[[#This Row],[Crédit]]-TableauCB[[#This Row],[Débit]])</f>
        <v>12743.776000000005</v>
      </c>
      <c r="Q767" s="26"/>
      <c r="R767" s="4"/>
      <c r="S767" s="4"/>
      <c r="T767" s="24"/>
      <c r="U767" s="24"/>
      <c r="V767" s="9"/>
      <c r="W767" s="2"/>
      <c r="X767" s="9"/>
      <c r="Y767" s="8"/>
      <c r="Z767" s="7"/>
      <c r="AA767" s="7"/>
      <c r="AB767" s="6"/>
    </row>
    <row r="768" spans="2:28" ht="30" hidden="1" customHeight="1">
      <c r="B768" s="35" t="str">
        <f>IF(MONTH(F767)&lt;&gt;MONTH(TableauCB[[#This Row],[Date d''éxigibilité]]),(TableauCB[[#This Row],[Date d''éxigibilité]]),"")</f>
        <v/>
      </c>
      <c r="C768" s="11" t="s">
        <v>33</v>
      </c>
      <c r="D768" s="11" t="s">
        <v>5</v>
      </c>
      <c r="E768" s="11" t="s">
        <v>7</v>
      </c>
      <c r="F768" s="34">
        <v>42551</v>
      </c>
      <c r="G768"/>
      <c r="H768"/>
      <c r="I768" s="32">
        <v>42551</v>
      </c>
      <c r="J768"/>
      <c r="K768" s="32">
        <v>42551</v>
      </c>
      <c r="L768" s="30">
        <v>933.24</v>
      </c>
      <c r="M768" s="29"/>
      <c r="N768" s="28">
        <f>IF(OR(TableauCB[[#This Row],[Etat]]="",TableauCB[[#This Row],[Etat]]="c"),IF(TableauCB[[#This Row],[Solde]]="","",N767),N767-TableauCB[[#This Row],[Débit]]+TableauCB[[#This Row],[Crédit]])</f>
        <v>12776.536000000006</v>
      </c>
      <c r="O768" s="27">
        <f>IF(TableauCB[[#This Row],[Etat]]&lt;&gt;"",O767-TableauCB[[#This Row],[Débit]]+TableauCB[[#This Row],[Crédit]],O767-TableauCB[[#This Row],[Débit]])</f>
        <v>12656.539999999995</v>
      </c>
      <c r="P768" s="27">
        <f>IF(AND(ISBLANK(TableauCB[[#This Row],[Débit]]),ISBLANK(TableauCB[[#This Row],[Crédit]])),"",P767+TableauCB[[#This Row],[Crédit]]-TableauCB[[#This Row],[Débit]])</f>
        <v>11810.536000000006</v>
      </c>
      <c r="Q768" s="26"/>
      <c r="R768" s="4"/>
      <c r="S768" s="4"/>
      <c r="T768" s="37"/>
      <c r="U768" s="37"/>
      <c r="V768" s="9"/>
      <c r="W768" s="2"/>
      <c r="X768" s="9"/>
      <c r="Y768" s="8"/>
      <c r="Z768" s="7"/>
      <c r="AA768" s="7"/>
      <c r="AB768" s="6"/>
    </row>
    <row r="769" spans="2:28" ht="30" hidden="1" customHeight="1">
      <c r="B769" s="35" t="str">
        <f>IF(MONTH(F768)&lt;&gt;MONTH(TableauCB[[#This Row],[Date d''éxigibilité]]),(TableauCB[[#This Row],[Date d''éxigibilité]]),"")</f>
        <v/>
      </c>
      <c r="C769" s="11" t="s">
        <v>33</v>
      </c>
      <c r="D769" s="11" t="s">
        <v>5</v>
      </c>
      <c r="E769" s="11" t="s">
        <v>6</v>
      </c>
      <c r="F769" s="34">
        <v>42551</v>
      </c>
      <c r="G769"/>
      <c r="H769"/>
      <c r="I769" s="32">
        <v>42593</v>
      </c>
      <c r="J769"/>
      <c r="K769" s="32">
        <v>42597</v>
      </c>
      <c r="L769" s="30">
        <v>164.5</v>
      </c>
      <c r="M769" s="29"/>
      <c r="N769" s="28">
        <f>IF(OR(TableauCB[[#This Row],[Etat]]="",TableauCB[[#This Row],[Etat]]="c"),IF(TableauCB[[#This Row],[Solde]]="","",N768),N768-TableauCB[[#This Row],[Débit]]+TableauCB[[#This Row],[Crédit]])</f>
        <v>12612.036000000006</v>
      </c>
      <c r="O769" s="27">
        <f>IF(TableauCB[[#This Row],[Etat]]&lt;&gt;"",O768-TableauCB[[#This Row],[Débit]]+TableauCB[[#This Row],[Crédit]],O768-TableauCB[[#This Row],[Débit]])</f>
        <v>12492.039999999995</v>
      </c>
      <c r="P769" s="27">
        <f>IF(AND(ISBLANK(TableauCB[[#This Row],[Débit]]),ISBLANK(TableauCB[[#This Row],[Crédit]])),"",P768+TableauCB[[#This Row],[Crédit]]-TableauCB[[#This Row],[Débit]])</f>
        <v>11646.036000000006</v>
      </c>
      <c r="Q769" s="26"/>
      <c r="R769" s="42">
        <v>1582.21</v>
      </c>
      <c r="S769" s="36"/>
      <c r="T769" s="36"/>
      <c r="U769" s="36"/>
      <c r="V769" s="9"/>
      <c r="W769" s="2"/>
      <c r="X769" s="9"/>
      <c r="Y769" s="8"/>
      <c r="Z769" s="7"/>
      <c r="AA769" s="7"/>
      <c r="AB769" s="6"/>
    </row>
    <row r="770" spans="2:28" ht="30" hidden="1" customHeight="1">
      <c r="B770" s="35">
        <f>IF(MONTH(F769)&lt;&gt;MONTH(TableauCB[[#This Row],[Date d''éxigibilité]]),(TableauCB[[#This Row],[Date d''éxigibilité]]),"")</f>
        <v>42552</v>
      </c>
      <c r="C770" s="11" t="s">
        <v>33</v>
      </c>
      <c r="D770" s="11" t="s">
        <v>22</v>
      </c>
      <c r="E770" s="11" t="s">
        <v>21</v>
      </c>
      <c r="F770" s="34">
        <v>42552</v>
      </c>
      <c r="G770"/>
      <c r="H770"/>
      <c r="I770" s="32"/>
      <c r="J770"/>
      <c r="K770" s="32"/>
      <c r="L770" s="30">
        <v>6.36</v>
      </c>
      <c r="M770" s="29"/>
      <c r="N770" s="28">
        <f>IF(OR(TableauCB[[#This Row],[Etat]]="",TableauCB[[#This Row],[Etat]]="c"),IF(TableauCB[[#This Row],[Solde]]="","",N769),N769-TableauCB[[#This Row],[Débit]]+TableauCB[[#This Row],[Crédit]])</f>
        <v>12605.676000000005</v>
      </c>
      <c r="O770" s="27">
        <f>IF(TableauCB[[#This Row],[Etat]]&lt;&gt;"",O769-TableauCB[[#This Row],[Débit]]+TableauCB[[#This Row],[Crédit]],O769-TableauCB[[#This Row],[Débit]])</f>
        <v>12485.679999999995</v>
      </c>
      <c r="P770" s="27">
        <f>IF(AND(ISBLANK(TableauCB[[#This Row],[Débit]]),ISBLANK(TableauCB[[#This Row],[Crédit]])),"",P769+TableauCB[[#This Row],[Crédit]]-TableauCB[[#This Row],[Débit]])</f>
        <v>11639.676000000005</v>
      </c>
      <c r="Q770" s="26"/>
      <c r="R770" s="25"/>
      <c r="S770" s="25"/>
      <c r="T770" s="24"/>
      <c r="U770" s="24"/>
      <c r="V770" s="9"/>
      <c r="W770" s="2"/>
      <c r="X770" s="9"/>
      <c r="Y770" s="8"/>
      <c r="Z770" s="7"/>
      <c r="AA770" s="7"/>
      <c r="AB770" s="6"/>
    </row>
    <row r="771" spans="2:28" ht="30" hidden="1" customHeight="1">
      <c r="B771" s="35" t="str">
        <f>IF(MONTH(F770)&lt;&gt;MONTH(TableauCB[[#This Row],[Date d''éxigibilité]]),(TableauCB[[#This Row],[Date d''éxigibilité]]),"")</f>
        <v/>
      </c>
      <c r="C771" s="11" t="s">
        <v>33</v>
      </c>
      <c r="D771" s="11" t="s">
        <v>22</v>
      </c>
      <c r="E771" s="11" t="s">
        <v>21</v>
      </c>
      <c r="F771" s="34">
        <v>42560</v>
      </c>
      <c r="G771"/>
      <c r="H771"/>
      <c r="I771" s="32"/>
      <c r="J771"/>
      <c r="K771" s="32"/>
      <c r="L771" s="30">
        <v>22.2</v>
      </c>
      <c r="M771" s="29"/>
      <c r="N771" s="28">
        <f>IF(OR(TableauCB[[#This Row],[Etat]]="",TableauCB[[#This Row],[Etat]]="c"),IF(TableauCB[[#This Row],[Solde]]="","",N770),N770-TableauCB[[#This Row],[Débit]]+TableauCB[[#This Row],[Crédit]])</f>
        <v>12583.476000000004</v>
      </c>
      <c r="O771" s="27">
        <f>IF(TableauCB[[#This Row],[Etat]]&lt;&gt;"",O770-TableauCB[[#This Row],[Débit]]+TableauCB[[#This Row],[Crédit]],O770-TableauCB[[#This Row],[Débit]])</f>
        <v>12463.479999999994</v>
      </c>
      <c r="P771" s="27">
        <f>IF(AND(ISBLANK(TableauCB[[#This Row],[Débit]]),ISBLANK(TableauCB[[#This Row],[Crédit]])),"",P770+TableauCB[[#This Row],[Crédit]]-TableauCB[[#This Row],[Débit]])</f>
        <v>11617.476000000004</v>
      </c>
      <c r="Q771" s="26"/>
      <c r="R771" s="4"/>
      <c r="S771" s="4"/>
      <c r="T771" s="24"/>
      <c r="U771" s="24"/>
      <c r="V771" s="9"/>
      <c r="W771" s="2"/>
      <c r="X771" s="9"/>
      <c r="Y771" s="8"/>
      <c r="Z771" s="7"/>
      <c r="AA771" s="7"/>
      <c r="AB771" s="6"/>
    </row>
    <row r="772" spans="2:28" ht="30" hidden="1" customHeight="1">
      <c r="B772" s="35" t="str">
        <f>IF(MONTH(F771)&lt;&gt;MONTH(TableauCB[[#This Row],[Date d''éxigibilité]]),(TableauCB[[#This Row],[Date d''éxigibilité]]),"")</f>
        <v/>
      </c>
      <c r="C772" s="11" t="s">
        <v>33</v>
      </c>
      <c r="D772" s="11" t="s">
        <v>22</v>
      </c>
      <c r="E772" s="11" t="s">
        <v>37</v>
      </c>
      <c r="F772" s="34">
        <v>42560</v>
      </c>
      <c r="G772"/>
      <c r="H772"/>
      <c r="I772" s="32"/>
      <c r="J772"/>
      <c r="K772" s="32"/>
      <c r="L772" s="30">
        <v>131.6</v>
      </c>
      <c r="M772" s="29"/>
      <c r="N772" s="28">
        <f>IF(OR(TableauCB[[#This Row],[Etat]]="",TableauCB[[#This Row],[Etat]]="c"),IF(TableauCB[[#This Row],[Solde]]="","",N771),N771-TableauCB[[#This Row],[Débit]]+TableauCB[[#This Row],[Crédit]])</f>
        <v>12451.876000000004</v>
      </c>
      <c r="O772" s="27">
        <f>IF(TableauCB[[#This Row],[Etat]]&lt;&gt;"",O771-TableauCB[[#This Row],[Débit]]+TableauCB[[#This Row],[Crédit]],O771-TableauCB[[#This Row],[Débit]])</f>
        <v>12331.879999999994</v>
      </c>
      <c r="P772" s="27">
        <f>IF(AND(ISBLANK(TableauCB[[#This Row],[Débit]]),ISBLANK(TableauCB[[#This Row],[Crédit]])),"",P771+TableauCB[[#This Row],[Crédit]]-TableauCB[[#This Row],[Débit]])</f>
        <v>11485.876000000004</v>
      </c>
      <c r="Q772" s="26"/>
      <c r="R772" s="4"/>
      <c r="S772" s="4"/>
      <c r="T772" s="24"/>
      <c r="U772" s="24"/>
      <c r="V772" s="9"/>
      <c r="W772" s="2"/>
      <c r="X772" s="9"/>
      <c r="Y772" s="8"/>
      <c r="Z772" s="7"/>
      <c r="AA772" s="7"/>
      <c r="AB772" s="6"/>
    </row>
    <row r="773" spans="2:28" ht="30" hidden="1" customHeight="1">
      <c r="B773" s="35" t="str">
        <f>IF(MONTH(F772)&lt;&gt;MONTH(TableauCB[[#This Row],[Date d''éxigibilité]]),(TableauCB[[#This Row],[Date d''éxigibilité]]),"")</f>
        <v/>
      </c>
      <c r="C773" s="11" t="s">
        <v>33</v>
      </c>
      <c r="D773" s="11" t="s">
        <v>45</v>
      </c>
      <c r="E773" s="11" t="s">
        <v>47</v>
      </c>
      <c r="F773" s="34">
        <v>42561</v>
      </c>
      <c r="G773"/>
      <c r="H773"/>
      <c r="I773" s="32">
        <v>42564</v>
      </c>
      <c r="J773"/>
      <c r="K773" s="32">
        <v>42564</v>
      </c>
      <c r="L773" s="30"/>
      <c r="M773" s="29">
        <v>720</v>
      </c>
      <c r="N773" s="28">
        <f>IF(OR(TableauCB[[#This Row],[Etat]]="",TableauCB[[#This Row],[Etat]]="c"),IF(TableauCB[[#This Row],[Solde]]="","",N772),N772-TableauCB[[#This Row],[Débit]]+TableauCB[[#This Row],[Crédit]])</f>
        <v>13171.876000000004</v>
      </c>
      <c r="O773" s="27">
        <f>IF(TableauCB[[#This Row],[Etat]]&lt;&gt;"",O772-TableauCB[[#This Row],[Débit]]+TableauCB[[#This Row],[Crédit]],O772-TableauCB[[#This Row],[Débit]])</f>
        <v>13051.879999999994</v>
      </c>
      <c r="P773" s="27">
        <f>IF(AND(ISBLANK(TableauCB[[#This Row],[Débit]]),ISBLANK(TableauCB[[#This Row],[Crédit]])),"",P772+TableauCB[[#This Row],[Crédit]]-TableauCB[[#This Row],[Débit]])</f>
        <v>12205.876000000004</v>
      </c>
      <c r="Q773" s="26"/>
      <c r="R773" s="4"/>
      <c r="S773" s="4"/>
      <c r="T773" s="24"/>
      <c r="U773" s="24"/>
      <c r="V773" s="9"/>
      <c r="W773" s="2"/>
      <c r="X773" s="9"/>
      <c r="Y773" s="8"/>
      <c r="Z773" s="7"/>
      <c r="AA773" s="7"/>
      <c r="AB773" s="6"/>
    </row>
    <row r="774" spans="2:28" ht="30" hidden="1" customHeight="1">
      <c r="B774" s="35" t="str">
        <f>IF(MONTH(F773)&lt;&gt;MONTH(TableauCB[[#This Row],[Date d''éxigibilité]]),(TableauCB[[#This Row],[Date d''éxigibilité]]),"")</f>
        <v/>
      </c>
      <c r="C774" s="11" t="s">
        <v>33</v>
      </c>
      <c r="D774" s="11" t="s">
        <v>15</v>
      </c>
      <c r="E774" s="11" t="s">
        <v>25</v>
      </c>
      <c r="F774" s="34">
        <v>42562</v>
      </c>
      <c r="G774"/>
      <c r="H774"/>
      <c r="I774" s="32">
        <v>42569</v>
      </c>
      <c r="J774"/>
      <c r="K774" s="32">
        <v>42569</v>
      </c>
      <c r="L774" s="30">
        <v>1728</v>
      </c>
      <c r="M774" s="29"/>
      <c r="N774" s="28">
        <f>IF(OR(TableauCB[[#This Row],[Etat]]="",TableauCB[[#This Row],[Etat]]="c"),IF(TableauCB[[#This Row],[Solde]]="","",N773),N773-TableauCB[[#This Row],[Débit]]+TableauCB[[#This Row],[Crédit]])</f>
        <v>11443.876000000004</v>
      </c>
      <c r="O774" s="27">
        <f>IF(TableauCB[[#This Row],[Etat]]&lt;&gt;"",O773-TableauCB[[#This Row],[Débit]]+TableauCB[[#This Row],[Crédit]],O773-TableauCB[[#This Row],[Débit]])</f>
        <v>11323.879999999994</v>
      </c>
      <c r="P774" s="27">
        <f>IF(AND(ISBLANK(TableauCB[[#This Row],[Débit]]),ISBLANK(TableauCB[[#This Row],[Crédit]])),"",P773+TableauCB[[#This Row],[Crédit]]-TableauCB[[#This Row],[Débit]])</f>
        <v>10477.876000000004</v>
      </c>
      <c r="Q774" s="26"/>
      <c r="R774" s="4"/>
      <c r="S774" s="4"/>
      <c r="T774" s="24"/>
      <c r="U774" s="24"/>
      <c r="V774" s="9"/>
      <c r="W774" s="2"/>
      <c r="X774" s="9"/>
      <c r="Y774" s="8"/>
      <c r="Z774" s="7"/>
      <c r="AA774" s="7"/>
      <c r="AB774" s="6"/>
    </row>
    <row r="775" spans="2:28" ht="30" hidden="1" customHeight="1">
      <c r="B775" s="35" t="str">
        <f>IF(MONTH(F774)&lt;&gt;MONTH(TableauCB[[#This Row],[Date d''éxigibilité]]),(TableauCB[[#This Row],[Date d''éxigibilité]]),"")</f>
        <v/>
      </c>
      <c r="C775" s="11" t="s">
        <v>33</v>
      </c>
      <c r="D775" s="11" t="s">
        <v>30</v>
      </c>
      <c r="E775" s="11" t="s">
        <v>41</v>
      </c>
      <c r="F775" s="34">
        <v>42562</v>
      </c>
      <c r="G775"/>
      <c r="H775"/>
      <c r="I775" s="32">
        <v>42597</v>
      </c>
      <c r="J775"/>
      <c r="K775" s="32">
        <v>42598</v>
      </c>
      <c r="L775" s="30">
        <v>66.819999999999993</v>
      </c>
      <c r="M775" s="29"/>
      <c r="N775" s="28">
        <f>IF(OR(TableauCB[[#This Row],[Etat]]="",TableauCB[[#This Row],[Etat]]="c"),IF(TableauCB[[#This Row],[Solde]]="","",N774),N774-TableauCB[[#This Row],[Débit]]+TableauCB[[#This Row],[Crédit]])</f>
        <v>11377.056000000004</v>
      </c>
      <c r="O775" s="27">
        <f>IF(TableauCB[[#This Row],[Etat]]&lt;&gt;"",O774-TableauCB[[#This Row],[Débit]]+TableauCB[[#This Row],[Crédit]],O774-TableauCB[[#This Row],[Débit]])</f>
        <v>11257.059999999994</v>
      </c>
      <c r="P775" s="27">
        <f>IF(AND(ISBLANK(TableauCB[[#This Row],[Débit]]),ISBLANK(TableauCB[[#This Row],[Crédit]])),"",P774+TableauCB[[#This Row],[Crédit]]-TableauCB[[#This Row],[Débit]])</f>
        <v>10411.056000000004</v>
      </c>
      <c r="Q775" s="26"/>
      <c r="T775" s="24"/>
      <c r="U775" s="24"/>
      <c r="V775" s="9"/>
      <c r="W775" s="2"/>
      <c r="X775" s="9"/>
      <c r="Y775" s="8"/>
      <c r="Z775" s="7"/>
      <c r="AA775" s="7"/>
      <c r="AB775" s="6"/>
    </row>
    <row r="776" spans="2:28" ht="30" hidden="1" customHeight="1">
      <c r="B776" s="35" t="str">
        <f>IF(MONTH(F775)&lt;&gt;MONTH(TableauCB[[#This Row],[Date d''éxigibilité]]),(TableauCB[[#This Row],[Date d''éxigibilité]]),"")</f>
        <v/>
      </c>
      <c r="C776" s="11" t="s">
        <v>33</v>
      </c>
      <c r="D776" s="11" t="s">
        <v>15</v>
      </c>
      <c r="E776" s="11" t="s">
        <v>27</v>
      </c>
      <c r="F776" s="34">
        <v>42563</v>
      </c>
      <c r="G776"/>
      <c r="H776"/>
      <c r="I776" s="32">
        <v>42581</v>
      </c>
      <c r="J776"/>
      <c r="K776" s="32">
        <v>42581</v>
      </c>
      <c r="L776" s="30">
        <v>170</v>
      </c>
      <c r="M776" s="29"/>
      <c r="N776" s="28">
        <f>IF(OR(TableauCB[[#This Row],[Etat]]="",TableauCB[[#This Row],[Etat]]="c"),IF(TableauCB[[#This Row],[Solde]]="","",N775),N775-TableauCB[[#This Row],[Débit]]+TableauCB[[#This Row],[Crédit]])</f>
        <v>11207.056000000004</v>
      </c>
      <c r="O776" s="27">
        <f>IF(TableauCB[[#This Row],[Etat]]&lt;&gt;"",O775-TableauCB[[#This Row],[Débit]]+TableauCB[[#This Row],[Crédit]],O775-TableauCB[[#This Row],[Débit]])</f>
        <v>11087.059999999994</v>
      </c>
      <c r="P776" s="27">
        <f>IF(AND(ISBLANK(TableauCB[[#This Row],[Débit]]),ISBLANK(TableauCB[[#This Row],[Crédit]])),"",P775+TableauCB[[#This Row],[Crédit]]-TableauCB[[#This Row],[Débit]])</f>
        <v>10241.056000000004</v>
      </c>
      <c r="Q776" s="26"/>
      <c r="T776" s="24"/>
      <c r="U776" s="24"/>
      <c r="V776" s="9"/>
      <c r="W776" s="2"/>
      <c r="X776" s="9"/>
      <c r="Y776" s="8"/>
      <c r="Z776" s="7"/>
      <c r="AA776" s="7"/>
      <c r="AB776" s="6"/>
    </row>
    <row r="777" spans="2:28" ht="30" hidden="1" customHeight="1">
      <c r="B777" s="35" t="str">
        <f>IF(MONTH(F776)&lt;&gt;MONTH(TableauCB[[#This Row],[Date d''éxigibilité]]),(TableauCB[[#This Row],[Date d''éxigibilité]]),"")</f>
        <v/>
      </c>
      <c r="C777" s="11" t="s">
        <v>33</v>
      </c>
      <c r="D777" s="11" t="s">
        <v>15</v>
      </c>
      <c r="E777" s="11" t="s">
        <v>26</v>
      </c>
      <c r="F777" s="34">
        <v>42563</v>
      </c>
      <c r="G777"/>
      <c r="H777"/>
      <c r="I777" s="32"/>
      <c r="J777"/>
      <c r="K777" s="32"/>
      <c r="L777" s="30">
        <v>10</v>
      </c>
      <c r="M777" s="29"/>
      <c r="N777" s="28">
        <f>IF(OR(TableauCB[[#This Row],[Etat]]="",TableauCB[[#This Row],[Etat]]="c"),IF(TableauCB[[#This Row],[Solde]]="","",N776),N776-TableauCB[[#This Row],[Débit]]+TableauCB[[#This Row],[Crédit]])</f>
        <v>11197.056000000004</v>
      </c>
      <c r="O777" s="27">
        <f>IF(TableauCB[[#This Row],[Etat]]&lt;&gt;"",O776-TableauCB[[#This Row],[Débit]]+TableauCB[[#This Row],[Crédit]],O776-TableauCB[[#This Row],[Débit]])</f>
        <v>11077.059999999994</v>
      </c>
      <c r="P777" s="27">
        <f>IF(AND(ISBLANK(TableauCB[[#This Row],[Débit]]),ISBLANK(TableauCB[[#This Row],[Crédit]])),"",P776+TableauCB[[#This Row],[Crédit]]-TableauCB[[#This Row],[Débit]])</f>
        <v>10231.056000000004</v>
      </c>
      <c r="Q777" s="26"/>
      <c r="T777" s="24"/>
      <c r="U777" s="24"/>
      <c r="V777" s="9"/>
      <c r="W777" s="2"/>
      <c r="X777" s="9"/>
      <c r="Y777" s="8"/>
      <c r="Z777" s="7"/>
      <c r="AA777" s="7"/>
      <c r="AB777" s="6"/>
    </row>
    <row r="778" spans="2:28" ht="30" hidden="1" customHeight="1">
      <c r="B778" s="35" t="str">
        <f>IF(MONTH(F777)&lt;&gt;MONTH(TableauCB[[#This Row],[Date d''éxigibilité]]),(TableauCB[[#This Row],[Date d''éxigibilité]]),"")</f>
        <v/>
      </c>
      <c r="C778" s="11" t="s">
        <v>33</v>
      </c>
      <c r="D778" s="11" t="s">
        <v>15</v>
      </c>
      <c r="E778" s="11" t="s">
        <v>26</v>
      </c>
      <c r="F778" s="34">
        <v>42563</v>
      </c>
      <c r="G778"/>
      <c r="H778"/>
      <c r="I778" s="32"/>
      <c r="J778"/>
      <c r="K778" s="32"/>
      <c r="L778" s="30">
        <v>68</v>
      </c>
      <c r="M778" s="29"/>
      <c r="N778" s="28">
        <f>IF(OR(TableauCB[[#This Row],[Etat]]="",TableauCB[[#This Row],[Etat]]="c"),IF(TableauCB[[#This Row],[Solde]]="","",N777),N777-TableauCB[[#This Row],[Débit]]+TableauCB[[#This Row],[Crédit]])</f>
        <v>11129.056000000004</v>
      </c>
      <c r="O778" s="27">
        <f>IF(TableauCB[[#This Row],[Etat]]&lt;&gt;"",O777-TableauCB[[#This Row],[Débit]]+TableauCB[[#This Row],[Crédit]],O777-TableauCB[[#This Row],[Débit]])</f>
        <v>11009.059999999994</v>
      </c>
      <c r="P778" s="27">
        <f>IF(AND(ISBLANK(TableauCB[[#This Row],[Débit]]),ISBLANK(TableauCB[[#This Row],[Crédit]])),"",P777+TableauCB[[#This Row],[Crédit]]-TableauCB[[#This Row],[Débit]])</f>
        <v>10163.056000000004</v>
      </c>
      <c r="Q778" s="26"/>
      <c r="T778" s="24"/>
      <c r="U778" s="24"/>
      <c r="V778" s="9"/>
      <c r="W778" s="2"/>
      <c r="X778" s="9"/>
      <c r="Y778" s="8"/>
      <c r="Z778" s="7"/>
      <c r="AA778" s="7"/>
      <c r="AB778" s="6"/>
    </row>
    <row r="779" spans="2:28" ht="30" hidden="1" customHeight="1">
      <c r="B779" s="35" t="str">
        <f>IF(MONTH(F778)&lt;&gt;MONTH(TableauCB[[#This Row],[Date d''éxigibilité]]),(TableauCB[[#This Row],[Date d''éxigibilité]]),"")</f>
        <v/>
      </c>
      <c r="C779" s="11" t="s">
        <v>33</v>
      </c>
      <c r="D779" s="11" t="s">
        <v>15</v>
      </c>
      <c r="E779" s="11" t="s">
        <v>24</v>
      </c>
      <c r="F779" s="34">
        <v>42563</v>
      </c>
      <c r="G779"/>
      <c r="H779"/>
      <c r="I779" s="32">
        <v>42581</v>
      </c>
      <c r="J779"/>
      <c r="K779" s="32">
        <v>42581</v>
      </c>
      <c r="L779" s="30">
        <v>206</v>
      </c>
      <c r="M779" s="29"/>
      <c r="N779" s="28">
        <f>IF(OR(TableauCB[[#This Row],[Etat]]="",TableauCB[[#This Row],[Etat]]="c"),IF(TableauCB[[#This Row],[Solde]]="","",N778),N778-TableauCB[[#This Row],[Débit]]+TableauCB[[#This Row],[Crédit]])</f>
        <v>10923.056000000004</v>
      </c>
      <c r="O779" s="27">
        <f>IF(TableauCB[[#This Row],[Etat]]&lt;&gt;"",O778-TableauCB[[#This Row],[Débit]]+TableauCB[[#This Row],[Crédit]],O778-TableauCB[[#This Row],[Débit]])</f>
        <v>10803.059999999994</v>
      </c>
      <c r="P779" s="27">
        <f>IF(AND(ISBLANK(TableauCB[[#This Row],[Débit]]),ISBLANK(TableauCB[[#This Row],[Crédit]])),"",P778+TableauCB[[#This Row],[Crédit]]-TableauCB[[#This Row],[Débit]])</f>
        <v>9957.0560000000041</v>
      </c>
      <c r="Q779" s="26"/>
      <c r="T779" s="24"/>
      <c r="U779" s="24"/>
      <c r="V779" s="9"/>
      <c r="W779" s="2"/>
      <c r="X779" s="9"/>
      <c r="Y779" s="8"/>
      <c r="Z779" s="7"/>
      <c r="AA779" s="7"/>
      <c r="AB779" s="6"/>
    </row>
    <row r="780" spans="2:28" ht="30" hidden="1" customHeight="1">
      <c r="B780" s="35" t="str">
        <f>IF(MONTH(F779)&lt;&gt;MONTH(TableauCB[[#This Row],[Date d''éxigibilité]]),(TableauCB[[#This Row],[Date d''éxigibilité]]),"")</f>
        <v/>
      </c>
      <c r="C780" s="11" t="s">
        <v>33</v>
      </c>
      <c r="D780" s="11" t="s">
        <v>15</v>
      </c>
      <c r="E780" s="11" t="s">
        <v>24</v>
      </c>
      <c r="F780" s="34">
        <v>42563</v>
      </c>
      <c r="G780"/>
      <c r="H780"/>
      <c r="I780" s="32">
        <v>42581</v>
      </c>
      <c r="J780"/>
      <c r="K780" s="32">
        <v>42581</v>
      </c>
      <c r="L780" s="30">
        <v>537</v>
      </c>
      <c r="M780" s="29"/>
      <c r="N780" s="28">
        <f>IF(OR(TableauCB[[#This Row],[Etat]]="",TableauCB[[#This Row],[Etat]]="c"),IF(TableauCB[[#This Row],[Solde]]="","",N779),N779-TableauCB[[#This Row],[Débit]]+TableauCB[[#This Row],[Crédit]])</f>
        <v>10386.056000000004</v>
      </c>
      <c r="O780" s="27">
        <f>IF(TableauCB[[#This Row],[Etat]]&lt;&gt;"",O779-TableauCB[[#This Row],[Débit]]+TableauCB[[#This Row],[Crédit]],O779-TableauCB[[#This Row],[Débit]])</f>
        <v>10266.059999999994</v>
      </c>
      <c r="P780" s="27">
        <f>IF(AND(ISBLANK(TableauCB[[#This Row],[Débit]]),ISBLANK(TableauCB[[#This Row],[Crédit]])),"",P779+TableauCB[[#This Row],[Crédit]]-TableauCB[[#This Row],[Débit]])</f>
        <v>9420.0560000000041</v>
      </c>
      <c r="Q780" s="26"/>
      <c r="T780" s="24"/>
      <c r="U780" s="24"/>
      <c r="V780" s="9"/>
      <c r="W780" s="2"/>
      <c r="X780" s="9"/>
      <c r="Y780" s="8"/>
      <c r="Z780" s="7"/>
      <c r="AA780" s="7"/>
      <c r="AB780" s="6"/>
    </row>
    <row r="781" spans="2:28" ht="30" hidden="1" customHeight="1">
      <c r="B781" s="35" t="str">
        <f>IF(MONTH(F780)&lt;&gt;MONTH(TableauCB[[#This Row],[Date d''éxigibilité]]),(TableauCB[[#This Row],[Date d''éxigibilité]]),"")</f>
        <v/>
      </c>
      <c r="C781" s="11" t="s">
        <v>33</v>
      </c>
      <c r="D781" s="11" t="s">
        <v>15</v>
      </c>
      <c r="E781" s="11" t="s">
        <v>19</v>
      </c>
      <c r="F781" s="34">
        <v>42564</v>
      </c>
      <c r="G781"/>
      <c r="H781"/>
      <c r="I781" s="32"/>
      <c r="J781"/>
      <c r="K781" s="32"/>
      <c r="L781" s="30">
        <v>39</v>
      </c>
      <c r="M781" s="29"/>
      <c r="N781" s="28">
        <f>IF(OR(TableauCB[[#This Row],[Etat]]="",TableauCB[[#This Row],[Etat]]="c"),IF(TableauCB[[#This Row],[Solde]]="","",N780),N780-TableauCB[[#This Row],[Débit]]+TableauCB[[#This Row],[Crédit]])</f>
        <v>10347.056000000004</v>
      </c>
      <c r="O781" s="27">
        <f>IF(TableauCB[[#This Row],[Etat]]&lt;&gt;"",O780-TableauCB[[#This Row],[Débit]]+TableauCB[[#This Row],[Crédit]],O780-TableauCB[[#This Row],[Débit]])</f>
        <v>10227.059999999994</v>
      </c>
      <c r="P781" s="27">
        <f>IF(AND(ISBLANK(TableauCB[[#This Row],[Débit]]),ISBLANK(TableauCB[[#This Row],[Crédit]])),"",P780+TableauCB[[#This Row],[Crédit]]-TableauCB[[#This Row],[Débit]])</f>
        <v>9381.0560000000041</v>
      </c>
      <c r="Q781" s="26"/>
      <c r="T781" s="24"/>
      <c r="U781" s="24"/>
      <c r="V781" s="9"/>
      <c r="W781" s="2"/>
      <c r="X781" s="9"/>
      <c r="Y781" s="8"/>
      <c r="Z781" s="7"/>
      <c r="AA781" s="7"/>
      <c r="AB781" s="6"/>
    </row>
    <row r="782" spans="2:28" ht="30" hidden="1" customHeight="1">
      <c r="B782" s="35" t="str">
        <f>IF(MONTH(F781)&lt;&gt;MONTH(TableauCB[[#This Row],[Date d''éxigibilité]]),(TableauCB[[#This Row],[Date d''éxigibilité]]),"")</f>
        <v/>
      </c>
      <c r="C782" s="11" t="s">
        <v>33</v>
      </c>
      <c r="D782" s="11" t="s">
        <v>22</v>
      </c>
      <c r="E782" s="11" t="s">
        <v>17</v>
      </c>
      <c r="F782" s="34">
        <v>42566</v>
      </c>
      <c r="G782"/>
      <c r="H782"/>
      <c r="I782" s="32"/>
      <c r="J782"/>
      <c r="K782" s="32"/>
      <c r="L782" s="30">
        <v>45.6</v>
      </c>
      <c r="M782" s="29"/>
      <c r="N782" s="28">
        <f>IF(OR(TableauCB[[#This Row],[Etat]]="",TableauCB[[#This Row],[Etat]]="c"),IF(TableauCB[[#This Row],[Solde]]="","",N781),N781-TableauCB[[#This Row],[Débit]]+TableauCB[[#This Row],[Crédit]])</f>
        <v>10301.456000000004</v>
      </c>
      <c r="O782" s="27">
        <f>IF(TableauCB[[#This Row],[Etat]]&lt;&gt;"",O781-TableauCB[[#This Row],[Débit]]+TableauCB[[#This Row],[Crédit]],O781-TableauCB[[#This Row],[Débit]])</f>
        <v>10181.459999999994</v>
      </c>
      <c r="P782" s="27">
        <f>IF(AND(ISBLANK(TableauCB[[#This Row],[Débit]]),ISBLANK(TableauCB[[#This Row],[Crédit]])),"",P781+TableauCB[[#This Row],[Crédit]]-TableauCB[[#This Row],[Débit]])</f>
        <v>9335.4560000000038</v>
      </c>
      <c r="Q782" s="26"/>
      <c r="T782" s="24"/>
      <c r="U782" s="24"/>
      <c r="V782" s="9"/>
      <c r="W782" s="2"/>
      <c r="X782" s="9"/>
      <c r="Y782" s="8"/>
      <c r="Z782" s="7"/>
      <c r="AA782" s="7"/>
      <c r="AB782" s="6"/>
    </row>
    <row r="783" spans="2:28" ht="30" hidden="1" customHeight="1">
      <c r="B783" s="35" t="str">
        <f>IF(MONTH(F782)&lt;&gt;MONTH(TableauCB[[#This Row],[Date d''éxigibilité]]),(TableauCB[[#This Row],[Date d''éxigibilité]]),"")</f>
        <v/>
      </c>
      <c r="C783" s="11" t="s">
        <v>33</v>
      </c>
      <c r="D783" s="11" t="s">
        <v>30</v>
      </c>
      <c r="E783" s="11" t="s">
        <v>30</v>
      </c>
      <c r="F783" s="34">
        <v>42569</v>
      </c>
      <c r="G783"/>
      <c r="H783"/>
      <c r="I783" s="32"/>
      <c r="J783"/>
      <c r="K783" s="32"/>
      <c r="L783" s="30">
        <v>112.05</v>
      </c>
      <c r="M783" s="29"/>
      <c r="N783" s="28">
        <f>IF(OR(TableauCB[[#This Row],[Etat]]="",TableauCB[[#This Row],[Etat]]="c"),IF(TableauCB[[#This Row],[Solde]]="","",N782),N782-TableauCB[[#This Row],[Débit]]+TableauCB[[#This Row],[Crédit]])</f>
        <v>10189.406000000004</v>
      </c>
      <c r="O783" s="27">
        <f>IF(TableauCB[[#This Row],[Etat]]&lt;&gt;"",O782-TableauCB[[#This Row],[Débit]]+TableauCB[[#This Row],[Crédit]],O782-TableauCB[[#This Row],[Débit]])</f>
        <v>10069.409999999994</v>
      </c>
      <c r="P783" s="27">
        <f>IF(AND(ISBLANK(TableauCB[[#This Row],[Débit]]),ISBLANK(TableauCB[[#This Row],[Crédit]])),"",P782+TableauCB[[#This Row],[Crédit]]-TableauCB[[#This Row],[Débit]])</f>
        <v>9223.4060000000045</v>
      </c>
      <c r="Q783" s="26"/>
      <c r="T783" s="24"/>
      <c r="U783" s="24"/>
      <c r="V783" s="9"/>
      <c r="W783" s="2"/>
      <c r="X783" s="9"/>
      <c r="Y783" s="8"/>
      <c r="Z783" s="7"/>
      <c r="AA783" s="7"/>
      <c r="AB783" s="6"/>
    </row>
    <row r="784" spans="2:28" ht="30" hidden="1" customHeight="1">
      <c r="B784" s="35" t="str">
        <f>IF(MONTH(F783)&lt;&gt;MONTH(TableauCB[[#This Row],[Date d''éxigibilité]]),(TableauCB[[#This Row],[Date d''éxigibilité]]),"")</f>
        <v/>
      </c>
      <c r="C784" s="11" t="s">
        <v>33</v>
      </c>
      <c r="D784" s="11" t="s">
        <v>45</v>
      </c>
      <c r="E784" s="11" t="s">
        <v>10</v>
      </c>
      <c r="F784" s="34">
        <v>42570</v>
      </c>
      <c r="G784"/>
      <c r="H784"/>
      <c r="I784" s="32">
        <v>42574</v>
      </c>
      <c r="J784"/>
      <c r="K784" s="32">
        <v>42574</v>
      </c>
      <c r="L784" s="30"/>
      <c r="M784" s="29">
        <v>660</v>
      </c>
      <c r="N784" s="28">
        <f>IF(OR(TableauCB[[#This Row],[Etat]]="",TableauCB[[#This Row],[Etat]]="c"),IF(TableauCB[[#This Row],[Solde]]="","",N783),N783-TableauCB[[#This Row],[Débit]]+TableauCB[[#This Row],[Crédit]])</f>
        <v>10849.406000000004</v>
      </c>
      <c r="O784" s="27">
        <f>IF(TableauCB[[#This Row],[Etat]]&lt;&gt;"",O783-TableauCB[[#This Row],[Débit]]+TableauCB[[#This Row],[Crédit]],O783-TableauCB[[#This Row],[Débit]])</f>
        <v>10729.409999999994</v>
      </c>
      <c r="P784" s="27">
        <f>IF(AND(ISBLANK(TableauCB[[#This Row],[Débit]]),ISBLANK(TableauCB[[#This Row],[Crédit]])),"",P783+TableauCB[[#This Row],[Crédit]]-TableauCB[[#This Row],[Débit]])</f>
        <v>9883.4060000000045</v>
      </c>
      <c r="Q784" s="26"/>
      <c r="T784" s="24"/>
      <c r="U784" s="24"/>
      <c r="V784" s="9"/>
      <c r="W784" s="2"/>
      <c r="X784" s="9"/>
      <c r="Y784" s="8"/>
      <c r="Z784" s="7"/>
      <c r="AA784" s="7"/>
      <c r="AB784" s="6"/>
    </row>
    <row r="785" spans="2:28" ht="30" hidden="1" customHeight="1">
      <c r="B785" s="35" t="str">
        <f>IF(MONTH(F784)&lt;&gt;MONTH(TableauCB[[#This Row],[Date d''éxigibilité]]),(TableauCB[[#This Row],[Date d''éxigibilité]]),"")</f>
        <v/>
      </c>
      <c r="C785" s="11" t="s">
        <v>33</v>
      </c>
      <c r="D785" s="11" t="s">
        <v>22</v>
      </c>
      <c r="E785" s="11" t="s">
        <v>37</v>
      </c>
      <c r="F785" s="34">
        <v>42570</v>
      </c>
      <c r="G785"/>
      <c r="H785"/>
      <c r="I785" s="32"/>
      <c r="J785"/>
      <c r="K785" s="32"/>
      <c r="L785" s="30">
        <v>31.8</v>
      </c>
      <c r="M785" s="29"/>
      <c r="N785" s="28">
        <f>IF(OR(TableauCB[[#This Row],[Etat]]="",TableauCB[[#This Row],[Etat]]="c"),IF(TableauCB[[#This Row],[Solde]]="","",N784),N784-TableauCB[[#This Row],[Débit]]+TableauCB[[#This Row],[Crédit]])</f>
        <v>10817.606000000005</v>
      </c>
      <c r="O785" s="27">
        <f>IF(TableauCB[[#This Row],[Etat]]&lt;&gt;"",O784-TableauCB[[#This Row],[Débit]]+TableauCB[[#This Row],[Crédit]],O784-TableauCB[[#This Row],[Débit]])</f>
        <v>10697.609999999995</v>
      </c>
      <c r="P785" s="27">
        <f>IF(AND(ISBLANK(TableauCB[[#This Row],[Débit]]),ISBLANK(TableauCB[[#This Row],[Crédit]])),"",P784+TableauCB[[#This Row],[Crédit]]-TableauCB[[#This Row],[Débit]])</f>
        <v>9851.6060000000052</v>
      </c>
      <c r="Q785" s="26"/>
      <c r="T785" s="24"/>
      <c r="U785" s="24"/>
      <c r="V785" s="9"/>
      <c r="W785" s="2"/>
      <c r="X785" s="9"/>
      <c r="Y785" s="8"/>
      <c r="Z785" s="7"/>
      <c r="AA785" s="7"/>
      <c r="AB785" s="6"/>
    </row>
    <row r="786" spans="2:28" ht="30" hidden="1" customHeight="1">
      <c r="B786" s="35" t="str">
        <f>IF(MONTH(F785)&lt;&gt;MONTH(TableauCB[[#This Row],[Date d''éxigibilité]]),(TableauCB[[#This Row],[Date d''éxigibilité]]),"")</f>
        <v/>
      </c>
      <c r="C786" s="11" t="s">
        <v>33</v>
      </c>
      <c r="D786" s="11" t="s">
        <v>22</v>
      </c>
      <c r="E786" s="11" t="s">
        <v>17</v>
      </c>
      <c r="F786" s="34">
        <v>42571</v>
      </c>
      <c r="G786"/>
      <c r="H786"/>
      <c r="I786" s="32"/>
      <c r="J786"/>
      <c r="K786" s="32"/>
      <c r="L786" s="30">
        <v>3.59</v>
      </c>
      <c r="M786" s="29"/>
      <c r="N786" s="28">
        <f>IF(OR(TableauCB[[#This Row],[Etat]]="",TableauCB[[#This Row],[Etat]]="c"),IF(TableauCB[[#This Row],[Solde]]="","",N785),N785-TableauCB[[#This Row],[Débit]]+TableauCB[[#This Row],[Crédit]])</f>
        <v>10814.016000000005</v>
      </c>
      <c r="O786" s="27">
        <f>IF(TableauCB[[#This Row],[Etat]]&lt;&gt;"",O785-TableauCB[[#This Row],[Débit]]+TableauCB[[#This Row],[Crédit]],O785-TableauCB[[#This Row],[Débit]])</f>
        <v>10694.019999999995</v>
      </c>
      <c r="P786" s="27">
        <f>IF(AND(ISBLANK(TableauCB[[#This Row],[Débit]]),ISBLANK(TableauCB[[#This Row],[Crédit]])),"",P785+TableauCB[[#This Row],[Crédit]]-TableauCB[[#This Row],[Débit]])</f>
        <v>9848.0160000000051</v>
      </c>
      <c r="Q786" s="26"/>
      <c r="R786" s="25"/>
      <c r="S786" s="25"/>
      <c r="T786" s="24"/>
      <c r="U786" s="24"/>
      <c r="V786" s="9"/>
      <c r="W786" s="2"/>
      <c r="X786" s="9"/>
      <c r="Y786" s="8"/>
      <c r="Z786" s="7"/>
      <c r="AA786" s="7"/>
      <c r="AB786" s="6"/>
    </row>
    <row r="787" spans="2:28" ht="30" hidden="1" customHeight="1">
      <c r="B787" s="35" t="str">
        <f>IF(MONTH(F786)&lt;&gt;MONTH(TableauCB[[#This Row],[Date d''éxigibilité]]),(TableauCB[[#This Row],[Date d''éxigibilité]]),"")</f>
        <v/>
      </c>
      <c r="C787" s="11" t="s">
        <v>33</v>
      </c>
      <c r="D787" s="11" t="s">
        <v>15</v>
      </c>
      <c r="E787" s="11" t="s">
        <v>23</v>
      </c>
      <c r="F787" s="34">
        <v>42572</v>
      </c>
      <c r="G787"/>
      <c r="H787"/>
      <c r="I787" s="32"/>
      <c r="J787"/>
      <c r="K787" s="32"/>
      <c r="L787" s="30">
        <v>2020</v>
      </c>
      <c r="M787" s="29"/>
      <c r="N787" s="28">
        <f>IF(OR(TableauCB[[#This Row],[Etat]]="",TableauCB[[#This Row],[Etat]]="c"),IF(TableauCB[[#This Row],[Solde]]="","",N786),N786-TableauCB[[#This Row],[Débit]]+TableauCB[[#This Row],[Crédit]])</f>
        <v>8794.0160000000051</v>
      </c>
      <c r="O787" s="27">
        <f>IF(TableauCB[[#This Row],[Etat]]&lt;&gt;"",O786-TableauCB[[#This Row],[Débit]]+TableauCB[[#This Row],[Crédit]],O786-TableauCB[[#This Row],[Débit]])</f>
        <v>8674.019999999995</v>
      </c>
      <c r="P787" s="27">
        <f>IF(AND(ISBLANK(TableauCB[[#This Row],[Débit]]),ISBLANK(TableauCB[[#This Row],[Crédit]])),"",P786+TableauCB[[#This Row],[Crédit]]-TableauCB[[#This Row],[Débit]])</f>
        <v>7828.0160000000051</v>
      </c>
      <c r="Q787" s="26"/>
      <c r="R787" s="25"/>
      <c r="S787" s="25"/>
      <c r="T787" s="24"/>
      <c r="U787" s="24"/>
      <c r="V787" s="9"/>
      <c r="W787" s="2"/>
      <c r="X787" s="9"/>
      <c r="Y787" s="8"/>
      <c r="Z787" s="7"/>
      <c r="AA787" s="7"/>
      <c r="AB787" s="6"/>
    </row>
    <row r="788" spans="2:28" ht="30" hidden="1" customHeight="1">
      <c r="B788" s="35" t="str">
        <f>IF(MONTH(F787)&lt;&gt;MONTH(TableauCB[[#This Row],[Date d''éxigibilité]]),(TableauCB[[#This Row],[Date d''éxigibilité]]),"")</f>
        <v/>
      </c>
      <c r="C788" s="11" t="s">
        <v>33</v>
      </c>
      <c r="D788" s="11" t="s">
        <v>45</v>
      </c>
      <c r="E788" s="11" t="s">
        <v>10</v>
      </c>
      <c r="F788" s="34">
        <v>42574</v>
      </c>
      <c r="G788"/>
      <c r="H788"/>
      <c r="I788" s="32">
        <v>42578</v>
      </c>
      <c r="J788"/>
      <c r="K788" s="32">
        <v>42578</v>
      </c>
      <c r="L788" s="30"/>
      <c r="M788" s="29">
        <v>72</v>
      </c>
      <c r="N788" s="28">
        <f>IF(OR(TableauCB[[#This Row],[Etat]]="",TableauCB[[#This Row],[Etat]]="c"),IF(TableauCB[[#This Row],[Solde]]="","",N787),N787-TableauCB[[#This Row],[Débit]]+TableauCB[[#This Row],[Crédit]])</f>
        <v>8866.0160000000051</v>
      </c>
      <c r="O788" s="27">
        <f>IF(TableauCB[[#This Row],[Etat]]&lt;&gt;"",O787-TableauCB[[#This Row],[Débit]]+TableauCB[[#This Row],[Crédit]],O787-TableauCB[[#This Row],[Débit]])</f>
        <v>8746.019999999995</v>
      </c>
      <c r="P788" s="27">
        <f>IF(AND(ISBLANK(TableauCB[[#This Row],[Débit]]),ISBLANK(TableauCB[[#This Row],[Crédit]])),"",P787+TableauCB[[#This Row],[Crédit]]-TableauCB[[#This Row],[Débit]])</f>
        <v>7900.0160000000051</v>
      </c>
      <c r="Q788" s="26"/>
      <c r="R788" s="25"/>
      <c r="S788" s="25"/>
      <c r="T788" s="24"/>
      <c r="U788" s="24"/>
      <c r="V788" s="9"/>
      <c r="W788" s="2"/>
      <c r="X788" s="9"/>
      <c r="Y788" s="8"/>
      <c r="Z788" s="7"/>
      <c r="AA788" s="7"/>
      <c r="AB788" s="6"/>
    </row>
    <row r="789" spans="2:28" ht="30" hidden="1" customHeight="1">
      <c r="B789" s="35" t="str">
        <f>IF(MONTH(F788)&lt;&gt;MONTH(TableauCB[[#This Row],[Date d''éxigibilité]]),(TableauCB[[#This Row],[Date d''éxigibilité]]),"")</f>
        <v/>
      </c>
      <c r="C789" s="11" t="s">
        <v>33</v>
      </c>
      <c r="D789" s="11" t="s">
        <v>22</v>
      </c>
      <c r="E789" s="11" t="s">
        <v>43</v>
      </c>
      <c r="F789" s="34">
        <v>42576</v>
      </c>
      <c r="G789"/>
      <c r="H789"/>
      <c r="I789" s="32">
        <v>42592</v>
      </c>
      <c r="J789"/>
      <c r="K789" s="32">
        <v>42592</v>
      </c>
      <c r="L789" s="30">
        <v>480</v>
      </c>
      <c r="M789" s="29"/>
      <c r="N789" s="28">
        <f>IF(OR(TableauCB[[#This Row],[Etat]]="",TableauCB[[#This Row],[Etat]]="c"),IF(TableauCB[[#This Row],[Solde]]="","",N788),N788-TableauCB[[#This Row],[Débit]]+TableauCB[[#This Row],[Crédit]])</f>
        <v>8386.0160000000051</v>
      </c>
      <c r="O789" s="27">
        <f>IF(TableauCB[[#This Row],[Etat]]&lt;&gt;"",O788-TableauCB[[#This Row],[Débit]]+TableauCB[[#This Row],[Crédit]],O788-TableauCB[[#This Row],[Débit]])</f>
        <v>8266.019999999995</v>
      </c>
      <c r="P789" s="27">
        <f>IF(AND(ISBLANK(TableauCB[[#This Row],[Débit]]),ISBLANK(TableauCB[[#This Row],[Crédit]])),"",P788+TableauCB[[#This Row],[Crédit]]-TableauCB[[#This Row],[Débit]])</f>
        <v>7420.0160000000051</v>
      </c>
      <c r="Q789" s="26"/>
      <c r="R789" s="25"/>
      <c r="S789" s="25"/>
      <c r="T789" s="24"/>
      <c r="U789" s="24"/>
      <c r="V789" s="9"/>
      <c r="W789" s="2"/>
      <c r="X789" s="9"/>
      <c r="Y789" s="8"/>
      <c r="Z789" s="7"/>
      <c r="AA789" s="7"/>
      <c r="AB789" s="6"/>
    </row>
    <row r="790" spans="2:28" ht="30" hidden="1" customHeight="1">
      <c r="B790" s="35" t="str">
        <f>IF(MONTH(F789)&lt;&gt;MONTH(TableauCB[[#This Row],[Date d''éxigibilité]]),(TableauCB[[#This Row],[Date d''éxigibilité]]),"")</f>
        <v/>
      </c>
      <c r="C790" s="11" t="s">
        <v>33</v>
      </c>
      <c r="D790" s="11" t="s">
        <v>22</v>
      </c>
      <c r="E790" s="11" t="s">
        <v>17</v>
      </c>
      <c r="F790" s="34">
        <v>42578</v>
      </c>
      <c r="G790"/>
      <c r="H790"/>
      <c r="I790" s="32"/>
      <c r="J790"/>
      <c r="K790" s="32"/>
      <c r="L790" s="30">
        <v>39.72</v>
      </c>
      <c r="M790" s="29"/>
      <c r="N790" s="28">
        <f>IF(OR(TableauCB[[#This Row],[Etat]]="",TableauCB[[#This Row],[Etat]]="c"),IF(TableauCB[[#This Row],[Solde]]="","",N789),N789-TableauCB[[#This Row],[Débit]]+TableauCB[[#This Row],[Crédit]])</f>
        <v>8346.2960000000057</v>
      </c>
      <c r="O790" s="27">
        <f>IF(TableauCB[[#This Row],[Etat]]&lt;&gt;"",O789-TableauCB[[#This Row],[Débit]]+TableauCB[[#This Row],[Crédit]],O789-TableauCB[[#This Row],[Débit]])</f>
        <v>8226.2999999999956</v>
      </c>
      <c r="P790" s="27">
        <f>IF(AND(ISBLANK(TableauCB[[#This Row],[Débit]]),ISBLANK(TableauCB[[#This Row],[Crédit]])),"",P789+TableauCB[[#This Row],[Crédit]]-TableauCB[[#This Row],[Débit]])</f>
        <v>7380.2960000000048</v>
      </c>
      <c r="Q790" s="26"/>
      <c r="R790" s="25"/>
      <c r="S790" s="25"/>
      <c r="T790" s="24"/>
      <c r="U790" s="24"/>
      <c r="V790" s="9"/>
      <c r="W790" s="2"/>
      <c r="X790" s="9"/>
      <c r="Y790" s="8"/>
      <c r="Z790" s="7"/>
      <c r="AA790" s="7"/>
      <c r="AB790" s="6"/>
    </row>
    <row r="791" spans="2:28" ht="30" hidden="1" customHeight="1">
      <c r="B791" s="35" t="str">
        <f>IF(MONTH(F790)&lt;&gt;MONTH(TableauCB[[#This Row],[Date d''éxigibilité]]),(TableauCB[[#This Row],[Date d''éxigibilité]]),"")</f>
        <v/>
      </c>
      <c r="C791" s="11" t="s">
        <v>33</v>
      </c>
      <c r="D791" s="11" t="s">
        <v>11</v>
      </c>
      <c r="E791" s="11" t="s">
        <v>10</v>
      </c>
      <c r="F791" s="34">
        <v>42581</v>
      </c>
      <c r="G791"/>
      <c r="H791"/>
      <c r="I791" s="32">
        <v>42614</v>
      </c>
      <c r="J791"/>
      <c r="K791" s="32">
        <v>42616</v>
      </c>
      <c r="L791" s="30"/>
      <c r="M791" s="29">
        <v>108</v>
      </c>
      <c r="N791" s="28">
        <f>IF(OR(TableauCB[[#This Row],[Etat]]="",TableauCB[[#This Row],[Etat]]="c"),IF(TableauCB[[#This Row],[Solde]]="","",N790),N790-TableauCB[[#This Row],[Débit]]+TableauCB[[#This Row],[Crédit]])</f>
        <v>8454.2960000000057</v>
      </c>
      <c r="O791" s="27">
        <f>IF(TableauCB[[#This Row],[Etat]]&lt;&gt;"",O790-TableauCB[[#This Row],[Débit]]+TableauCB[[#This Row],[Crédit]],O790-TableauCB[[#This Row],[Débit]])</f>
        <v>8334.2999999999956</v>
      </c>
      <c r="P791" s="27">
        <f>IF(AND(ISBLANK(TableauCB[[#This Row],[Débit]]),ISBLANK(TableauCB[[#This Row],[Crédit]])),"",P790+TableauCB[[#This Row],[Crédit]]-TableauCB[[#This Row],[Débit]])</f>
        <v>7488.2960000000048</v>
      </c>
      <c r="Q791" s="26"/>
      <c r="T791" s="24"/>
      <c r="U791" s="24"/>
      <c r="V791" s="9"/>
      <c r="W791" s="2"/>
      <c r="X791" s="9"/>
      <c r="Y791" s="8"/>
      <c r="Z791" s="7"/>
      <c r="AA791" s="7"/>
      <c r="AB791" s="6"/>
    </row>
    <row r="792" spans="2:28" ht="30" hidden="1" customHeight="1">
      <c r="B792" s="35" t="str">
        <f>IF(MONTH(F791)&lt;&gt;MONTH(TableauCB[[#This Row],[Date d''éxigibilité]]),(TableauCB[[#This Row],[Date d''éxigibilité]]),"")</f>
        <v/>
      </c>
      <c r="C792" s="11" t="s">
        <v>33</v>
      </c>
      <c r="D792" s="11" t="s">
        <v>11</v>
      </c>
      <c r="E792" s="11" t="s">
        <v>10</v>
      </c>
      <c r="F792" s="34">
        <v>42581</v>
      </c>
      <c r="G792"/>
      <c r="H792"/>
      <c r="I792" s="32">
        <v>42679</v>
      </c>
      <c r="J792"/>
      <c r="K792" s="32"/>
      <c r="L792" s="30"/>
      <c r="M792" s="29">
        <v>198</v>
      </c>
      <c r="N792" s="28">
        <f>IF(OR(TableauCB[[#This Row],[Etat]]="",TableauCB[[#This Row],[Etat]]="c"),IF(TableauCB[[#This Row],[Solde]]="","",N791),N791-TableauCB[[#This Row],[Débit]]+TableauCB[[#This Row],[Crédit]])</f>
        <v>8652.2960000000057</v>
      </c>
      <c r="O792" s="27">
        <f>IF(TableauCB[[#This Row],[Etat]]&lt;&gt;"",O791-TableauCB[[#This Row],[Débit]]+TableauCB[[#This Row],[Crédit]],O791-TableauCB[[#This Row],[Débit]])</f>
        <v>8532.2999999999956</v>
      </c>
      <c r="P792" s="27">
        <f>IF(AND(ISBLANK(TableauCB[[#This Row],[Débit]]),ISBLANK(TableauCB[[#This Row],[Crédit]])),"",P791+TableauCB[[#This Row],[Crédit]]-TableauCB[[#This Row],[Débit]])</f>
        <v>7686.2960000000048</v>
      </c>
      <c r="Q792" s="26"/>
      <c r="T792" s="24"/>
      <c r="U792" s="24"/>
      <c r="V792" s="9"/>
      <c r="W792" s="2"/>
      <c r="X792" s="9"/>
      <c r="Y792" s="8"/>
      <c r="Z792" s="7"/>
      <c r="AA792" s="7"/>
      <c r="AB792" s="6"/>
    </row>
    <row r="793" spans="2:28" ht="30" hidden="1" customHeight="1">
      <c r="B793" s="35" t="str">
        <f>IF(MONTH(F792)&lt;&gt;MONTH(TableauCB[[#This Row],[Date d''éxigibilité]]),(TableauCB[[#This Row],[Date d''éxigibilité]]),"")</f>
        <v/>
      </c>
      <c r="C793" s="11" t="s">
        <v>33</v>
      </c>
      <c r="D793" s="11" t="s">
        <v>11</v>
      </c>
      <c r="E793" s="11" t="s">
        <v>10</v>
      </c>
      <c r="F793" s="34">
        <v>42581</v>
      </c>
      <c r="G793"/>
      <c r="H793"/>
      <c r="I793" s="32">
        <v>42662</v>
      </c>
      <c r="J793"/>
      <c r="K793" s="32">
        <v>42662</v>
      </c>
      <c r="L793" s="30"/>
      <c r="M793" s="29">
        <v>151.80000000000001</v>
      </c>
      <c r="N793" s="28">
        <f>IF(OR(TableauCB[[#This Row],[Etat]]="",TableauCB[[#This Row],[Etat]]="c"),IF(TableauCB[[#This Row],[Solde]]="","",N792),N792-TableauCB[[#This Row],[Débit]]+TableauCB[[#This Row],[Crédit]])</f>
        <v>8804.096000000005</v>
      </c>
      <c r="O793" s="27">
        <f>IF(TableauCB[[#This Row],[Etat]]&lt;&gt;"",O792-TableauCB[[#This Row],[Débit]]+TableauCB[[#This Row],[Crédit]],O792-TableauCB[[#This Row],[Débit]])</f>
        <v>8684.0999999999949</v>
      </c>
      <c r="P793" s="27">
        <f>IF(AND(ISBLANK(TableauCB[[#This Row],[Débit]]),ISBLANK(TableauCB[[#This Row],[Crédit]])),"",P792+TableauCB[[#This Row],[Crédit]]-TableauCB[[#This Row],[Débit]])</f>
        <v>7838.096000000005</v>
      </c>
      <c r="Q793" s="26"/>
      <c r="T793" s="24"/>
      <c r="U793" s="24"/>
      <c r="V793" s="9"/>
      <c r="W793" s="2"/>
      <c r="X793" s="9"/>
      <c r="Y793" s="8"/>
      <c r="Z793" s="7"/>
      <c r="AA793" s="7"/>
      <c r="AB793" s="6"/>
    </row>
    <row r="794" spans="2:28" ht="30" hidden="1" customHeight="1">
      <c r="B794" s="35" t="str">
        <f>IF(MONTH(F793)&lt;&gt;MONTH(TableauCB[[#This Row],[Date d''éxigibilité]]),(TableauCB[[#This Row],[Date d''éxigibilité]]),"")</f>
        <v/>
      </c>
      <c r="C794" s="11" t="s">
        <v>33</v>
      </c>
      <c r="D794" s="11" t="s">
        <v>11</v>
      </c>
      <c r="E794" s="11" t="s">
        <v>12</v>
      </c>
      <c r="F794" s="34">
        <v>42581</v>
      </c>
      <c r="G794"/>
      <c r="H794"/>
      <c r="I794" s="32">
        <v>42598</v>
      </c>
      <c r="J794"/>
      <c r="K794" s="32">
        <v>42602</v>
      </c>
      <c r="L794" s="30"/>
      <c r="M794" s="29">
        <v>522</v>
      </c>
      <c r="N794" s="28">
        <f>IF(OR(TableauCB[[#This Row],[Etat]]="",TableauCB[[#This Row],[Etat]]="c"),IF(TableauCB[[#This Row],[Solde]]="","",N793),N793-TableauCB[[#This Row],[Débit]]+TableauCB[[#This Row],[Crédit]])</f>
        <v>9326.096000000005</v>
      </c>
      <c r="O794" s="27">
        <f>IF(TableauCB[[#This Row],[Etat]]&lt;&gt;"",O793-TableauCB[[#This Row],[Débit]]+TableauCB[[#This Row],[Crédit]],O793-TableauCB[[#This Row],[Débit]])</f>
        <v>9206.0999999999949</v>
      </c>
      <c r="P794" s="27">
        <f>IF(AND(ISBLANK(TableauCB[[#This Row],[Débit]]),ISBLANK(TableauCB[[#This Row],[Crédit]])),"",P793+TableauCB[[#This Row],[Crédit]]-TableauCB[[#This Row],[Débit]])</f>
        <v>8360.096000000005</v>
      </c>
      <c r="Q794" s="26"/>
      <c r="T794" s="24"/>
      <c r="U794" s="24"/>
      <c r="V794" s="9"/>
      <c r="W794" s="2"/>
      <c r="X794" s="9"/>
      <c r="Y794" s="8"/>
      <c r="Z794" s="7"/>
      <c r="AA794" s="7"/>
      <c r="AB794" s="6"/>
    </row>
    <row r="795" spans="2:28" ht="30" hidden="1" customHeight="1">
      <c r="B795" s="35" t="str">
        <f>IF(MONTH(F794)&lt;&gt;MONTH(TableauCB[[#This Row],[Date d''éxigibilité]]),(TableauCB[[#This Row],[Date d''éxigibilité]]),"")</f>
        <v/>
      </c>
      <c r="C795" s="11" t="s">
        <v>33</v>
      </c>
      <c r="D795" s="11" t="s">
        <v>11</v>
      </c>
      <c r="E795" s="11" t="s">
        <v>10</v>
      </c>
      <c r="F795" s="34">
        <v>42581</v>
      </c>
      <c r="G795"/>
      <c r="H795"/>
      <c r="I795" s="32">
        <v>42590</v>
      </c>
      <c r="J795"/>
      <c r="K795" s="32">
        <v>42590</v>
      </c>
      <c r="L795" s="30"/>
      <c r="M795" s="29">
        <v>168.96</v>
      </c>
      <c r="N795" s="28">
        <f>IF(OR(TableauCB[[#This Row],[Etat]]="",TableauCB[[#This Row],[Etat]]="c"),IF(TableauCB[[#This Row],[Solde]]="","",N794),N794-TableauCB[[#This Row],[Débit]]+TableauCB[[#This Row],[Crédit]])</f>
        <v>9495.0560000000041</v>
      </c>
      <c r="O795" s="27">
        <f>IF(TableauCB[[#This Row],[Etat]]&lt;&gt;"",O794-TableauCB[[#This Row],[Débit]]+TableauCB[[#This Row],[Crédit]],O794-TableauCB[[#This Row],[Débit]])</f>
        <v>9375.059999999994</v>
      </c>
      <c r="P795" s="27">
        <f>IF(AND(ISBLANK(TableauCB[[#This Row],[Débit]]),ISBLANK(TableauCB[[#This Row],[Crédit]])),"",P794+TableauCB[[#This Row],[Crédit]]-TableauCB[[#This Row],[Débit]])</f>
        <v>8529.0560000000041</v>
      </c>
      <c r="Q795" s="26"/>
      <c r="T795" s="24"/>
      <c r="U795" s="24"/>
      <c r="V795" s="9"/>
      <c r="W795" s="2"/>
      <c r="X795" s="9"/>
      <c r="Y795" s="8"/>
      <c r="Z795" s="7"/>
      <c r="AA795" s="7"/>
      <c r="AB795" s="6"/>
    </row>
    <row r="796" spans="2:28" ht="30" hidden="1" customHeight="1">
      <c r="B796" s="35" t="str">
        <f>IF(MONTH(F795)&lt;&gt;MONTH(TableauCB[[#This Row],[Date d''éxigibilité]]),(TableauCB[[#This Row],[Date d''éxigibilité]]),"")</f>
        <v/>
      </c>
      <c r="C796" s="11" t="s">
        <v>33</v>
      </c>
      <c r="D796" s="11" t="s">
        <v>11</v>
      </c>
      <c r="E796" s="11" t="s">
        <v>10</v>
      </c>
      <c r="F796" s="34">
        <v>42581</v>
      </c>
      <c r="G796"/>
      <c r="H796"/>
      <c r="I796" s="32">
        <v>42614</v>
      </c>
      <c r="J796"/>
      <c r="K796" s="32">
        <v>42614</v>
      </c>
      <c r="L796" s="30"/>
      <c r="M796" s="29">
        <v>563.52</v>
      </c>
      <c r="N796" s="28">
        <f>IF(OR(TableauCB[[#This Row],[Etat]]="",TableauCB[[#This Row],[Etat]]="c"),IF(TableauCB[[#This Row],[Solde]]="","",N795),N795-TableauCB[[#This Row],[Débit]]+TableauCB[[#This Row],[Crédit]])</f>
        <v>10058.576000000005</v>
      </c>
      <c r="O796" s="27">
        <f>IF(TableauCB[[#This Row],[Etat]]&lt;&gt;"",O795-TableauCB[[#This Row],[Débit]]+TableauCB[[#This Row],[Crédit]],O795-TableauCB[[#This Row],[Débit]])</f>
        <v>9938.5799999999945</v>
      </c>
      <c r="P796" s="27">
        <f>IF(AND(ISBLANK(TableauCB[[#This Row],[Débit]]),ISBLANK(TableauCB[[#This Row],[Crédit]])),"",P795+TableauCB[[#This Row],[Crédit]]-TableauCB[[#This Row],[Débit]])</f>
        <v>9092.5760000000046</v>
      </c>
      <c r="Q796" s="26"/>
      <c r="T796" s="24"/>
      <c r="U796" s="24"/>
      <c r="V796" s="9"/>
      <c r="W796" s="2"/>
      <c r="X796" s="9"/>
      <c r="Y796" s="8"/>
      <c r="Z796" s="7"/>
      <c r="AA796" s="7"/>
      <c r="AB796" s="6"/>
    </row>
    <row r="797" spans="2:28" ht="30" hidden="1" customHeight="1">
      <c r="B797" s="35" t="str">
        <f>IF(MONTH(F796)&lt;&gt;MONTH(TableauCB[[#This Row],[Date d''éxigibilité]]),(TableauCB[[#This Row],[Date d''éxigibilité]]),"")</f>
        <v/>
      </c>
      <c r="C797" s="11" t="s">
        <v>33</v>
      </c>
      <c r="D797" s="11" t="s">
        <v>11</v>
      </c>
      <c r="E797" s="11" t="s">
        <v>12</v>
      </c>
      <c r="F797" s="34">
        <v>42581</v>
      </c>
      <c r="G797"/>
      <c r="H797"/>
      <c r="I797" s="32">
        <v>42588</v>
      </c>
      <c r="J797"/>
      <c r="K797" s="32">
        <v>42593</v>
      </c>
      <c r="L797" s="30"/>
      <c r="M797" s="29">
        <v>115.2</v>
      </c>
      <c r="N797" s="28">
        <f>IF(OR(TableauCB[[#This Row],[Etat]]="",TableauCB[[#This Row],[Etat]]="c"),IF(TableauCB[[#This Row],[Solde]]="","",N796),N796-TableauCB[[#This Row],[Débit]]+TableauCB[[#This Row],[Crédit]])</f>
        <v>10173.776000000005</v>
      </c>
      <c r="O797" s="27">
        <f>IF(TableauCB[[#This Row],[Etat]]&lt;&gt;"",O796-TableauCB[[#This Row],[Débit]]+TableauCB[[#This Row],[Crédit]],O796-TableauCB[[#This Row],[Débit]])</f>
        <v>10053.779999999995</v>
      </c>
      <c r="P797" s="27">
        <f>IF(AND(ISBLANK(TableauCB[[#This Row],[Débit]]),ISBLANK(TableauCB[[#This Row],[Crédit]])),"",P796+TableauCB[[#This Row],[Crédit]]-TableauCB[[#This Row],[Débit]])</f>
        <v>9207.7760000000053</v>
      </c>
      <c r="Q797" s="26"/>
      <c r="T797" s="24"/>
      <c r="U797" s="24"/>
      <c r="V797" s="9"/>
      <c r="W797" s="2"/>
      <c r="X797" s="9"/>
      <c r="Y797" s="8"/>
      <c r="Z797" s="7"/>
      <c r="AA797" s="7"/>
      <c r="AB797" s="6"/>
    </row>
    <row r="798" spans="2:28" ht="30" hidden="1" customHeight="1">
      <c r="B798" s="35" t="str">
        <f>IF(MONTH(F797)&lt;&gt;MONTH(TableauCB[[#This Row],[Date d''éxigibilité]]),(TableauCB[[#This Row],[Date d''éxigibilité]]),"")</f>
        <v/>
      </c>
      <c r="C798" s="11" t="s">
        <v>33</v>
      </c>
      <c r="D798" s="11" t="s">
        <v>11</v>
      </c>
      <c r="E798" s="11" t="s">
        <v>10</v>
      </c>
      <c r="F798" s="34">
        <v>42581</v>
      </c>
      <c r="G798"/>
      <c r="H798"/>
      <c r="I798" s="32">
        <v>42599</v>
      </c>
      <c r="J798"/>
      <c r="K798" s="32">
        <v>42602</v>
      </c>
      <c r="L798" s="30"/>
      <c r="M798" s="29">
        <v>510</v>
      </c>
      <c r="N798" s="28">
        <f>IF(OR(TableauCB[[#This Row],[Etat]]="",TableauCB[[#This Row],[Etat]]="c"),IF(TableauCB[[#This Row],[Solde]]="","",N797),N797-TableauCB[[#This Row],[Débit]]+TableauCB[[#This Row],[Crédit]])</f>
        <v>10683.776000000005</v>
      </c>
      <c r="O798" s="27">
        <f>IF(TableauCB[[#This Row],[Etat]]&lt;&gt;"",O797-TableauCB[[#This Row],[Débit]]+TableauCB[[#This Row],[Crédit]],O797-TableauCB[[#This Row],[Débit]])</f>
        <v>10563.779999999995</v>
      </c>
      <c r="P798" s="27">
        <f>IF(AND(ISBLANK(TableauCB[[#This Row],[Débit]]),ISBLANK(TableauCB[[#This Row],[Crédit]])),"",P797+TableauCB[[#This Row],[Crédit]]-TableauCB[[#This Row],[Débit]])</f>
        <v>9717.7760000000053</v>
      </c>
      <c r="Q798" s="26"/>
      <c r="T798" s="24"/>
      <c r="U798" s="24"/>
      <c r="V798" s="9"/>
      <c r="W798" s="2"/>
      <c r="X798" s="9"/>
      <c r="Y798" s="8"/>
      <c r="Z798" s="7"/>
      <c r="AA798" s="7"/>
      <c r="AB798" s="6"/>
    </row>
    <row r="799" spans="2:28" ht="30" hidden="1" customHeight="1">
      <c r="B799" s="35" t="str">
        <f>IF(MONTH(F798)&lt;&gt;MONTH(TableauCB[[#This Row],[Date d''éxigibilité]]),(TableauCB[[#This Row],[Date d''éxigibilité]]),"")</f>
        <v/>
      </c>
      <c r="C799" s="11" t="s">
        <v>33</v>
      </c>
      <c r="D799" s="11" t="s">
        <v>22</v>
      </c>
      <c r="E799" s="11" t="s">
        <v>43</v>
      </c>
      <c r="F799" s="34">
        <v>42581</v>
      </c>
      <c r="G799"/>
      <c r="H799"/>
      <c r="I799" s="32">
        <v>42593</v>
      </c>
      <c r="J799"/>
      <c r="K799" s="32">
        <v>42599</v>
      </c>
      <c r="L799" s="30">
        <v>240</v>
      </c>
      <c r="M799" s="29"/>
      <c r="N799" s="28">
        <f>IF(OR(TableauCB[[#This Row],[Etat]]="",TableauCB[[#This Row],[Etat]]="c"),IF(TableauCB[[#This Row],[Solde]]="","",N798),N798-TableauCB[[#This Row],[Débit]]+TableauCB[[#This Row],[Crédit]])</f>
        <v>10443.776000000005</v>
      </c>
      <c r="O799" s="27">
        <f>IF(TableauCB[[#This Row],[Etat]]&lt;&gt;"",O798-TableauCB[[#This Row],[Débit]]+TableauCB[[#This Row],[Crédit]],O798-TableauCB[[#This Row],[Débit]])</f>
        <v>10323.779999999995</v>
      </c>
      <c r="P799" s="27">
        <f>IF(AND(ISBLANK(TableauCB[[#This Row],[Débit]]),ISBLANK(TableauCB[[#This Row],[Crédit]])),"",P798+TableauCB[[#This Row],[Crédit]]-TableauCB[[#This Row],[Débit]])</f>
        <v>9477.7760000000053</v>
      </c>
      <c r="Q799" s="26"/>
      <c r="T799" s="24"/>
      <c r="U799" s="24"/>
      <c r="V799" s="9"/>
      <c r="W799" s="2"/>
      <c r="X799" s="9"/>
      <c r="Y799" s="8"/>
      <c r="Z799" s="7"/>
      <c r="AA799" s="7"/>
      <c r="AB799" s="6"/>
    </row>
    <row r="800" spans="2:28" ht="30" hidden="1" customHeight="1">
      <c r="B800" s="35" t="str">
        <f>IF(MONTH(F799)&lt;&gt;MONTH(TableauCB[[#This Row],[Date d''éxigibilité]]),(TableauCB[[#This Row],[Date d''éxigibilité]]),"")</f>
        <v/>
      </c>
      <c r="C800" s="11" t="s">
        <v>33</v>
      </c>
      <c r="D800" s="11" t="s">
        <v>5</v>
      </c>
      <c r="E800" s="11" t="s">
        <v>7</v>
      </c>
      <c r="F800" s="34">
        <v>42581</v>
      </c>
      <c r="G800"/>
      <c r="H800"/>
      <c r="I800" s="32">
        <v>42586</v>
      </c>
      <c r="J800"/>
      <c r="K800" s="32">
        <v>42586</v>
      </c>
      <c r="L800" s="30">
        <v>520.66999999999996</v>
      </c>
      <c r="M800" s="29"/>
      <c r="N800" s="28">
        <f>IF(OR(TableauCB[[#This Row],[Etat]]="",TableauCB[[#This Row],[Etat]]="c"),IF(TableauCB[[#This Row],[Solde]]="","",N799),N799-TableauCB[[#This Row],[Débit]]+TableauCB[[#This Row],[Crédit]])</f>
        <v>9923.1060000000052</v>
      </c>
      <c r="O800" s="27">
        <f>IF(TableauCB[[#This Row],[Etat]]&lt;&gt;"",O799-TableauCB[[#This Row],[Débit]]+TableauCB[[#This Row],[Crédit]],O799-TableauCB[[#This Row],[Débit]])</f>
        <v>9803.1099999999951</v>
      </c>
      <c r="P800" s="27">
        <f>IF(AND(ISBLANK(TableauCB[[#This Row],[Débit]]),ISBLANK(TableauCB[[#This Row],[Crédit]])),"",P799+TableauCB[[#This Row],[Crédit]]-TableauCB[[#This Row],[Débit]])</f>
        <v>8957.1060000000052</v>
      </c>
      <c r="Q800" s="26"/>
      <c r="R800" s="36"/>
      <c r="S800" s="36"/>
      <c r="T800" s="24"/>
      <c r="U800" s="24"/>
      <c r="V800" s="9"/>
      <c r="W800" s="2"/>
      <c r="X800" s="9"/>
      <c r="Y800" s="8"/>
      <c r="Z800" s="7"/>
      <c r="AA800" s="7"/>
      <c r="AB800" s="6"/>
    </row>
    <row r="801" spans="2:28" ht="30" hidden="1" customHeight="1">
      <c r="B801" s="35" t="str">
        <f>IF(MONTH(F800)&lt;&gt;MONTH(TableauCB[[#This Row],[Date d''éxigibilité]]),(TableauCB[[#This Row],[Date d''éxigibilité]]),"")</f>
        <v/>
      </c>
      <c r="C801" s="11" t="s">
        <v>33</v>
      </c>
      <c r="D801" s="11" t="s">
        <v>5</v>
      </c>
      <c r="E801" s="11" t="s">
        <v>6</v>
      </c>
      <c r="F801" s="34">
        <v>42581</v>
      </c>
      <c r="G801"/>
      <c r="H801"/>
      <c r="I801" s="32">
        <v>42593</v>
      </c>
      <c r="J801"/>
      <c r="K801" s="32">
        <v>42597</v>
      </c>
      <c r="L801" s="30">
        <v>163.61000000000001</v>
      </c>
      <c r="M801" s="29"/>
      <c r="N801" s="28">
        <f>IF(OR(TableauCB[[#This Row],[Etat]]="",TableauCB[[#This Row],[Etat]]="c"),IF(TableauCB[[#This Row],[Solde]]="","",N800),N800-TableauCB[[#This Row],[Débit]]+TableauCB[[#This Row],[Crédit]])</f>
        <v>9759.4960000000046</v>
      </c>
      <c r="O801" s="27">
        <f>IF(TableauCB[[#This Row],[Etat]]&lt;&gt;"",O800-TableauCB[[#This Row],[Débit]]+TableauCB[[#This Row],[Crédit]],O800-TableauCB[[#This Row],[Débit]])</f>
        <v>9639.4999999999945</v>
      </c>
      <c r="P801" s="27">
        <f>IF(AND(ISBLANK(TableauCB[[#This Row],[Débit]]),ISBLANK(TableauCB[[#This Row],[Crédit]])),"",P800+TableauCB[[#This Row],[Crédit]]-TableauCB[[#This Row],[Débit]])</f>
        <v>8793.4960000000046</v>
      </c>
      <c r="Q801" s="26"/>
      <c r="R801" s="25">
        <v>-2852.54</v>
      </c>
      <c r="S801" s="25"/>
      <c r="T801" s="24"/>
      <c r="U801" s="24"/>
      <c r="V801" s="9"/>
      <c r="W801" s="2"/>
      <c r="X801" s="9"/>
      <c r="Y801" s="8"/>
      <c r="Z801" s="7"/>
      <c r="AA801" s="7"/>
      <c r="AB801" s="6"/>
    </row>
    <row r="802" spans="2:28" ht="30" hidden="1" customHeight="1">
      <c r="B802" s="35">
        <f>IF(MONTH(F801)&lt;&gt;MONTH(TableauCB[[#This Row],[Date d''éxigibilité]]),(TableauCB[[#This Row],[Date d''éxigibilité]]),"")</f>
        <v>42585</v>
      </c>
      <c r="C802" s="11" t="s">
        <v>33</v>
      </c>
      <c r="D802" s="11" t="s">
        <v>30</v>
      </c>
      <c r="E802" s="11" t="s">
        <v>30</v>
      </c>
      <c r="F802" s="34">
        <v>42585</v>
      </c>
      <c r="G802"/>
      <c r="H802"/>
      <c r="I802" s="32">
        <v>42590</v>
      </c>
      <c r="J802"/>
      <c r="K802" s="32">
        <v>42598</v>
      </c>
      <c r="L802" s="30">
        <v>82.06</v>
      </c>
      <c r="M802" s="29"/>
      <c r="N802" s="28">
        <f>IF(OR(TableauCB[[#This Row],[Etat]]="",TableauCB[[#This Row],[Etat]]="c"),IF(TableauCB[[#This Row],[Solde]]="","",N801),N801-TableauCB[[#This Row],[Débit]]+TableauCB[[#This Row],[Crédit]])</f>
        <v>9677.4360000000052</v>
      </c>
      <c r="O802" s="27">
        <f>IF(TableauCB[[#This Row],[Etat]]&lt;&gt;"",O801-TableauCB[[#This Row],[Débit]]+TableauCB[[#This Row],[Crédit]],O801-TableauCB[[#This Row],[Débit]])</f>
        <v>9557.4399999999951</v>
      </c>
      <c r="P802" s="27">
        <f>IF(AND(ISBLANK(TableauCB[[#This Row],[Débit]]),ISBLANK(TableauCB[[#This Row],[Crédit]])),"",P801+TableauCB[[#This Row],[Crédit]]-TableauCB[[#This Row],[Débit]])</f>
        <v>8711.4360000000052</v>
      </c>
      <c r="Q802" s="26"/>
      <c r="R802" s="25"/>
      <c r="S802" s="25"/>
      <c r="T802" s="24"/>
      <c r="U802" s="24"/>
      <c r="V802" s="9"/>
      <c r="W802" s="2"/>
      <c r="X802" s="9"/>
      <c r="Y802" s="8"/>
      <c r="Z802" s="7"/>
      <c r="AA802" s="7"/>
      <c r="AB802" s="6"/>
    </row>
    <row r="803" spans="2:28" ht="30" hidden="1" customHeight="1">
      <c r="B803" s="35" t="str">
        <f>IF(MONTH(F802)&lt;&gt;MONTH(TableauCB[[#This Row],[Date d''éxigibilité]]),(TableauCB[[#This Row],[Date d''éxigibilité]]),"")</f>
        <v/>
      </c>
      <c r="C803" s="11" t="s">
        <v>33</v>
      </c>
      <c r="D803" s="11" t="s">
        <v>22</v>
      </c>
      <c r="E803" s="11" t="s">
        <v>46</v>
      </c>
      <c r="F803" s="34">
        <v>42587</v>
      </c>
      <c r="G803"/>
      <c r="H803"/>
      <c r="I803" s="32"/>
      <c r="J803"/>
      <c r="K803" s="31"/>
      <c r="L803" s="30">
        <v>48</v>
      </c>
      <c r="M803" s="29"/>
      <c r="N803" s="28">
        <f>IF(OR(TableauCB[[#This Row],[Etat]]="",TableauCB[[#This Row],[Etat]]="c"),IF(TableauCB[[#This Row],[Solde]]="","",N802),N802-TableauCB[[#This Row],[Débit]]+TableauCB[[#This Row],[Crédit]])</f>
        <v>9629.4360000000052</v>
      </c>
      <c r="O803" s="27">
        <f>IF(TableauCB[[#This Row],[Etat]]&lt;&gt;"",O802-TableauCB[[#This Row],[Débit]]+TableauCB[[#This Row],[Crédit]],O802-TableauCB[[#This Row],[Débit]])</f>
        <v>9509.4399999999951</v>
      </c>
      <c r="P803" s="27">
        <f>IF(AND(ISBLANK(TableauCB[[#This Row],[Débit]]),ISBLANK(TableauCB[[#This Row],[Crédit]])),"",P802+TableauCB[[#This Row],[Crédit]]-TableauCB[[#This Row],[Débit]])</f>
        <v>8663.4360000000052</v>
      </c>
      <c r="Q803" s="26"/>
      <c r="R803" s="25"/>
      <c r="S803" s="25"/>
      <c r="T803" s="24"/>
      <c r="U803" s="24"/>
      <c r="V803" s="9"/>
      <c r="W803" s="2"/>
      <c r="X803" s="9"/>
      <c r="Y803" s="8"/>
      <c r="Z803" s="7"/>
      <c r="AA803" s="7"/>
      <c r="AB803" s="6"/>
    </row>
    <row r="804" spans="2:28" ht="30" hidden="1" customHeight="1">
      <c r="B804" s="35" t="str">
        <f>IF(MONTH(F803)&lt;&gt;MONTH(TableauCB[[#This Row],[Date d''éxigibilité]]),(TableauCB[[#This Row],[Date d''éxigibilité]]),"")</f>
        <v/>
      </c>
      <c r="C804" s="11" t="s">
        <v>33</v>
      </c>
      <c r="D804" s="11" t="s">
        <v>22</v>
      </c>
      <c r="E804" s="11" t="s">
        <v>37</v>
      </c>
      <c r="F804" s="34">
        <v>42588</v>
      </c>
      <c r="G804"/>
      <c r="H804"/>
      <c r="I804" s="32"/>
      <c r="J804"/>
      <c r="K804" s="31"/>
      <c r="L804" s="30">
        <v>92.5</v>
      </c>
      <c r="M804" s="29"/>
      <c r="N804" s="28">
        <f>IF(OR(TableauCB[[#This Row],[Etat]]="",TableauCB[[#This Row],[Etat]]="c"),IF(TableauCB[[#This Row],[Solde]]="","",N803),N803-TableauCB[[#This Row],[Débit]]+TableauCB[[#This Row],[Crédit]])</f>
        <v>9536.9360000000052</v>
      </c>
      <c r="O804" s="27">
        <f>IF(TableauCB[[#This Row],[Etat]]&lt;&gt;"",O803-TableauCB[[#This Row],[Débit]]+TableauCB[[#This Row],[Crédit]],O803-TableauCB[[#This Row],[Débit]])</f>
        <v>9416.9399999999951</v>
      </c>
      <c r="P804" s="27">
        <f>IF(AND(ISBLANK(TableauCB[[#This Row],[Débit]]),ISBLANK(TableauCB[[#This Row],[Crédit]])),"",P803+TableauCB[[#This Row],[Crédit]]-TableauCB[[#This Row],[Débit]])</f>
        <v>8570.9360000000052</v>
      </c>
      <c r="Q804" s="26"/>
      <c r="R804" s="25"/>
      <c r="S804" s="25"/>
      <c r="T804" s="24"/>
      <c r="U804" s="24"/>
      <c r="V804" s="9"/>
      <c r="W804" s="2"/>
      <c r="X804" s="9"/>
      <c r="Y804" s="8"/>
      <c r="Z804" s="7"/>
      <c r="AA804" s="7"/>
      <c r="AB804" s="6"/>
    </row>
    <row r="805" spans="2:28" ht="30" hidden="1" customHeight="1">
      <c r="B805" s="35" t="str">
        <f>IF(MONTH(F804)&lt;&gt;MONTH(TableauCB[[#This Row],[Date d''éxigibilité]]),(TableauCB[[#This Row],[Date d''éxigibilité]]),"")</f>
        <v/>
      </c>
      <c r="C805" s="11" t="s">
        <v>33</v>
      </c>
      <c r="D805" s="11" t="s">
        <v>22</v>
      </c>
      <c r="E805" s="11" t="s">
        <v>21</v>
      </c>
      <c r="F805" s="34">
        <v>42591</v>
      </c>
      <c r="G805"/>
      <c r="H805"/>
      <c r="I805" s="34">
        <v>42591</v>
      </c>
      <c r="J805"/>
      <c r="K805" s="34">
        <v>42591</v>
      </c>
      <c r="L805" s="30">
        <v>22.2</v>
      </c>
      <c r="M805" s="29"/>
      <c r="N805" s="28">
        <f>IF(OR(TableauCB[[#This Row],[Etat]]="",TableauCB[[#This Row],[Etat]]="c"),IF(TableauCB[[#This Row],[Solde]]="","",N804),N804-TableauCB[[#This Row],[Débit]]+TableauCB[[#This Row],[Crédit]])</f>
        <v>9514.7360000000044</v>
      </c>
      <c r="O805" s="27">
        <f>IF(TableauCB[[#This Row],[Etat]]&lt;&gt;"",O804-TableauCB[[#This Row],[Débit]]+TableauCB[[#This Row],[Crédit]],O804-TableauCB[[#This Row],[Débit]])</f>
        <v>9394.7399999999943</v>
      </c>
      <c r="P805" s="27">
        <f>IF(AND(ISBLANK(TableauCB[[#This Row],[Débit]]),ISBLANK(TableauCB[[#This Row],[Crédit]])),"",P804+TableauCB[[#This Row],[Crédit]]-TableauCB[[#This Row],[Débit]])</f>
        <v>8548.7360000000044</v>
      </c>
      <c r="Q805" s="26"/>
      <c r="R805" s="25"/>
      <c r="S805" s="25"/>
      <c r="T805" s="24"/>
      <c r="U805" s="24"/>
      <c r="V805" s="9"/>
      <c r="W805" s="2"/>
      <c r="X805" s="9"/>
      <c r="Y805" s="8"/>
      <c r="Z805" s="7"/>
      <c r="AA805" s="7"/>
      <c r="AB805" s="6"/>
    </row>
    <row r="806" spans="2:28" ht="30" hidden="1" customHeight="1">
      <c r="B806" s="35" t="str">
        <f>IF(MONTH(F805)&lt;&gt;MONTH(TableauCB[[#This Row],[Date d''éxigibilité]]),(TableauCB[[#This Row],[Date d''éxigibilité]]),"")</f>
        <v/>
      </c>
      <c r="C806" s="11" t="s">
        <v>33</v>
      </c>
      <c r="D806" s="11" t="s">
        <v>5</v>
      </c>
      <c r="E806" s="11" t="s">
        <v>6</v>
      </c>
      <c r="F806" s="34">
        <v>42593</v>
      </c>
      <c r="G806"/>
      <c r="H806"/>
      <c r="I806" s="32">
        <v>42593</v>
      </c>
      <c r="J806"/>
      <c r="K806" s="31">
        <v>42597</v>
      </c>
      <c r="L806" s="30">
        <v>491.72</v>
      </c>
      <c r="M806" s="29"/>
      <c r="N806" s="28">
        <f>IF(OR(TableauCB[[#This Row],[Etat]]="",TableauCB[[#This Row],[Etat]]="c"),IF(TableauCB[[#This Row],[Solde]]="","",N805),N805-TableauCB[[#This Row],[Débit]]+TableauCB[[#This Row],[Crédit]])</f>
        <v>9023.0160000000051</v>
      </c>
      <c r="O806" s="27">
        <f>IF(TableauCB[[#This Row],[Etat]]&lt;&gt;"",O805-TableauCB[[#This Row],[Débit]]+TableauCB[[#This Row],[Crédit]],O805-TableauCB[[#This Row],[Débit]])</f>
        <v>8903.019999999995</v>
      </c>
      <c r="P806" s="27">
        <f>IF(AND(ISBLANK(TableauCB[[#This Row],[Débit]]),ISBLANK(TableauCB[[#This Row],[Crédit]])),"",P805+TableauCB[[#This Row],[Crédit]]-TableauCB[[#This Row],[Débit]])</f>
        <v>8057.0160000000042</v>
      </c>
      <c r="Q806" s="26"/>
      <c r="R806" s="25"/>
      <c r="S806" s="25"/>
      <c r="T806" s="24"/>
      <c r="U806" s="24"/>
      <c r="V806" s="9"/>
      <c r="W806" s="2"/>
      <c r="X806" s="9"/>
      <c r="Y806" s="8"/>
      <c r="Z806" s="7"/>
      <c r="AA806" s="7"/>
      <c r="AB806" s="6"/>
    </row>
    <row r="807" spans="2:28" ht="30" hidden="1" customHeight="1">
      <c r="B807" s="35" t="str">
        <f>IF(MONTH(F806)&lt;&gt;MONTH(TableauCB[[#This Row],[Date d''éxigibilité]]),(TableauCB[[#This Row],[Date d''éxigibilité]]),"")</f>
        <v/>
      </c>
      <c r="C807" s="11" t="s">
        <v>33</v>
      </c>
      <c r="D807" s="11" t="s">
        <v>15</v>
      </c>
      <c r="E807" s="11" t="s">
        <v>19</v>
      </c>
      <c r="F807" s="34">
        <v>42597</v>
      </c>
      <c r="G807"/>
      <c r="H807"/>
      <c r="I807" s="32">
        <v>42599</v>
      </c>
      <c r="J807"/>
      <c r="K807" s="31">
        <v>42599</v>
      </c>
      <c r="L807" s="30">
        <v>39</v>
      </c>
      <c r="M807" s="29"/>
      <c r="N807" s="28">
        <f>IF(OR(TableauCB[[#This Row],[Etat]]="",TableauCB[[#This Row],[Etat]]="c"),IF(TableauCB[[#This Row],[Solde]]="","",N806),N806-TableauCB[[#This Row],[Débit]]+TableauCB[[#This Row],[Crédit]])</f>
        <v>8984.0160000000051</v>
      </c>
      <c r="O807" s="27">
        <f>IF(TableauCB[[#This Row],[Etat]]&lt;&gt;"",O806-TableauCB[[#This Row],[Débit]]+TableauCB[[#This Row],[Crédit]],O806-TableauCB[[#This Row],[Débit]])</f>
        <v>8864.019999999995</v>
      </c>
      <c r="P807" s="27">
        <f>IF(AND(ISBLANK(TableauCB[[#This Row],[Débit]]),ISBLANK(TableauCB[[#This Row],[Crédit]])),"",P806+TableauCB[[#This Row],[Crédit]]-TableauCB[[#This Row],[Débit]])</f>
        <v>8018.0160000000042</v>
      </c>
      <c r="Q807" s="26"/>
      <c r="R807" s="25"/>
      <c r="S807" s="25"/>
      <c r="T807" s="24"/>
      <c r="U807" s="24"/>
      <c r="V807" s="9"/>
      <c r="W807" s="2"/>
      <c r="X807" s="9"/>
      <c r="Y807" s="8"/>
      <c r="Z807" s="7"/>
      <c r="AA807" s="7"/>
      <c r="AB807" s="6"/>
    </row>
    <row r="808" spans="2:28" ht="30" hidden="1" customHeight="1">
      <c r="B808" s="35" t="str">
        <f>IF(MONTH(F807)&lt;&gt;MONTH(TableauCB[[#This Row],[Date d''éxigibilité]]),(TableauCB[[#This Row],[Date d''éxigibilité]]),"")</f>
        <v/>
      </c>
      <c r="C808" s="11" t="s">
        <v>33</v>
      </c>
      <c r="D808" s="11" t="s">
        <v>22</v>
      </c>
      <c r="E808" s="11" t="s">
        <v>17</v>
      </c>
      <c r="F808" s="34">
        <v>42597</v>
      </c>
      <c r="G808"/>
      <c r="H808"/>
      <c r="I808" s="32">
        <v>42598</v>
      </c>
      <c r="J808"/>
      <c r="K808" s="31">
        <v>42598</v>
      </c>
      <c r="L808" s="30">
        <v>45.6</v>
      </c>
      <c r="M808" s="29"/>
      <c r="N808" s="28">
        <f>IF(OR(TableauCB[[#This Row],[Etat]]="",TableauCB[[#This Row],[Etat]]="c"),IF(TableauCB[[#This Row],[Solde]]="","",N807),N807-TableauCB[[#This Row],[Débit]]+TableauCB[[#This Row],[Crédit]])</f>
        <v>8938.4160000000047</v>
      </c>
      <c r="O808" s="27">
        <f>IF(TableauCB[[#This Row],[Etat]]&lt;&gt;"",O807-TableauCB[[#This Row],[Débit]]+TableauCB[[#This Row],[Crédit]],O807-TableauCB[[#This Row],[Débit]])</f>
        <v>8818.4199999999946</v>
      </c>
      <c r="P808" s="27">
        <f>IF(AND(ISBLANK(TableauCB[[#This Row],[Débit]]),ISBLANK(TableauCB[[#This Row],[Crédit]])),"",P807+TableauCB[[#This Row],[Crédit]]-TableauCB[[#This Row],[Débit]])</f>
        <v>7972.4160000000038</v>
      </c>
      <c r="Q808" s="26"/>
      <c r="R808" s="25"/>
      <c r="S808" s="25"/>
      <c r="T808" s="24"/>
      <c r="U808" s="24"/>
      <c r="V808" s="9"/>
      <c r="W808" s="2"/>
      <c r="X808" s="9"/>
      <c r="Y808" s="8"/>
      <c r="Z808" s="7"/>
      <c r="AA808" s="7"/>
      <c r="AB808" s="6"/>
    </row>
    <row r="809" spans="2:28" ht="30" hidden="1" customHeight="1">
      <c r="B809" s="35" t="str">
        <f>IF(MONTH(F808)&lt;&gt;MONTH(TableauCB[[#This Row],[Date d''éxigibilité]]),(TableauCB[[#This Row],[Date d''éxigibilité]]),"")</f>
        <v/>
      </c>
      <c r="C809" s="11" t="s">
        <v>33</v>
      </c>
      <c r="D809" s="11" t="s">
        <v>22</v>
      </c>
      <c r="E809" s="11" t="s">
        <v>37</v>
      </c>
      <c r="F809" s="34">
        <v>42601</v>
      </c>
      <c r="G809"/>
      <c r="H809"/>
      <c r="I809" s="32">
        <v>42601</v>
      </c>
      <c r="J809"/>
      <c r="K809" s="31">
        <v>42604</v>
      </c>
      <c r="L809" s="30">
        <v>192.5</v>
      </c>
      <c r="M809" s="29"/>
      <c r="N809" s="28">
        <f>IF(OR(TableauCB[[#This Row],[Etat]]="",TableauCB[[#This Row],[Etat]]="c"),IF(TableauCB[[#This Row],[Solde]]="","",N808),N808-TableauCB[[#This Row],[Débit]]+TableauCB[[#This Row],[Crédit]])</f>
        <v>8745.9160000000047</v>
      </c>
      <c r="O809" s="27">
        <f>IF(TableauCB[[#This Row],[Etat]]&lt;&gt;"",O808-TableauCB[[#This Row],[Débit]]+TableauCB[[#This Row],[Crédit]],O808-TableauCB[[#This Row],[Débit]])</f>
        <v>8625.9199999999946</v>
      </c>
      <c r="P809" s="27">
        <f>IF(AND(ISBLANK(TableauCB[[#This Row],[Débit]]),ISBLANK(TableauCB[[#This Row],[Crédit]])),"",P808+TableauCB[[#This Row],[Crédit]]-TableauCB[[#This Row],[Débit]])</f>
        <v>7779.9160000000038</v>
      </c>
      <c r="Q809" s="26"/>
      <c r="R809" s="25"/>
      <c r="S809" s="25"/>
      <c r="T809" s="24"/>
      <c r="U809" s="24"/>
      <c r="V809" s="9"/>
      <c r="W809" s="2"/>
      <c r="X809" s="9"/>
      <c r="Y809" s="8"/>
      <c r="Z809" s="7"/>
      <c r="AA809" s="7"/>
      <c r="AB809" s="6"/>
    </row>
    <row r="810" spans="2:28" ht="30" hidden="1" customHeight="1">
      <c r="B810" s="35" t="str">
        <f>IF(MONTH(F809)&lt;&gt;MONTH(TableauCB[[#This Row],[Date d''éxigibilité]]),(TableauCB[[#This Row],[Date d''éxigibilité]]),"")</f>
        <v/>
      </c>
      <c r="C810" s="11" t="s">
        <v>33</v>
      </c>
      <c r="D810" s="11" t="s">
        <v>30</v>
      </c>
      <c r="E810" s="11" t="s">
        <v>41</v>
      </c>
      <c r="F810" s="34">
        <v>42601</v>
      </c>
      <c r="G810"/>
      <c r="H810"/>
      <c r="I810" s="32">
        <v>42604</v>
      </c>
      <c r="J810"/>
      <c r="K810" s="31">
        <v>42629</v>
      </c>
      <c r="L810" s="30">
        <v>288.56</v>
      </c>
      <c r="M810" s="29"/>
      <c r="N810" s="28">
        <f>IF(OR(TableauCB[[#This Row],[Etat]]="",TableauCB[[#This Row],[Etat]]="c"),IF(TableauCB[[#This Row],[Solde]]="","",N809),N809-TableauCB[[#This Row],[Débit]]+TableauCB[[#This Row],[Crédit]])</f>
        <v>8457.3560000000052</v>
      </c>
      <c r="O810" s="27">
        <f>IF(TableauCB[[#This Row],[Etat]]&lt;&gt;"",O809-TableauCB[[#This Row],[Débit]]+TableauCB[[#This Row],[Crédit]],O809-TableauCB[[#This Row],[Débit]])</f>
        <v>8337.3599999999951</v>
      </c>
      <c r="P810" s="27">
        <f>IF(AND(ISBLANK(TableauCB[[#This Row],[Débit]]),ISBLANK(TableauCB[[#This Row],[Crédit]])),"",P809+TableauCB[[#This Row],[Crédit]]-TableauCB[[#This Row],[Débit]])</f>
        <v>7491.3560000000034</v>
      </c>
      <c r="Q810" s="26"/>
      <c r="R810" s="25"/>
      <c r="S810" s="25"/>
      <c r="T810" s="24"/>
      <c r="U810" s="24"/>
      <c r="V810" s="9"/>
      <c r="W810" s="2"/>
      <c r="X810" s="9"/>
      <c r="Y810" s="8"/>
      <c r="Z810" s="7"/>
      <c r="AA810" s="7"/>
      <c r="AB810" s="6"/>
    </row>
    <row r="811" spans="2:28" ht="30" hidden="1" customHeight="1">
      <c r="B811" s="35" t="str">
        <f>IF(MONTH(F810)&lt;&gt;MONTH(TableauCB[[#This Row],[Date d''éxigibilité]]),(TableauCB[[#This Row],[Date d''éxigibilité]]),"")</f>
        <v/>
      </c>
      <c r="C811" s="11" t="s">
        <v>33</v>
      </c>
      <c r="D811" s="11" t="s">
        <v>22</v>
      </c>
      <c r="E811" s="11" t="s">
        <v>17</v>
      </c>
      <c r="F811" s="34">
        <v>42602</v>
      </c>
      <c r="G811"/>
      <c r="H811"/>
      <c r="I811" s="32">
        <v>42608</v>
      </c>
      <c r="J811"/>
      <c r="K811" s="31">
        <v>42608</v>
      </c>
      <c r="L811" s="30">
        <v>3.59</v>
      </c>
      <c r="M811" s="29"/>
      <c r="N811" s="28">
        <f>IF(OR(TableauCB[[#This Row],[Etat]]="",TableauCB[[#This Row],[Etat]]="c"),IF(TableauCB[[#This Row],[Solde]]="","",N810),N810-TableauCB[[#This Row],[Débit]]+TableauCB[[#This Row],[Crédit]])</f>
        <v>8453.7660000000051</v>
      </c>
      <c r="O811" s="27">
        <f>IF(TableauCB[[#This Row],[Etat]]&lt;&gt;"",O810-TableauCB[[#This Row],[Débit]]+TableauCB[[#This Row],[Crédit]],O810-TableauCB[[#This Row],[Débit]])</f>
        <v>8333.769999999995</v>
      </c>
      <c r="P811" s="27">
        <f>IF(AND(ISBLANK(TableauCB[[#This Row],[Débit]]),ISBLANK(TableauCB[[#This Row],[Crédit]])),"",P810+TableauCB[[#This Row],[Crédit]]-TableauCB[[#This Row],[Débit]])</f>
        <v>7487.7660000000033</v>
      </c>
      <c r="Q811" s="26"/>
      <c r="T811" s="24"/>
      <c r="U811" s="24"/>
      <c r="V811" s="9"/>
      <c r="W811" s="2"/>
      <c r="X811" s="9"/>
      <c r="Y811" s="8"/>
      <c r="Z811" s="7"/>
      <c r="AA811" s="7"/>
      <c r="AB811" s="6"/>
    </row>
    <row r="812" spans="2:28" ht="30" hidden="1" customHeight="1">
      <c r="B812" s="35" t="str">
        <f>IF(MONTH(F811)&lt;&gt;MONTH(TableauCB[[#This Row],[Date d''éxigibilité]]),(TableauCB[[#This Row],[Date d''éxigibilité]]),"")</f>
        <v/>
      </c>
      <c r="C812" s="11" t="s">
        <v>33</v>
      </c>
      <c r="D812" s="11" t="s">
        <v>22</v>
      </c>
      <c r="E812" s="11" t="s">
        <v>28</v>
      </c>
      <c r="F812" s="34">
        <v>42604</v>
      </c>
      <c r="G812"/>
      <c r="H812"/>
      <c r="I812" s="32">
        <v>42618</v>
      </c>
      <c r="J812"/>
      <c r="K812" s="31">
        <v>42636</v>
      </c>
      <c r="L812" s="30">
        <v>279.14999999999998</v>
      </c>
      <c r="M812" s="29"/>
      <c r="N812" s="28">
        <f>IF(OR(TableauCB[[#This Row],[Etat]]="",TableauCB[[#This Row],[Etat]]="c"),IF(TableauCB[[#This Row],[Solde]]="","",N811),N811-TableauCB[[#This Row],[Débit]]+TableauCB[[#This Row],[Crédit]])</f>
        <v>8174.6160000000054</v>
      </c>
      <c r="O812" s="27">
        <f>IF(TableauCB[[#This Row],[Etat]]&lt;&gt;"",O811-TableauCB[[#This Row],[Débit]]+TableauCB[[#This Row],[Crédit]],O811-TableauCB[[#This Row],[Débit]])</f>
        <v>8054.6199999999953</v>
      </c>
      <c r="P812" s="27">
        <f>IF(AND(ISBLANK(TableauCB[[#This Row],[Débit]]),ISBLANK(TableauCB[[#This Row],[Crédit]])),"",P811+TableauCB[[#This Row],[Crédit]]-TableauCB[[#This Row],[Débit]])</f>
        <v>7208.6160000000036</v>
      </c>
      <c r="Q812" s="26"/>
      <c r="T812" s="24"/>
      <c r="U812" s="24"/>
      <c r="V812" s="9"/>
      <c r="W812" s="2"/>
      <c r="X812" s="9"/>
      <c r="Y812" s="8"/>
      <c r="Z812" s="7"/>
      <c r="AA812" s="7"/>
      <c r="AB812" s="6"/>
    </row>
    <row r="813" spans="2:28" ht="30" hidden="1" customHeight="1">
      <c r="B813" s="35" t="str">
        <f>IF(MONTH(F812)&lt;&gt;MONTH(TableauCB[[#This Row],[Date d''éxigibilité]]),(TableauCB[[#This Row],[Date d''éxigibilité]]),"")</f>
        <v/>
      </c>
      <c r="C813" s="11" t="s">
        <v>33</v>
      </c>
      <c r="D813" s="11" t="s">
        <v>22</v>
      </c>
      <c r="E813" s="11" t="s">
        <v>46</v>
      </c>
      <c r="F813" s="34">
        <v>42606</v>
      </c>
      <c r="G813"/>
      <c r="H813"/>
      <c r="I813" s="32">
        <v>42606</v>
      </c>
      <c r="J813"/>
      <c r="K813" s="31"/>
      <c r="L813" s="30">
        <v>53</v>
      </c>
      <c r="M813" s="29"/>
      <c r="N813" s="28">
        <f>IF(OR(TableauCB[[#This Row],[Etat]]="",TableauCB[[#This Row],[Etat]]="c"),IF(TableauCB[[#This Row],[Solde]]="","",N812),N812-TableauCB[[#This Row],[Débit]]+TableauCB[[#This Row],[Crédit]])</f>
        <v>8121.6160000000054</v>
      </c>
      <c r="O813" s="27">
        <f>IF(TableauCB[[#This Row],[Etat]]&lt;&gt;"",O812-TableauCB[[#This Row],[Débit]]+TableauCB[[#This Row],[Crédit]],O812-TableauCB[[#This Row],[Débit]])</f>
        <v>8001.6199999999953</v>
      </c>
      <c r="P813" s="27">
        <f>IF(AND(ISBLANK(TableauCB[[#This Row],[Débit]]),ISBLANK(TableauCB[[#This Row],[Crédit]])),"",P812+TableauCB[[#This Row],[Crédit]]-TableauCB[[#This Row],[Débit]])</f>
        <v>7155.6160000000036</v>
      </c>
      <c r="Q813" s="26"/>
      <c r="T813" s="24"/>
      <c r="U813" s="24"/>
      <c r="V813" s="9"/>
      <c r="W813" s="2"/>
      <c r="X813" s="9"/>
      <c r="Y813" s="8"/>
      <c r="Z813" s="7"/>
      <c r="AA813" s="7"/>
      <c r="AB813" s="6"/>
    </row>
    <row r="814" spans="2:28" ht="30" hidden="1" customHeight="1">
      <c r="B814" s="35" t="str">
        <f>IF(MONTH(F813)&lt;&gt;MONTH(TableauCB[[#This Row],[Date d''éxigibilité]]),(TableauCB[[#This Row],[Date d''éxigibilité]]),"")</f>
        <v/>
      </c>
      <c r="C814" s="11" t="s">
        <v>33</v>
      </c>
      <c r="D814" s="11" t="s">
        <v>22</v>
      </c>
      <c r="E814" s="11" t="s">
        <v>37</v>
      </c>
      <c r="F814" s="34">
        <v>42607</v>
      </c>
      <c r="G814"/>
      <c r="H814"/>
      <c r="I814" s="32">
        <v>42607</v>
      </c>
      <c r="J814"/>
      <c r="K814" s="31"/>
      <c r="L814" s="30">
        <v>67</v>
      </c>
      <c r="M814" s="29"/>
      <c r="N814" s="28">
        <f>IF(OR(TableauCB[[#This Row],[Etat]]="",TableauCB[[#This Row],[Etat]]="c"),IF(TableauCB[[#This Row],[Solde]]="","",N813),N813-TableauCB[[#This Row],[Débit]]+TableauCB[[#This Row],[Crédit]])</f>
        <v>8054.6160000000054</v>
      </c>
      <c r="O814" s="27">
        <f>IF(TableauCB[[#This Row],[Etat]]&lt;&gt;"",O813-TableauCB[[#This Row],[Débit]]+TableauCB[[#This Row],[Crédit]],O813-TableauCB[[#This Row],[Débit]])</f>
        <v>7934.6199999999953</v>
      </c>
      <c r="P814" s="27">
        <f>IF(AND(ISBLANK(TableauCB[[#This Row],[Débit]]),ISBLANK(TableauCB[[#This Row],[Crédit]])),"",P813+TableauCB[[#This Row],[Crédit]]-TableauCB[[#This Row],[Débit]])</f>
        <v>7088.6160000000036</v>
      </c>
      <c r="Q814" s="26"/>
      <c r="T814" s="24"/>
      <c r="U814" s="24"/>
      <c r="V814" s="9"/>
      <c r="W814" s="2"/>
      <c r="X814" s="9"/>
      <c r="Y814" s="8"/>
      <c r="Z814" s="7"/>
      <c r="AA814" s="7"/>
      <c r="AB814" s="6"/>
    </row>
    <row r="815" spans="2:28" ht="30" hidden="1" customHeight="1">
      <c r="B815" s="35" t="str">
        <f>IF(MONTH(F814)&lt;&gt;MONTH(TableauCB[[#This Row],[Date d''éxigibilité]]),(TableauCB[[#This Row],[Date d''éxigibilité]]),"")</f>
        <v/>
      </c>
      <c r="C815" s="11" t="s">
        <v>33</v>
      </c>
      <c r="D815" s="11" t="s">
        <v>22</v>
      </c>
      <c r="E815" s="11" t="s">
        <v>17</v>
      </c>
      <c r="F815" s="34">
        <v>42607</v>
      </c>
      <c r="G815"/>
      <c r="H815"/>
      <c r="I815" s="32">
        <v>42607</v>
      </c>
      <c r="J815"/>
      <c r="K815" s="31">
        <v>42607</v>
      </c>
      <c r="L815" s="30">
        <v>18.38</v>
      </c>
      <c r="M815" s="29"/>
      <c r="N815" s="28">
        <f>IF(OR(TableauCB[[#This Row],[Etat]]="",TableauCB[[#This Row],[Etat]]="c"),IF(TableauCB[[#This Row],[Solde]]="","",N814),N814-TableauCB[[#This Row],[Débit]]+TableauCB[[#This Row],[Crédit]])</f>
        <v>8036.2360000000053</v>
      </c>
      <c r="O815" s="27">
        <f>IF(TableauCB[[#This Row],[Etat]]&lt;&gt;"",O814-TableauCB[[#This Row],[Débit]]+TableauCB[[#This Row],[Crédit]],O814-TableauCB[[#This Row],[Débit]])</f>
        <v>7916.2399999999952</v>
      </c>
      <c r="P815" s="27">
        <f>IF(AND(ISBLANK(TableauCB[[#This Row],[Débit]]),ISBLANK(TableauCB[[#This Row],[Crédit]])),"",P814+TableauCB[[#This Row],[Crédit]]-TableauCB[[#This Row],[Débit]])</f>
        <v>7070.2360000000035</v>
      </c>
      <c r="Q815" s="26"/>
      <c r="T815" s="24"/>
      <c r="U815" s="24"/>
      <c r="V815" s="9"/>
      <c r="W815" s="2"/>
      <c r="X815" s="9"/>
      <c r="Y815" s="8"/>
      <c r="Z815" s="7"/>
      <c r="AA815" s="7"/>
      <c r="AB815" s="6"/>
    </row>
    <row r="816" spans="2:28" ht="30" hidden="1" customHeight="1">
      <c r="B816" s="35" t="str">
        <f>IF(MONTH(F815)&lt;&gt;MONTH(TableauCB[[#This Row],[Date d''éxigibilité]]),(TableauCB[[#This Row],[Date d''éxigibilité]]),"")</f>
        <v/>
      </c>
      <c r="C816" s="11" t="s">
        <v>33</v>
      </c>
      <c r="D816" s="11" t="s">
        <v>22</v>
      </c>
      <c r="E816" s="11" t="s">
        <v>37</v>
      </c>
      <c r="F816" s="34">
        <v>42608</v>
      </c>
      <c r="G816"/>
      <c r="H816"/>
      <c r="I816" s="32">
        <v>42608</v>
      </c>
      <c r="J816"/>
      <c r="K816" s="31"/>
      <c r="L816" s="30">
        <v>62.2</v>
      </c>
      <c r="M816" s="29"/>
      <c r="N816" s="28">
        <f>IF(OR(TableauCB[[#This Row],[Etat]]="",TableauCB[[#This Row],[Etat]]="c"),IF(TableauCB[[#This Row],[Solde]]="","",N815),N815-TableauCB[[#This Row],[Débit]]+TableauCB[[#This Row],[Crédit]])</f>
        <v>7974.0360000000055</v>
      </c>
      <c r="O816" s="27">
        <f>IF(TableauCB[[#This Row],[Etat]]&lt;&gt;"",O815-TableauCB[[#This Row],[Débit]]+TableauCB[[#This Row],[Crédit]],O815-TableauCB[[#This Row],[Débit]])</f>
        <v>7854.0399999999954</v>
      </c>
      <c r="P816" s="27">
        <f>IF(AND(ISBLANK(TableauCB[[#This Row],[Débit]]),ISBLANK(TableauCB[[#This Row],[Crédit]])),"",P815+TableauCB[[#This Row],[Crédit]]-TableauCB[[#This Row],[Débit]])</f>
        <v>7008.0360000000037</v>
      </c>
      <c r="Q816" s="26"/>
      <c r="T816" s="24"/>
      <c r="U816" s="24"/>
      <c r="V816" s="9"/>
      <c r="W816" s="2"/>
      <c r="X816" s="9"/>
      <c r="Y816" s="8"/>
      <c r="Z816" s="7"/>
      <c r="AA816" s="7"/>
      <c r="AB816" s="6"/>
    </row>
    <row r="817" spans="2:28" ht="30" hidden="1" customHeight="1">
      <c r="B817" s="35" t="str">
        <f>IF(MONTH(F816)&lt;&gt;MONTH(TableauCB[[#This Row],[Date d''éxigibilité]]),(TableauCB[[#This Row],[Date d''éxigibilité]]),"")</f>
        <v/>
      </c>
      <c r="C817" s="11" t="s">
        <v>33</v>
      </c>
      <c r="D817" s="11" t="s">
        <v>11</v>
      </c>
      <c r="E817" s="11" t="s">
        <v>10</v>
      </c>
      <c r="F817" s="34">
        <v>42612</v>
      </c>
      <c r="G817"/>
      <c r="H817"/>
      <c r="I817" s="32">
        <v>42647</v>
      </c>
      <c r="J817"/>
      <c r="K817" s="31"/>
      <c r="L817" s="30"/>
      <c r="M817" s="29">
        <v>183.6</v>
      </c>
      <c r="N817" s="28">
        <f>IF(OR(TableauCB[[#This Row],[Etat]]="",TableauCB[[#This Row],[Etat]]="c"),IF(TableauCB[[#This Row],[Solde]]="","",N816),N816-TableauCB[[#This Row],[Débit]]+TableauCB[[#This Row],[Crédit]])</f>
        <v>8157.6360000000059</v>
      </c>
      <c r="O817" s="27">
        <f>IF(TableauCB[[#This Row],[Etat]]&lt;&gt;"",O816-TableauCB[[#This Row],[Débit]]+TableauCB[[#This Row],[Crédit]],O816-TableauCB[[#This Row],[Débit]])</f>
        <v>8037.6399999999958</v>
      </c>
      <c r="P817" s="27">
        <f>IF(AND(ISBLANK(TableauCB[[#This Row],[Débit]]),ISBLANK(TableauCB[[#This Row],[Crédit]])),"",P816+TableauCB[[#This Row],[Crédit]]-TableauCB[[#This Row],[Débit]])</f>
        <v>7191.6360000000041</v>
      </c>
      <c r="Q817" s="26"/>
      <c r="T817" s="24"/>
      <c r="U817" s="24"/>
      <c r="V817" s="9"/>
      <c r="W817" s="2"/>
      <c r="X817" s="9"/>
      <c r="Y817" s="8"/>
      <c r="Z817" s="7"/>
      <c r="AA817" s="7"/>
      <c r="AB817" s="6"/>
    </row>
    <row r="818" spans="2:28" ht="30" hidden="1" customHeight="1">
      <c r="B818" s="35" t="str">
        <f>IF(MONTH(F817)&lt;&gt;MONTH(TableauCB[[#This Row],[Date d''éxigibilité]]),(TableauCB[[#This Row],[Date d''éxigibilité]]),"")</f>
        <v/>
      </c>
      <c r="C818" s="11" t="s">
        <v>33</v>
      </c>
      <c r="D818" s="11" t="s">
        <v>11</v>
      </c>
      <c r="E818" s="11" t="s">
        <v>10</v>
      </c>
      <c r="F818" s="34">
        <v>42612</v>
      </c>
      <c r="G818"/>
      <c r="H818"/>
      <c r="I818" s="32">
        <v>42679</v>
      </c>
      <c r="J818"/>
      <c r="K818" s="31"/>
      <c r="L818" s="30"/>
      <c r="M818" s="29">
        <v>198</v>
      </c>
      <c r="N818" s="28">
        <f>IF(OR(TableauCB[[#This Row],[Etat]]="",TableauCB[[#This Row],[Etat]]="c"),IF(TableauCB[[#This Row],[Solde]]="","",N817),N817-TableauCB[[#This Row],[Débit]]+TableauCB[[#This Row],[Crédit]])</f>
        <v>8355.6360000000059</v>
      </c>
      <c r="O818" s="27">
        <f>IF(TableauCB[[#This Row],[Etat]]&lt;&gt;"",O817-TableauCB[[#This Row],[Débit]]+TableauCB[[#This Row],[Crédit]],O817-TableauCB[[#This Row],[Débit]])</f>
        <v>8235.6399999999958</v>
      </c>
      <c r="P818" s="27">
        <f>IF(AND(ISBLANK(TableauCB[[#This Row],[Débit]]),ISBLANK(TableauCB[[#This Row],[Crédit]])),"",P817+TableauCB[[#This Row],[Crédit]]-TableauCB[[#This Row],[Débit]])</f>
        <v>7389.6360000000041</v>
      </c>
      <c r="Q818" s="26"/>
      <c r="T818" s="24"/>
      <c r="U818" s="24"/>
      <c r="V818" s="9"/>
      <c r="W818" s="2"/>
      <c r="X818" s="9"/>
      <c r="Y818" s="8"/>
      <c r="Z818" s="7"/>
      <c r="AA818" s="7"/>
      <c r="AB818" s="6"/>
    </row>
    <row r="819" spans="2:28" ht="30" hidden="1" customHeight="1">
      <c r="B819" s="35" t="str">
        <f>IF(MONTH(F818)&lt;&gt;MONTH(TableauCB[[#This Row],[Date d''éxigibilité]]),(TableauCB[[#This Row],[Date d''éxigibilité]]),"")</f>
        <v/>
      </c>
      <c r="C819" s="11" t="s">
        <v>33</v>
      </c>
      <c r="D819" s="11" t="s">
        <v>11</v>
      </c>
      <c r="E819" s="11" t="s">
        <v>10</v>
      </c>
      <c r="F819" s="34">
        <v>42612</v>
      </c>
      <c r="G819"/>
      <c r="H819"/>
      <c r="I819" s="32">
        <v>42690</v>
      </c>
      <c r="J819"/>
      <c r="K819" s="31">
        <v>42693</v>
      </c>
      <c r="L819" s="30"/>
      <c r="M819" s="29">
        <v>151.80000000000001</v>
      </c>
      <c r="N819" s="28">
        <f>IF(OR(TableauCB[[#This Row],[Etat]]="",TableauCB[[#This Row],[Etat]]="c"),IF(TableauCB[[#This Row],[Solde]]="","",N818),N818-TableauCB[[#This Row],[Débit]]+TableauCB[[#This Row],[Crédit]])</f>
        <v>8507.4360000000052</v>
      </c>
      <c r="O819" s="27">
        <f>IF(TableauCB[[#This Row],[Etat]]&lt;&gt;"",O818-TableauCB[[#This Row],[Débit]]+TableauCB[[#This Row],[Crédit]],O818-TableauCB[[#This Row],[Débit]])</f>
        <v>8387.4399999999951</v>
      </c>
      <c r="P819" s="27">
        <f>IF(AND(ISBLANK(TableauCB[[#This Row],[Débit]]),ISBLANK(TableauCB[[#This Row],[Crédit]])),"",P818+TableauCB[[#This Row],[Crédit]]-TableauCB[[#This Row],[Débit]])</f>
        <v>7541.4360000000042</v>
      </c>
      <c r="Q819" s="26"/>
      <c r="T819" s="24"/>
      <c r="U819" s="24"/>
      <c r="V819" s="9"/>
      <c r="W819" s="2"/>
      <c r="X819" s="9"/>
      <c r="Y819" s="8"/>
      <c r="Z819" s="7"/>
      <c r="AA819" s="7"/>
      <c r="AB819" s="6"/>
    </row>
    <row r="820" spans="2:28" ht="30" hidden="1" customHeight="1">
      <c r="B820" s="35" t="str">
        <f>IF(MONTH(F819)&lt;&gt;MONTH(TableauCB[[#This Row],[Date d''éxigibilité]]),(TableauCB[[#This Row],[Date d''éxigibilité]]),"")</f>
        <v/>
      </c>
      <c r="C820" s="11" t="s">
        <v>33</v>
      </c>
      <c r="D820" s="11" t="s">
        <v>11</v>
      </c>
      <c r="E820" s="11" t="s">
        <v>12</v>
      </c>
      <c r="F820" s="34">
        <v>42612</v>
      </c>
      <c r="G820"/>
      <c r="H820"/>
      <c r="I820" s="32">
        <v>42614</v>
      </c>
      <c r="J820"/>
      <c r="K820" s="31">
        <v>42616</v>
      </c>
      <c r="L820" s="30"/>
      <c r="M820" s="29">
        <v>522</v>
      </c>
      <c r="N820" s="28">
        <f>IF(OR(TableauCB[[#This Row],[Etat]]="",TableauCB[[#This Row],[Etat]]="c"),IF(TableauCB[[#This Row],[Solde]]="","",N819),N819-TableauCB[[#This Row],[Débit]]+TableauCB[[#This Row],[Crédit]])</f>
        <v>9029.4360000000052</v>
      </c>
      <c r="O820" s="27">
        <f>IF(TableauCB[[#This Row],[Etat]]&lt;&gt;"",O819-TableauCB[[#This Row],[Débit]]+TableauCB[[#This Row],[Crédit]],O819-TableauCB[[#This Row],[Débit]])</f>
        <v>8909.4399999999951</v>
      </c>
      <c r="P820" s="27">
        <f>IF(AND(ISBLANK(TableauCB[[#This Row],[Débit]]),ISBLANK(TableauCB[[#This Row],[Crédit]])),"",P819+TableauCB[[#This Row],[Crédit]]-TableauCB[[#This Row],[Débit]])</f>
        <v>8063.4360000000042</v>
      </c>
      <c r="Q820" s="26"/>
      <c r="T820" s="24"/>
      <c r="U820" s="24"/>
      <c r="V820" s="9"/>
      <c r="W820" s="2"/>
      <c r="X820" s="9"/>
      <c r="Y820" s="8"/>
      <c r="Z820" s="7"/>
      <c r="AA820" s="7"/>
      <c r="AB820" s="6"/>
    </row>
    <row r="821" spans="2:28" ht="30" hidden="1" customHeight="1">
      <c r="B821" s="35" t="str">
        <f>IF(MONTH(F820)&lt;&gt;MONTH(TableauCB[[#This Row],[Date d''éxigibilité]]),(TableauCB[[#This Row],[Date d''éxigibilité]]),"")</f>
        <v/>
      </c>
      <c r="C821" s="11" t="s">
        <v>33</v>
      </c>
      <c r="D821" s="11" t="s">
        <v>11</v>
      </c>
      <c r="E821" s="11" t="s">
        <v>10</v>
      </c>
      <c r="F821" s="34">
        <v>42612</v>
      </c>
      <c r="G821"/>
      <c r="H821"/>
      <c r="I821" s="32">
        <v>42632</v>
      </c>
      <c r="J821"/>
      <c r="K821" s="31">
        <v>42632</v>
      </c>
      <c r="L821" s="30"/>
      <c r="M821" s="29">
        <v>192</v>
      </c>
      <c r="N821" s="28">
        <f>IF(OR(TableauCB[[#This Row],[Etat]]="",TableauCB[[#This Row],[Etat]]="c"),IF(TableauCB[[#This Row],[Solde]]="","",N820),N820-TableauCB[[#This Row],[Débit]]+TableauCB[[#This Row],[Crédit]])</f>
        <v>9221.4360000000052</v>
      </c>
      <c r="O821" s="27">
        <f>IF(TableauCB[[#This Row],[Etat]]&lt;&gt;"",O820-TableauCB[[#This Row],[Débit]]+TableauCB[[#This Row],[Crédit]],O820-TableauCB[[#This Row],[Débit]])</f>
        <v>9101.4399999999951</v>
      </c>
      <c r="P821" s="27">
        <f>IF(AND(ISBLANK(TableauCB[[#This Row],[Débit]]),ISBLANK(TableauCB[[#This Row],[Crédit]])),"",P820+TableauCB[[#This Row],[Crédit]]-TableauCB[[#This Row],[Débit]])</f>
        <v>8255.4360000000052</v>
      </c>
      <c r="Q821" s="26"/>
      <c r="T821" s="24"/>
      <c r="U821" s="24"/>
      <c r="V821" s="9"/>
      <c r="W821" s="2"/>
      <c r="X821" s="9"/>
      <c r="Y821" s="8"/>
      <c r="Z821" s="7"/>
      <c r="AA821" s="7"/>
      <c r="AB821" s="6"/>
    </row>
    <row r="822" spans="2:28" ht="30" hidden="1" customHeight="1">
      <c r="B822" s="35" t="str">
        <f>IF(MONTH(F821)&lt;&gt;MONTH(TableauCB[[#This Row],[Date d''éxigibilité]]),(TableauCB[[#This Row],[Date d''éxigibilité]]),"")</f>
        <v/>
      </c>
      <c r="C822" s="11" t="s">
        <v>33</v>
      </c>
      <c r="D822" s="11" t="s">
        <v>11</v>
      </c>
      <c r="E822" s="11" t="s">
        <v>10</v>
      </c>
      <c r="F822" s="34">
        <v>42612</v>
      </c>
      <c r="G822"/>
      <c r="H822"/>
      <c r="I822" s="32">
        <v>42647</v>
      </c>
      <c r="J822"/>
      <c r="K822" s="31">
        <v>42647</v>
      </c>
      <c r="L822" s="30"/>
      <c r="M822" s="29">
        <v>624</v>
      </c>
      <c r="N822" s="28">
        <f>IF(OR(TableauCB[[#This Row],[Etat]]="",TableauCB[[#This Row],[Etat]]="c"),IF(TableauCB[[#This Row],[Solde]]="","",N821),N821-TableauCB[[#This Row],[Débit]]+TableauCB[[#This Row],[Crédit]])</f>
        <v>9845.4360000000052</v>
      </c>
      <c r="O822" s="27">
        <f>IF(TableauCB[[#This Row],[Etat]]&lt;&gt;"",O821-TableauCB[[#This Row],[Débit]]+TableauCB[[#This Row],[Crédit]],O821-TableauCB[[#This Row],[Débit]])</f>
        <v>9725.4399999999951</v>
      </c>
      <c r="P822" s="27">
        <f>IF(AND(ISBLANK(TableauCB[[#This Row],[Débit]]),ISBLANK(TableauCB[[#This Row],[Crédit]])),"",P821+TableauCB[[#This Row],[Crédit]]-TableauCB[[#This Row],[Débit]])</f>
        <v>8879.4360000000052</v>
      </c>
      <c r="Q822" s="26"/>
      <c r="T822" s="24"/>
      <c r="U822" s="24"/>
      <c r="V822" s="9"/>
      <c r="W822" s="2"/>
      <c r="X822" s="9"/>
      <c r="Y822" s="8"/>
      <c r="Z822" s="7"/>
      <c r="AA822" s="7"/>
      <c r="AB822" s="6"/>
    </row>
    <row r="823" spans="2:28" ht="30" hidden="1" customHeight="1">
      <c r="B823" s="35" t="str">
        <f>IF(MONTH(F822)&lt;&gt;MONTH(TableauCB[[#This Row],[Date d''éxigibilité]]),(TableauCB[[#This Row],[Date d''éxigibilité]]),"")</f>
        <v/>
      </c>
      <c r="C823" s="11" t="s">
        <v>33</v>
      </c>
      <c r="D823" s="11" t="s">
        <v>11</v>
      </c>
      <c r="E823" s="11" t="s">
        <v>12</v>
      </c>
      <c r="F823" s="34">
        <v>42612</v>
      </c>
      <c r="G823"/>
      <c r="H823"/>
      <c r="I823" s="32">
        <v>42622</v>
      </c>
      <c r="J823"/>
      <c r="K823" s="31"/>
      <c r="L823" s="30"/>
      <c r="M823" s="29">
        <v>115.2</v>
      </c>
      <c r="N823" s="28">
        <f>IF(OR(TableauCB[[#This Row],[Etat]]="",TableauCB[[#This Row],[Etat]]="c"),IF(TableauCB[[#This Row],[Solde]]="","",N822),N822-TableauCB[[#This Row],[Débit]]+TableauCB[[#This Row],[Crédit]])</f>
        <v>9960.6360000000059</v>
      </c>
      <c r="O823" s="27">
        <f>IF(TableauCB[[#This Row],[Etat]]&lt;&gt;"",O822-TableauCB[[#This Row],[Débit]]+TableauCB[[#This Row],[Crédit]],O822-TableauCB[[#This Row],[Débit]])</f>
        <v>9840.6399999999958</v>
      </c>
      <c r="P823" s="27">
        <f>IF(AND(ISBLANK(TableauCB[[#This Row],[Débit]]),ISBLANK(TableauCB[[#This Row],[Crédit]])),"",P822+TableauCB[[#This Row],[Crédit]]-TableauCB[[#This Row],[Débit]])</f>
        <v>8994.6360000000059</v>
      </c>
      <c r="Q823" s="26"/>
      <c r="T823" s="24"/>
      <c r="U823" s="24"/>
      <c r="V823" s="9"/>
      <c r="W823" s="2"/>
      <c r="X823" s="9"/>
      <c r="Y823" s="8"/>
      <c r="Z823" s="7"/>
      <c r="AA823" s="7"/>
      <c r="AB823" s="6"/>
    </row>
    <row r="824" spans="2:28" ht="30" hidden="1" customHeight="1">
      <c r="B824" s="35" t="str">
        <f>IF(MONTH(F823)&lt;&gt;MONTH(TableauCB[[#This Row],[Date d''éxigibilité]]),(TableauCB[[#This Row],[Date d''éxigibilité]]),"")</f>
        <v/>
      </c>
      <c r="C824" s="11" t="s">
        <v>33</v>
      </c>
      <c r="D824" s="11" t="s">
        <v>11</v>
      </c>
      <c r="E824" s="11" t="s">
        <v>10</v>
      </c>
      <c r="F824" s="34">
        <v>42612</v>
      </c>
      <c r="G824"/>
      <c r="H824"/>
      <c r="I824" s="32">
        <v>42641</v>
      </c>
      <c r="J824"/>
      <c r="K824" s="31"/>
      <c r="L824" s="30"/>
      <c r="M824" s="29">
        <v>510</v>
      </c>
      <c r="N824" s="28">
        <f>IF(OR(TableauCB[[#This Row],[Etat]]="",TableauCB[[#This Row],[Etat]]="c"),IF(TableauCB[[#This Row],[Solde]]="","",N823),N823-TableauCB[[#This Row],[Débit]]+TableauCB[[#This Row],[Crédit]])</f>
        <v>10470.636000000006</v>
      </c>
      <c r="O824" s="27">
        <f>IF(TableauCB[[#This Row],[Etat]]&lt;&gt;"",O823-TableauCB[[#This Row],[Débit]]+TableauCB[[#This Row],[Crédit]],O823-TableauCB[[#This Row],[Débit]])</f>
        <v>10350.639999999996</v>
      </c>
      <c r="P824" s="27">
        <f>IF(AND(ISBLANK(TableauCB[[#This Row],[Débit]]),ISBLANK(TableauCB[[#This Row],[Crédit]])),"",P823+TableauCB[[#This Row],[Crédit]]-TableauCB[[#This Row],[Débit]])</f>
        <v>9504.6360000000059</v>
      </c>
      <c r="Q824" s="26"/>
      <c r="R824" s="25"/>
      <c r="S824" s="25"/>
      <c r="T824" s="24"/>
      <c r="U824" s="24"/>
      <c r="V824" s="9"/>
      <c r="W824" s="2"/>
      <c r="X824" s="9"/>
      <c r="Y824" s="8"/>
      <c r="Z824" s="7"/>
      <c r="AA824" s="7"/>
      <c r="AB824" s="6"/>
    </row>
    <row r="825" spans="2:28" ht="30" hidden="1" customHeight="1">
      <c r="B825" s="35" t="str">
        <f>IF(MONTH(F824)&lt;&gt;MONTH(TableauCB[[#This Row],[Date d''éxigibilité]]),(TableauCB[[#This Row],[Date d''éxigibilité]]),"")</f>
        <v/>
      </c>
      <c r="C825" s="11" t="s">
        <v>33</v>
      </c>
      <c r="D825" s="11" t="s">
        <v>11</v>
      </c>
      <c r="E825" s="11" t="s">
        <v>10</v>
      </c>
      <c r="F825" s="34">
        <v>42612</v>
      </c>
      <c r="G825"/>
      <c r="H825"/>
      <c r="I825" s="32">
        <v>42761</v>
      </c>
      <c r="J825"/>
      <c r="K825" s="31">
        <v>42763</v>
      </c>
      <c r="L825" s="30"/>
      <c r="M825" s="29">
        <v>38.4</v>
      </c>
      <c r="N825" s="28">
        <f>IF(OR(TableauCB[[#This Row],[Etat]]="",TableauCB[[#This Row],[Etat]]="c"),IF(TableauCB[[#This Row],[Solde]]="","",N824),N824-TableauCB[[#This Row],[Débit]]+TableauCB[[#This Row],[Crédit]])</f>
        <v>10509.036000000006</v>
      </c>
      <c r="O825" s="27">
        <f>IF(TableauCB[[#This Row],[Etat]]&lt;&gt;"",O824-TableauCB[[#This Row],[Débit]]+TableauCB[[#This Row],[Crédit]],O824-TableauCB[[#This Row],[Débit]])</f>
        <v>10389.039999999995</v>
      </c>
      <c r="P825" s="27">
        <f>IF(AND(ISBLANK(TableauCB[[#This Row],[Débit]]),ISBLANK(TableauCB[[#This Row],[Crédit]])),"",P824+TableauCB[[#This Row],[Crédit]]-TableauCB[[#This Row],[Débit]])</f>
        <v>9543.0360000000055</v>
      </c>
      <c r="Q825" s="26"/>
      <c r="R825" s="25"/>
      <c r="S825" s="25"/>
      <c r="T825" s="24"/>
      <c r="U825" s="24"/>
      <c r="V825" s="9"/>
      <c r="W825" s="2"/>
      <c r="X825" s="9"/>
      <c r="Y825" s="8"/>
      <c r="Z825" s="7"/>
      <c r="AA825" s="7"/>
      <c r="AB825" s="6"/>
    </row>
    <row r="826" spans="2:28" ht="30" hidden="1" customHeight="1">
      <c r="B826" s="35" t="str">
        <f>IF(MONTH(F825)&lt;&gt;MONTH(TableauCB[[#This Row],[Date d''éxigibilité]]),(TableauCB[[#This Row],[Date d''éxigibilité]]),"")</f>
        <v/>
      </c>
      <c r="C826" s="11" t="s">
        <v>33</v>
      </c>
      <c r="D826" s="11" t="s">
        <v>11</v>
      </c>
      <c r="E826" s="11" t="s">
        <v>10</v>
      </c>
      <c r="F826" s="34">
        <v>42612</v>
      </c>
      <c r="G826"/>
      <c r="H826"/>
      <c r="I826" s="32">
        <v>42629</v>
      </c>
      <c r="J826"/>
      <c r="K826" s="31">
        <v>42629</v>
      </c>
      <c r="L826" s="30"/>
      <c r="M826" s="29">
        <v>228</v>
      </c>
      <c r="N826" s="28">
        <f>IF(OR(TableauCB[[#This Row],[Etat]]="",TableauCB[[#This Row],[Etat]]="c"),IF(TableauCB[[#This Row],[Solde]]="","",N825),N825-TableauCB[[#This Row],[Débit]]+TableauCB[[#This Row],[Crédit]])</f>
        <v>10737.036000000006</v>
      </c>
      <c r="O826" s="27">
        <f>IF(TableauCB[[#This Row],[Etat]]&lt;&gt;"",O825-TableauCB[[#This Row],[Débit]]+TableauCB[[#This Row],[Crédit]],O825-TableauCB[[#This Row],[Débit]])</f>
        <v>10617.039999999995</v>
      </c>
      <c r="P826" s="27">
        <f>IF(AND(ISBLANK(TableauCB[[#This Row],[Débit]]),ISBLANK(TableauCB[[#This Row],[Crédit]])),"",P825+TableauCB[[#This Row],[Crédit]]-TableauCB[[#This Row],[Débit]])</f>
        <v>9771.0360000000055</v>
      </c>
      <c r="Q826" s="26"/>
      <c r="R826" s="25"/>
      <c r="S826" s="25"/>
      <c r="T826" s="24"/>
      <c r="U826" s="24"/>
      <c r="V826" s="9"/>
      <c r="W826" s="2"/>
      <c r="X826" s="9"/>
      <c r="Y826" s="8"/>
      <c r="Z826" s="7"/>
      <c r="AA826" s="7"/>
      <c r="AB826" s="6"/>
    </row>
    <row r="827" spans="2:28" ht="30" hidden="1" customHeight="1">
      <c r="B827" s="35" t="str">
        <f>IF(MONTH(F826)&lt;&gt;MONTH(TableauCB[[#This Row],[Date d''éxigibilité]]),(TableauCB[[#This Row],[Date d''éxigibilité]]),"")</f>
        <v/>
      </c>
      <c r="C827" s="11" t="s">
        <v>33</v>
      </c>
      <c r="D827" s="11" t="s">
        <v>32</v>
      </c>
      <c r="E827" s="11" t="s">
        <v>47</v>
      </c>
      <c r="F827" s="34">
        <v>42612</v>
      </c>
      <c r="G827"/>
      <c r="H827"/>
      <c r="I827" s="32">
        <v>42693</v>
      </c>
      <c r="J827"/>
      <c r="K827" s="31">
        <v>42695</v>
      </c>
      <c r="L827" s="30"/>
      <c r="M827" s="29">
        <v>2808</v>
      </c>
      <c r="N827" s="28">
        <f>IF(OR(TableauCB[[#This Row],[Etat]]="",TableauCB[[#This Row],[Etat]]="c"),IF(TableauCB[[#This Row],[Solde]]="","",N826),N826-TableauCB[[#This Row],[Débit]]+TableauCB[[#This Row],[Crédit]])</f>
        <v>13545.036000000006</v>
      </c>
      <c r="O827" s="27">
        <f>IF(TableauCB[[#This Row],[Etat]]&lt;&gt;"",O826-TableauCB[[#This Row],[Débit]]+TableauCB[[#This Row],[Crédit]],O826-TableauCB[[#This Row],[Débit]])</f>
        <v>13425.039999999995</v>
      </c>
      <c r="P827" s="27">
        <f>IF(AND(ISBLANK(TableauCB[[#This Row],[Débit]]),ISBLANK(TableauCB[[#This Row],[Crédit]])),"",P826+TableauCB[[#This Row],[Crédit]]-TableauCB[[#This Row],[Débit]])</f>
        <v>12579.036000000006</v>
      </c>
      <c r="Q827" s="26"/>
      <c r="R827" s="25"/>
      <c r="S827" s="25"/>
      <c r="T827" s="24"/>
      <c r="U827" s="24"/>
      <c r="V827" s="9"/>
      <c r="W827" s="2"/>
      <c r="X827" s="9"/>
      <c r="Y827" s="8"/>
      <c r="Z827" s="7"/>
      <c r="AA827" s="7"/>
      <c r="AB827" s="6"/>
    </row>
    <row r="828" spans="2:28" ht="30" hidden="1" customHeight="1">
      <c r="B828" s="35" t="str">
        <f>IF(MONTH(F827)&lt;&gt;MONTH(TableauCB[[#This Row],[Date d''éxigibilité]]),(TableauCB[[#This Row],[Date d''éxigibilité]]),"")</f>
        <v/>
      </c>
      <c r="C828" s="11" t="s">
        <v>33</v>
      </c>
      <c r="D828" s="11" t="s">
        <v>32</v>
      </c>
      <c r="E828" s="11" t="s">
        <v>10</v>
      </c>
      <c r="F828" s="34">
        <v>42612</v>
      </c>
      <c r="G828"/>
      <c r="H828"/>
      <c r="I828" s="32">
        <v>42782</v>
      </c>
      <c r="J828"/>
      <c r="K828" s="31">
        <v>42783</v>
      </c>
      <c r="L828" s="30"/>
      <c r="M828" s="29">
        <v>180</v>
      </c>
      <c r="N828" s="28">
        <f>IF(OR(TableauCB[[#This Row],[Etat]]="",TableauCB[[#This Row],[Etat]]="c"),IF(TableauCB[[#This Row],[Solde]]="","",N827),N827-TableauCB[[#This Row],[Débit]]+TableauCB[[#This Row],[Crédit]])</f>
        <v>13725.036000000006</v>
      </c>
      <c r="O828" s="27">
        <f>IF(TableauCB[[#This Row],[Etat]]&lt;&gt;"",O827-TableauCB[[#This Row],[Débit]]+TableauCB[[#This Row],[Crédit]],O827-TableauCB[[#This Row],[Débit]])</f>
        <v>13605.039999999995</v>
      </c>
      <c r="P828" s="27">
        <f>IF(AND(ISBLANK(TableauCB[[#This Row],[Débit]]),ISBLANK(TableauCB[[#This Row],[Crédit]])),"",P827+TableauCB[[#This Row],[Crédit]]-TableauCB[[#This Row],[Débit]])</f>
        <v>12759.036000000006</v>
      </c>
      <c r="Q828" s="26"/>
      <c r="R828" s="25"/>
      <c r="S828" s="25"/>
      <c r="T828" s="24"/>
      <c r="U828" s="24"/>
      <c r="V828" s="9"/>
      <c r="W828" s="2"/>
      <c r="X828" s="9"/>
      <c r="Y828" s="8"/>
      <c r="Z828" s="7"/>
      <c r="AA828" s="7"/>
      <c r="AB828" s="6"/>
    </row>
    <row r="829" spans="2:28" ht="30" hidden="1" customHeight="1">
      <c r="B829" s="35" t="str">
        <f>IF(MONTH(F828)&lt;&gt;MONTH(TableauCB[[#This Row],[Date d''éxigibilité]]),(TableauCB[[#This Row],[Date d''éxigibilité]]),"")</f>
        <v/>
      </c>
      <c r="C829" s="11" t="s">
        <v>33</v>
      </c>
      <c r="D829" s="11" t="s">
        <v>22</v>
      </c>
      <c r="E829" s="11" t="s">
        <v>43</v>
      </c>
      <c r="F829" s="34">
        <v>42612</v>
      </c>
      <c r="G829"/>
      <c r="H829"/>
      <c r="I829" s="32">
        <v>42614</v>
      </c>
      <c r="J829"/>
      <c r="K829" s="31">
        <v>42621</v>
      </c>
      <c r="L829" s="30">
        <v>240</v>
      </c>
      <c r="M829" s="29"/>
      <c r="N829" s="28">
        <f>IF(OR(TableauCB[[#This Row],[Etat]]="",TableauCB[[#This Row],[Etat]]="c"),IF(TableauCB[[#This Row],[Solde]]="","",N828),N828-TableauCB[[#This Row],[Débit]]+TableauCB[[#This Row],[Crédit]])</f>
        <v>13485.036000000006</v>
      </c>
      <c r="O829" s="27">
        <f>IF(TableauCB[[#This Row],[Etat]]&lt;&gt;"",O828-TableauCB[[#This Row],[Débit]]+TableauCB[[#This Row],[Crédit]],O828-TableauCB[[#This Row],[Débit]])</f>
        <v>13365.039999999995</v>
      </c>
      <c r="P829" s="27">
        <f>IF(AND(ISBLANK(TableauCB[[#This Row],[Débit]]),ISBLANK(TableauCB[[#This Row],[Crédit]])),"",P828+TableauCB[[#This Row],[Crédit]]-TableauCB[[#This Row],[Débit]])</f>
        <v>12519.036000000006</v>
      </c>
      <c r="Q829" s="26"/>
      <c r="R829" s="25"/>
      <c r="S829" s="25"/>
      <c r="T829" s="24"/>
      <c r="U829" s="24"/>
      <c r="V829" s="9"/>
      <c r="W829" s="2"/>
      <c r="X829" s="9"/>
      <c r="Y829" s="8"/>
      <c r="Z829" s="7"/>
      <c r="AA829" s="7"/>
      <c r="AB829" s="6"/>
    </row>
    <row r="830" spans="2:28" ht="30" hidden="1" customHeight="1">
      <c r="B830" s="35" t="str">
        <f>IF(MONTH(F829)&lt;&gt;MONTH(TableauCB[[#This Row],[Date d''éxigibilité]]),(TableauCB[[#This Row],[Date d''éxigibilité]]),"")</f>
        <v/>
      </c>
      <c r="C830" s="11" t="s">
        <v>33</v>
      </c>
      <c r="D830" s="11" t="s">
        <v>5</v>
      </c>
      <c r="E830" s="11" t="s">
        <v>7</v>
      </c>
      <c r="F830" s="34">
        <v>42612</v>
      </c>
      <c r="G830"/>
      <c r="H830"/>
      <c r="I830" s="32">
        <v>42614</v>
      </c>
      <c r="J830"/>
      <c r="K830" s="31">
        <v>42618</v>
      </c>
      <c r="L830" s="30">
        <v>569.39</v>
      </c>
      <c r="M830" s="29"/>
      <c r="N830" s="28">
        <f>IF(OR(TableauCB[[#This Row],[Etat]]="",TableauCB[[#This Row],[Etat]]="c"),IF(TableauCB[[#This Row],[Solde]]="","",N829),N829-TableauCB[[#This Row],[Débit]]+TableauCB[[#This Row],[Crédit]])</f>
        <v>12915.646000000006</v>
      </c>
      <c r="O830" s="27">
        <f>IF(TableauCB[[#This Row],[Etat]]&lt;&gt;"",O829-TableauCB[[#This Row],[Débit]]+TableauCB[[#This Row],[Crédit]],O829-TableauCB[[#This Row],[Débit]])</f>
        <v>12795.649999999996</v>
      </c>
      <c r="P830" s="27">
        <f>IF(AND(ISBLANK(TableauCB[[#This Row],[Débit]]),ISBLANK(TableauCB[[#This Row],[Crédit]])),"",P829+TableauCB[[#This Row],[Crédit]]-TableauCB[[#This Row],[Débit]])</f>
        <v>11949.646000000006</v>
      </c>
      <c r="Q830" s="26"/>
      <c r="R830" s="36"/>
      <c r="S830" s="36"/>
      <c r="T830" s="24"/>
      <c r="U830" s="24"/>
      <c r="V830" s="9"/>
      <c r="W830" s="2"/>
      <c r="X830" s="9"/>
      <c r="Y830" s="8"/>
      <c r="Z830" s="7"/>
      <c r="AA830" s="7"/>
      <c r="AB830" s="6"/>
    </row>
    <row r="831" spans="2:28" ht="30" hidden="1" customHeight="1">
      <c r="B831" s="35" t="str">
        <f>IF(MONTH(F830)&lt;&gt;MONTH(TableauCB[[#This Row],[Date d''éxigibilité]]),(TableauCB[[#This Row],[Date d''éxigibilité]]),"")</f>
        <v/>
      </c>
      <c r="C831" s="11" t="s">
        <v>33</v>
      </c>
      <c r="D831" s="11" t="s">
        <v>5</v>
      </c>
      <c r="E831" s="11" t="s">
        <v>6</v>
      </c>
      <c r="F831" s="34">
        <v>42612</v>
      </c>
      <c r="G831"/>
      <c r="H831"/>
      <c r="I831" s="32">
        <v>42661</v>
      </c>
      <c r="J831"/>
      <c r="K831" s="31">
        <v>42301</v>
      </c>
      <c r="L831" s="30">
        <v>164.5</v>
      </c>
      <c r="M831" s="29"/>
      <c r="N831" s="28">
        <f>IF(OR(TableauCB[[#This Row],[Etat]]="",TableauCB[[#This Row],[Etat]]="c"),IF(TableauCB[[#This Row],[Solde]]="","",N830),N830-TableauCB[[#This Row],[Débit]]+TableauCB[[#This Row],[Crédit]])</f>
        <v>12751.146000000006</v>
      </c>
      <c r="O831" s="27">
        <f>IF(TableauCB[[#This Row],[Etat]]&lt;&gt;"",O830-TableauCB[[#This Row],[Débit]]+TableauCB[[#This Row],[Crédit]],O830-TableauCB[[#This Row],[Débit]])</f>
        <v>12631.149999999996</v>
      </c>
      <c r="P831" s="27">
        <f>IF(AND(ISBLANK(TableauCB[[#This Row],[Débit]]),ISBLANK(TableauCB[[#This Row],[Crédit]])),"",P830+TableauCB[[#This Row],[Crédit]]-TableauCB[[#This Row],[Débit]])</f>
        <v>11785.146000000006</v>
      </c>
      <c r="Q831" s="26"/>
      <c r="R831" s="25">
        <v>2991.65</v>
      </c>
      <c r="S831" s="25"/>
      <c r="T831" s="24"/>
      <c r="U831" s="24"/>
      <c r="V831" s="9"/>
      <c r="W831" s="2"/>
      <c r="X831" s="9"/>
      <c r="Y831" s="8"/>
      <c r="Z831" s="7"/>
      <c r="AA831" s="7"/>
      <c r="AB831" s="6"/>
    </row>
    <row r="832" spans="2:28" ht="30" hidden="1" customHeight="1">
      <c r="B832" s="35">
        <f>IF(MONTH(F831)&lt;&gt;MONTH(TableauCB[[#This Row],[Date d''éxigibilité]]),(TableauCB[[#This Row],[Date d''éxigibilité]]),"")</f>
        <v>42615</v>
      </c>
      <c r="C832" s="11" t="s">
        <v>33</v>
      </c>
      <c r="D832" s="11" t="s">
        <v>22</v>
      </c>
      <c r="E832" s="11" t="s">
        <v>43</v>
      </c>
      <c r="F832" s="34">
        <v>42615</v>
      </c>
      <c r="G832"/>
      <c r="H832"/>
      <c r="I832" s="32"/>
      <c r="J832"/>
      <c r="K832" s="31">
        <v>42615</v>
      </c>
      <c r="L832" s="30">
        <v>45.43</v>
      </c>
      <c r="M832" s="29"/>
      <c r="N832" s="28">
        <f>IF(OR(TableauCB[[#This Row],[Etat]]="",TableauCB[[#This Row],[Etat]]="c"),IF(TableauCB[[#This Row],[Solde]]="","",N831),N831-TableauCB[[#This Row],[Débit]]+TableauCB[[#This Row],[Crédit]])</f>
        <v>12705.716000000006</v>
      </c>
      <c r="O832" s="27">
        <f>IF(TableauCB[[#This Row],[Etat]]&lt;&gt;"",O831-TableauCB[[#This Row],[Débit]]+TableauCB[[#This Row],[Crédit]],O831-TableauCB[[#This Row],[Débit]])</f>
        <v>12585.719999999996</v>
      </c>
      <c r="P832" s="27">
        <f>IF(AND(ISBLANK(TableauCB[[#This Row],[Débit]]),ISBLANK(TableauCB[[#This Row],[Crédit]])),"",P831+TableauCB[[#This Row],[Crédit]]-TableauCB[[#This Row],[Débit]])</f>
        <v>11739.716000000006</v>
      </c>
      <c r="Q832" s="26"/>
      <c r="R832" s="25"/>
      <c r="S832" s="25"/>
      <c r="T832" s="24"/>
      <c r="U832" s="24"/>
      <c r="V832" s="9"/>
      <c r="W832" s="2"/>
      <c r="X832" s="9"/>
      <c r="Y832" s="8"/>
      <c r="Z832" s="7"/>
      <c r="AA832" s="7"/>
      <c r="AB832" s="6"/>
    </row>
    <row r="833" spans="2:28" ht="30" hidden="1" customHeight="1">
      <c r="B833" s="35" t="str">
        <f>IF(MONTH(F832)&lt;&gt;MONTH(TableauCB[[#This Row],[Date d''éxigibilité]]),(TableauCB[[#This Row],[Date d''éxigibilité]]),"")</f>
        <v/>
      </c>
      <c r="C833" s="11" t="s">
        <v>33</v>
      </c>
      <c r="D833" s="11" t="s">
        <v>22</v>
      </c>
      <c r="E833" s="11" t="s">
        <v>46</v>
      </c>
      <c r="F833" s="34">
        <v>42617</v>
      </c>
      <c r="G833"/>
      <c r="H833"/>
      <c r="I833" s="32">
        <v>42617</v>
      </c>
      <c r="J833"/>
      <c r="K833" s="31"/>
      <c r="L833" s="30">
        <v>40.82</v>
      </c>
      <c r="M833" s="29"/>
      <c r="N833" s="28">
        <f>IF(OR(TableauCB[[#This Row],[Etat]]="",TableauCB[[#This Row],[Etat]]="c"),IF(TableauCB[[#This Row],[Solde]]="","",N832),N832-TableauCB[[#This Row],[Débit]]+TableauCB[[#This Row],[Crédit]])</f>
        <v>12664.896000000006</v>
      </c>
      <c r="O833" s="27">
        <f>IF(TableauCB[[#This Row],[Etat]]&lt;&gt;"",O832-TableauCB[[#This Row],[Débit]]+TableauCB[[#This Row],[Crédit]],O832-TableauCB[[#This Row],[Débit]])</f>
        <v>12544.899999999996</v>
      </c>
      <c r="P833" s="27">
        <f>IF(AND(ISBLANK(TableauCB[[#This Row],[Débit]]),ISBLANK(TableauCB[[#This Row],[Crédit]])),"",P832+TableauCB[[#This Row],[Crédit]]-TableauCB[[#This Row],[Débit]])</f>
        <v>11698.896000000006</v>
      </c>
      <c r="Q833" s="26"/>
      <c r="R833" s="25"/>
      <c r="S833" s="25"/>
      <c r="T833" s="24"/>
      <c r="U833" s="24"/>
      <c r="V833" s="9"/>
      <c r="W833" s="2"/>
      <c r="X833" s="9"/>
      <c r="Y833" s="8"/>
      <c r="Z833" s="7"/>
      <c r="AA833" s="7"/>
      <c r="AB833" s="6"/>
    </row>
    <row r="834" spans="2:28" ht="30" hidden="1" customHeight="1">
      <c r="B834" s="35" t="str">
        <f>IF(MONTH(F833)&lt;&gt;MONTH(TableauCB[[#This Row],[Date d''éxigibilité]]),(TableauCB[[#This Row],[Date d''éxigibilité]]),"")</f>
        <v/>
      </c>
      <c r="C834" s="11" t="s">
        <v>33</v>
      </c>
      <c r="D834" s="11" t="s">
        <v>30</v>
      </c>
      <c r="E834" s="11" t="s">
        <v>30</v>
      </c>
      <c r="F834" s="34">
        <v>42617</v>
      </c>
      <c r="G834"/>
      <c r="H834"/>
      <c r="I834" s="32">
        <v>42617</v>
      </c>
      <c r="J834"/>
      <c r="K834" s="31"/>
      <c r="L834" s="30">
        <v>609</v>
      </c>
      <c r="M834" s="29"/>
      <c r="N834" s="28">
        <f>IF(OR(TableauCB[[#This Row],[Etat]]="",TableauCB[[#This Row],[Etat]]="c"),IF(TableauCB[[#This Row],[Solde]]="","",N833),N833-TableauCB[[#This Row],[Débit]]+TableauCB[[#This Row],[Crédit]])</f>
        <v>12055.896000000006</v>
      </c>
      <c r="O834" s="27">
        <f>IF(TableauCB[[#This Row],[Etat]]&lt;&gt;"",O833-TableauCB[[#This Row],[Débit]]+TableauCB[[#This Row],[Crédit]],O833-TableauCB[[#This Row],[Débit]])</f>
        <v>11935.899999999996</v>
      </c>
      <c r="P834" s="27">
        <f>IF(AND(ISBLANK(TableauCB[[#This Row],[Débit]]),ISBLANK(TableauCB[[#This Row],[Crédit]])),"",P833+TableauCB[[#This Row],[Crédit]]-TableauCB[[#This Row],[Débit]])</f>
        <v>11089.896000000006</v>
      </c>
      <c r="Q834" s="26"/>
      <c r="R834" s="25"/>
      <c r="S834" s="25"/>
      <c r="T834" s="24"/>
      <c r="U834" s="24"/>
      <c r="V834" s="9"/>
      <c r="W834" s="2"/>
      <c r="X834" s="9"/>
      <c r="Y834" s="8"/>
      <c r="Z834" s="7"/>
      <c r="AA834" s="7"/>
      <c r="AB834" s="6"/>
    </row>
    <row r="835" spans="2:28" ht="30" hidden="1" customHeight="1">
      <c r="B835" s="35" t="str">
        <f>IF(MONTH(F834)&lt;&gt;MONTH(TableauCB[[#This Row],[Date d''éxigibilité]]),(TableauCB[[#This Row],[Date d''éxigibilité]]),"")</f>
        <v/>
      </c>
      <c r="C835" s="11" t="s">
        <v>33</v>
      </c>
      <c r="D835" s="11" t="s">
        <v>30</v>
      </c>
      <c r="E835" s="11" t="s">
        <v>30</v>
      </c>
      <c r="F835" s="34">
        <v>42617</v>
      </c>
      <c r="G835"/>
      <c r="H835"/>
      <c r="I835" s="32">
        <v>42617</v>
      </c>
      <c r="J835"/>
      <c r="K835" s="31"/>
      <c r="L835" s="30">
        <v>87.18</v>
      </c>
      <c r="M835" s="29"/>
      <c r="N835" s="28">
        <f>IF(OR(TableauCB[[#This Row],[Etat]]="",TableauCB[[#This Row],[Etat]]="c"),IF(TableauCB[[#This Row],[Solde]]="","",N834),N834-TableauCB[[#This Row],[Débit]]+TableauCB[[#This Row],[Crédit]])</f>
        <v>11968.716000000006</v>
      </c>
      <c r="O835" s="27">
        <f>IF(TableauCB[[#This Row],[Etat]]&lt;&gt;"",O834-TableauCB[[#This Row],[Débit]]+TableauCB[[#This Row],[Crédit]],O834-TableauCB[[#This Row],[Débit]])</f>
        <v>11848.719999999996</v>
      </c>
      <c r="P835" s="27">
        <f>IF(AND(ISBLANK(TableauCB[[#This Row],[Débit]]),ISBLANK(TableauCB[[#This Row],[Crédit]])),"",P834+TableauCB[[#This Row],[Crédit]]-TableauCB[[#This Row],[Débit]])</f>
        <v>11002.716000000006</v>
      </c>
      <c r="Q835" s="26"/>
      <c r="R835" s="25"/>
      <c r="S835" s="25"/>
      <c r="T835" s="24"/>
      <c r="U835" s="24"/>
      <c r="V835" s="9"/>
      <c r="W835" s="2"/>
      <c r="X835" s="9"/>
      <c r="Y835" s="8"/>
      <c r="Z835" s="7"/>
      <c r="AA835" s="7"/>
      <c r="AB835" s="6"/>
    </row>
    <row r="836" spans="2:28" ht="30" hidden="1" customHeight="1">
      <c r="B836" s="35" t="str">
        <f>IF(MONTH(F835)&lt;&gt;MONTH(TableauCB[[#This Row],[Date d''éxigibilité]]),(TableauCB[[#This Row],[Date d''éxigibilité]]),"")</f>
        <v/>
      </c>
      <c r="C836" s="11" t="s">
        <v>33</v>
      </c>
      <c r="D836" s="11" t="s">
        <v>22</v>
      </c>
      <c r="E836" s="11" t="s">
        <v>21</v>
      </c>
      <c r="F836" s="34">
        <v>42622</v>
      </c>
      <c r="G836"/>
      <c r="H836"/>
      <c r="I836" s="32"/>
      <c r="J836"/>
      <c r="K836" s="31"/>
      <c r="L836" s="30">
        <v>22.2</v>
      </c>
      <c r="M836" s="29"/>
      <c r="N836" s="28">
        <f>IF(OR(TableauCB[[#This Row],[Etat]]="",TableauCB[[#This Row],[Etat]]="c"),IF(TableauCB[[#This Row],[Solde]]="","",N835),N835-TableauCB[[#This Row],[Débit]]+TableauCB[[#This Row],[Crédit]])</f>
        <v>11946.516000000005</v>
      </c>
      <c r="O836" s="27">
        <f>IF(TableauCB[[#This Row],[Etat]]&lt;&gt;"",O835-TableauCB[[#This Row],[Débit]]+TableauCB[[#This Row],[Crédit]],O835-TableauCB[[#This Row],[Débit]])</f>
        <v>11826.519999999995</v>
      </c>
      <c r="P836" s="27">
        <f>IF(AND(ISBLANK(TableauCB[[#This Row],[Débit]]),ISBLANK(TableauCB[[#This Row],[Crédit]])),"",P835+TableauCB[[#This Row],[Crédit]]-TableauCB[[#This Row],[Débit]])</f>
        <v>10980.516000000005</v>
      </c>
      <c r="Q836" s="26"/>
      <c r="R836" s="25"/>
      <c r="S836" s="25"/>
      <c r="T836" s="24"/>
      <c r="U836" s="24"/>
      <c r="V836" s="9"/>
      <c r="W836" s="2"/>
      <c r="X836" s="9"/>
      <c r="Y836" s="8"/>
      <c r="Z836" s="7"/>
      <c r="AA836" s="7"/>
      <c r="AB836" s="6"/>
    </row>
    <row r="837" spans="2:28" ht="30" hidden="1" customHeight="1">
      <c r="B837" s="35" t="str">
        <f>IF(MONTH(F836)&lt;&gt;MONTH(TableauCB[[#This Row],[Date d''éxigibilité]]),(TableauCB[[#This Row],[Date d''éxigibilité]]),"")</f>
        <v/>
      </c>
      <c r="C837" s="11" t="s">
        <v>33</v>
      </c>
      <c r="D837" s="11" t="s">
        <v>15</v>
      </c>
      <c r="E837" s="11" t="s">
        <v>19</v>
      </c>
      <c r="F837" s="34">
        <v>42628</v>
      </c>
      <c r="G837"/>
      <c r="H837"/>
      <c r="I837" s="32"/>
      <c r="J837"/>
      <c r="K837" s="31">
        <v>42629</v>
      </c>
      <c r="L837" s="30">
        <v>39</v>
      </c>
      <c r="M837" s="29"/>
      <c r="N837" s="28">
        <f>IF(OR(TableauCB[[#This Row],[Etat]]="",TableauCB[[#This Row],[Etat]]="c"),IF(TableauCB[[#This Row],[Solde]]="","",N836),N836-TableauCB[[#This Row],[Débit]]+TableauCB[[#This Row],[Crédit]])</f>
        <v>11907.516000000005</v>
      </c>
      <c r="O837" s="27">
        <f>IF(TableauCB[[#This Row],[Etat]]&lt;&gt;"",O836-TableauCB[[#This Row],[Débit]]+TableauCB[[#This Row],[Crédit]],O836-TableauCB[[#This Row],[Débit]])</f>
        <v>11787.519999999995</v>
      </c>
      <c r="P837" s="27">
        <f>IF(AND(ISBLANK(TableauCB[[#This Row],[Débit]]),ISBLANK(TableauCB[[#This Row],[Crédit]])),"",P836+TableauCB[[#This Row],[Crédit]]-TableauCB[[#This Row],[Débit]])</f>
        <v>10941.516000000005</v>
      </c>
      <c r="Q837" s="26"/>
      <c r="R837" s="25"/>
      <c r="S837" s="25"/>
      <c r="T837" s="24"/>
      <c r="U837" s="24"/>
      <c r="V837" s="9"/>
      <c r="W837" s="2"/>
      <c r="X837" s="9"/>
      <c r="Y837" s="8"/>
      <c r="Z837" s="7"/>
      <c r="AA837" s="7"/>
      <c r="AB837" s="6"/>
    </row>
    <row r="838" spans="2:28" ht="30" hidden="1" customHeight="1">
      <c r="B838" s="35" t="str">
        <f>IF(MONTH(F837)&lt;&gt;MONTH(TableauCB[[#This Row],[Date d''éxigibilité]]),(TableauCB[[#This Row],[Date d''éxigibilité]]),"")</f>
        <v/>
      </c>
      <c r="C838" s="11" t="s">
        <v>33</v>
      </c>
      <c r="D838" s="11" t="s">
        <v>22</v>
      </c>
      <c r="E838" s="11" t="s">
        <v>17</v>
      </c>
      <c r="F838" s="34">
        <v>42628</v>
      </c>
      <c r="G838"/>
      <c r="H838"/>
      <c r="I838" s="32"/>
      <c r="J838"/>
      <c r="K838" s="31">
        <v>42628</v>
      </c>
      <c r="L838" s="30">
        <v>45.6</v>
      </c>
      <c r="M838" s="29"/>
      <c r="N838" s="28">
        <f>IF(OR(TableauCB[[#This Row],[Etat]]="",TableauCB[[#This Row],[Etat]]="c"),IF(TableauCB[[#This Row],[Solde]]="","",N837),N837-TableauCB[[#This Row],[Débit]]+TableauCB[[#This Row],[Crédit]])</f>
        <v>11861.916000000005</v>
      </c>
      <c r="O838" s="27">
        <f>IF(TableauCB[[#This Row],[Etat]]&lt;&gt;"",O837-TableauCB[[#This Row],[Débit]]+TableauCB[[#This Row],[Crédit]],O837-TableauCB[[#This Row],[Débit]])</f>
        <v>11741.919999999995</v>
      </c>
      <c r="P838" s="27">
        <f>IF(AND(ISBLANK(TableauCB[[#This Row],[Débit]]),ISBLANK(TableauCB[[#This Row],[Crédit]])),"",P837+TableauCB[[#This Row],[Crédit]]-TableauCB[[#This Row],[Débit]])</f>
        <v>10895.916000000005</v>
      </c>
      <c r="Q838" s="26"/>
      <c r="R838" s="25"/>
      <c r="S838" s="25"/>
      <c r="T838" s="24"/>
      <c r="U838" s="24"/>
      <c r="V838" s="9"/>
      <c r="W838" s="2"/>
      <c r="X838" s="9"/>
      <c r="Y838" s="8"/>
      <c r="Z838" s="7"/>
      <c r="AA838" s="7"/>
      <c r="AB838" s="6"/>
    </row>
    <row r="839" spans="2:28" ht="30" hidden="1" customHeight="1">
      <c r="B839" s="35" t="str">
        <f>IF(MONTH(F838)&lt;&gt;MONTH(TableauCB[[#This Row],[Date d''éxigibilité]]),(TableauCB[[#This Row],[Date d''éxigibilité]]),"")</f>
        <v/>
      </c>
      <c r="C839" s="11" t="s">
        <v>33</v>
      </c>
      <c r="D839" s="11" t="s">
        <v>22</v>
      </c>
      <c r="E839" s="11" t="s">
        <v>17</v>
      </c>
      <c r="F839" s="34">
        <v>42633</v>
      </c>
      <c r="G839"/>
      <c r="H839"/>
      <c r="I839" s="32">
        <v>42639</v>
      </c>
      <c r="J839"/>
      <c r="K839" s="31">
        <v>42639</v>
      </c>
      <c r="L839" s="30">
        <v>3.59</v>
      </c>
      <c r="M839" s="29"/>
      <c r="N839" s="28">
        <f>IF(OR(TableauCB[[#This Row],[Etat]]="",TableauCB[[#This Row],[Etat]]="c"),IF(TableauCB[[#This Row],[Solde]]="","",N838),N838-TableauCB[[#This Row],[Débit]]+TableauCB[[#This Row],[Crédit]])</f>
        <v>11858.326000000005</v>
      </c>
      <c r="O839" s="27">
        <f>IF(TableauCB[[#This Row],[Etat]]&lt;&gt;"",O838-TableauCB[[#This Row],[Débit]]+TableauCB[[#This Row],[Crédit]],O838-TableauCB[[#This Row],[Débit]])</f>
        <v>11738.329999999994</v>
      </c>
      <c r="P839" s="27">
        <f>IF(AND(ISBLANK(TableauCB[[#This Row],[Débit]]),ISBLANK(TableauCB[[#This Row],[Crédit]])),"",P838+TableauCB[[#This Row],[Crédit]]-TableauCB[[#This Row],[Débit]])</f>
        <v>10892.326000000005</v>
      </c>
      <c r="Q839" s="26"/>
      <c r="R839" s="25"/>
      <c r="S839" s="25"/>
      <c r="T839" s="24"/>
      <c r="U839" s="24"/>
      <c r="V839" s="9"/>
      <c r="W839" s="2"/>
      <c r="X839" s="9"/>
      <c r="Y839" s="8"/>
      <c r="Z839" s="7"/>
      <c r="AA839" s="7"/>
      <c r="AB839" s="6"/>
    </row>
    <row r="840" spans="2:28" ht="30" hidden="1" customHeight="1">
      <c r="B840" s="35" t="str">
        <f>IF(MONTH(F839)&lt;&gt;MONTH(TableauCB[[#This Row],[Date d''éxigibilité]]),(TableauCB[[#This Row],[Date d''éxigibilité]]),"")</f>
        <v/>
      </c>
      <c r="C840" s="11" t="s">
        <v>33</v>
      </c>
      <c r="D840" s="11" t="s">
        <v>22</v>
      </c>
      <c r="E840" s="11" t="s">
        <v>17</v>
      </c>
      <c r="F840" s="34">
        <v>42636</v>
      </c>
      <c r="G840"/>
      <c r="H840"/>
      <c r="I840" s="32">
        <v>42636</v>
      </c>
      <c r="J840"/>
      <c r="K840" s="31">
        <v>42636</v>
      </c>
      <c r="L840" s="30">
        <v>9.74</v>
      </c>
      <c r="M840" s="29"/>
      <c r="N840" s="28">
        <f>IF(OR(TableauCB[[#This Row],[Etat]]="",TableauCB[[#This Row],[Etat]]="c"),IF(TableauCB[[#This Row],[Solde]]="","",N839),N839-TableauCB[[#This Row],[Débit]]+TableauCB[[#This Row],[Crédit]])</f>
        <v>11848.586000000005</v>
      </c>
      <c r="O840" s="27">
        <f>IF(TableauCB[[#This Row],[Etat]]&lt;&gt;"",O839-TableauCB[[#This Row],[Débit]]+TableauCB[[#This Row],[Crédit]],O839-TableauCB[[#This Row],[Débit]])</f>
        <v>11728.589999999995</v>
      </c>
      <c r="P840" s="27">
        <f>IF(AND(ISBLANK(TableauCB[[#This Row],[Débit]]),ISBLANK(TableauCB[[#This Row],[Crédit]])),"",P839+TableauCB[[#This Row],[Crédit]]-TableauCB[[#This Row],[Débit]])</f>
        <v>10882.586000000005</v>
      </c>
      <c r="Q840" s="26"/>
      <c r="T840" s="24"/>
      <c r="U840" s="24"/>
      <c r="V840" s="9"/>
      <c r="W840" s="2"/>
      <c r="X840" s="9"/>
      <c r="Y840" s="8"/>
      <c r="Z840" s="7"/>
      <c r="AA840" s="7"/>
      <c r="AB840" s="6"/>
    </row>
    <row r="841" spans="2:28" ht="30" hidden="1" customHeight="1">
      <c r="B841" s="35" t="str">
        <f>IF(MONTH(F840)&lt;&gt;MONTH(TableauCB[[#This Row],[Date d''éxigibilité]]),(TableauCB[[#This Row],[Date d''éxigibilité]]),"")</f>
        <v/>
      </c>
      <c r="C841" s="11" t="s">
        <v>33</v>
      </c>
      <c r="D841" s="11" t="s">
        <v>48</v>
      </c>
      <c r="E841" s="11" t="s">
        <v>49</v>
      </c>
      <c r="F841" s="34">
        <v>42641</v>
      </c>
      <c r="G841"/>
      <c r="H841"/>
      <c r="I841" s="32">
        <v>42650</v>
      </c>
      <c r="J841"/>
      <c r="K841" s="31">
        <v>42657</v>
      </c>
      <c r="L841" s="30"/>
      <c r="M841" s="29">
        <v>144</v>
      </c>
      <c r="N841" s="28">
        <f>IF(OR(TableauCB[[#This Row],[Etat]]="",TableauCB[[#This Row],[Etat]]="c"),IF(TableauCB[[#This Row],[Solde]]="","",N840),N840-TableauCB[[#This Row],[Débit]]+TableauCB[[#This Row],[Crédit]])</f>
        <v>11992.586000000005</v>
      </c>
      <c r="O841" s="27">
        <f>IF(TableauCB[[#This Row],[Etat]]&lt;&gt;"",O840-TableauCB[[#This Row],[Débit]]+TableauCB[[#This Row],[Crédit]],O840-TableauCB[[#This Row],[Débit]])</f>
        <v>11872.589999999995</v>
      </c>
      <c r="P841" s="27">
        <f>IF(AND(ISBLANK(TableauCB[[#This Row],[Débit]]),ISBLANK(TableauCB[[#This Row],[Crédit]])),"",P840+TableauCB[[#This Row],[Crédit]]-TableauCB[[#This Row],[Débit]])</f>
        <v>11026.586000000005</v>
      </c>
      <c r="Q841" s="26"/>
      <c r="T841" s="24"/>
      <c r="U841" s="24"/>
      <c r="V841" s="9"/>
      <c r="W841" s="2"/>
      <c r="X841" s="9"/>
      <c r="Y841" s="8"/>
      <c r="Z841" s="7"/>
      <c r="AA841" s="7"/>
      <c r="AB841" s="6"/>
    </row>
    <row r="842" spans="2:28" ht="30" hidden="1" customHeight="1">
      <c r="B842" s="35" t="str">
        <f>IF(MONTH(F841)&lt;&gt;MONTH(TableauCB[[#This Row],[Date d''éxigibilité]]),(TableauCB[[#This Row],[Date d''éxigibilité]]),"")</f>
        <v/>
      </c>
      <c r="C842" s="11" t="s">
        <v>33</v>
      </c>
      <c r="D842" s="11" t="s">
        <v>11</v>
      </c>
      <c r="E842" s="11" t="s">
        <v>10</v>
      </c>
      <c r="F842" s="34">
        <v>42643</v>
      </c>
      <c r="G842"/>
      <c r="H842"/>
      <c r="I842" s="32">
        <v>42689</v>
      </c>
      <c r="J842"/>
      <c r="K842" s="31">
        <v>42693</v>
      </c>
      <c r="L842" s="30"/>
      <c r="M842" s="29">
        <v>108</v>
      </c>
      <c r="N842" s="28">
        <f>IF(OR(TableauCB[[#This Row],[Etat]]="",TableauCB[[#This Row],[Etat]]="c"),IF(TableauCB[[#This Row],[Solde]]="","",N841),N841-TableauCB[[#This Row],[Débit]]+TableauCB[[#This Row],[Crédit]])</f>
        <v>12100.586000000005</v>
      </c>
      <c r="O842" s="27">
        <f>IF(TableauCB[[#This Row],[Etat]]&lt;&gt;"",O841-TableauCB[[#This Row],[Débit]]+TableauCB[[#This Row],[Crédit]],O841-TableauCB[[#This Row],[Débit]])</f>
        <v>11980.589999999995</v>
      </c>
      <c r="P842" s="27">
        <f>IF(AND(ISBLANK(TableauCB[[#This Row],[Débit]]),ISBLANK(TableauCB[[#This Row],[Crédit]])),"",P841+TableauCB[[#This Row],[Crédit]]-TableauCB[[#This Row],[Débit]])</f>
        <v>11134.586000000005</v>
      </c>
      <c r="Q842" s="26"/>
      <c r="T842" s="24"/>
      <c r="U842" s="24"/>
      <c r="V842" s="9"/>
      <c r="W842" s="2"/>
      <c r="X842" s="9"/>
      <c r="Y842" s="8"/>
      <c r="Z842" s="7"/>
      <c r="AA842" s="7"/>
      <c r="AB842" s="6"/>
    </row>
    <row r="843" spans="2:28" ht="30" hidden="1" customHeight="1">
      <c r="B843" s="35" t="str">
        <f>IF(MONTH(F842)&lt;&gt;MONTH(TableauCB[[#This Row],[Date d''éxigibilité]]),(TableauCB[[#This Row],[Date d''éxigibilité]]),"")</f>
        <v/>
      </c>
      <c r="C843" s="11"/>
      <c r="D843" s="11" t="s">
        <v>11</v>
      </c>
      <c r="E843" s="11" t="s">
        <v>10</v>
      </c>
      <c r="F843" s="34">
        <v>42643</v>
      </c>
      <c r="G843"/>
      <c r="H843"/>
      <c r="I843" s="32"/>
      <c r="J843"/>
      <c r="K843" s="31"/>
      <c r="L843" s="30"/>
      <c r="M843" s="29">
        <v>198</v>
      </c>
      <c r="N843" s="28">
        <f>IF(OR(TableauCB[[#This Row],[Etat]]="",TableauCB[[#This Row],[Etat]]="c"),IF(TableauCB[[#This Row],[Solde]]="","",N842),N842-TableauCB[[#This Row],[Débit]]+TableauCB[[#This Row],[Crédit]])</f>
        <v>12100.586000000005</v>
      </c>
      <c r="O843" s="27">
        <f>IF(TableauCB[[#This Row],[Etat]]&lt;&gt;"",O842-TableauCB[[#This Row],[Débit]]+TableauCB[[#This Row],[Crédit]],O842-TableauCB[[#This Row],[Débit]])</f>
        <v>11980.589999999995</v>
      </c>
      <c r="P843" s="27">
        <f>IF(AND(ISBLANK(TableauCB[[#This Row],[Débit]]),ISBLANK(TableauCB[[#This Row],[Crédit]])),"",P842+TableauCB[[#This Row],[Crédit]]-TableauCB[[#This Row],[Débit]])</f>
        <v>11332.586000000005</v>
      </c>
      <c r="Q843" s="26"/>
      <c r="T843" s="24"/>
      <c r="U843" s="24"/>
      <c r="V843" s="9"/>
      <c r="W843" s="2"/>
      <c r="X843" s="9"/>
      <c r="Y843" s="8"/>
      <c r="Z843" s="7"/>
      <c r="AA843" s="7"/>
      <c r="AB843" s="6"/>
    </row>
    <row r="844" spans="2:28" ht="30" hidden="1" customHeight="1">
      <c r="B844" s="35" t="str">
        <f>IF(MONTH(F843)&lt;&gt;MONTH(TableauCB[[#This Row],[Date d''éxigibilité]]),(TableauCB[[#This Row],[Date d''éxigibilité]]),"")</f>
        <v/>
      </c>
      <c r="C844" s="11" t="s">
        <v>33</v>
      </c>
      <c r="D844" s="11" t="s">
        <v>11</v>
      </c>
      <c r="E844" s="11" t="s">
        <v>10</v>
      </c>
      <c r="F844" s="34">
        <v>42643</v>
      </c>
      <c r="G844"/>
      <c r="H844"/>
      <c r="I844" s="32">
        <v>42719</v>
      </c>
      <c r="J844"/>
      <c r="K844" s="31">
        <v>42721</v>
      </c>
      <c r="L844" s="30"/>
      <c r="M844" s="29">
        <v>151.80000000000001</v>
      </c>
      <c r="N844" s="28">
        <f>IF(OR(TableauCB[[#This Row],[Etat]]="",TableauCB[[#This Row],[Etat]]="c"),IF(TableauCB[[#This Row],[Solde]]="","",N843),N843-TableauCB[[#This Row],[Débit]]+TableauCB[[#This Row],[Crédit]])</f>
        <v>12252.386000000004</v>
      </c>
      <c r="O844" s="27">
        <f>IF(TableauCB[[#This Row],[Etat]]&lt;&gt;"",O843-TableauCB[[#This Row],[Débit]]+TableauCB[[#This Row],[Crédit]],O843-TableauCB[[#This Row],[Débit]])</f>
        <v>12132.389999999994</v>
      </c>
      <c r="P844" s="27">
        <f>IF(AND(ISBLANK(TableauCB[[#This Row],[Débit]]),ISBLANK(TableauCB[[#This Row],[Crédit]])),"",P843+TableauCB[[#This Row],[Crédit]]-TableauCB[[#This Row],[Débit]])</f>
        <v>11484.386000000004</v>
      </c>
      <c r="Q844" s="26"/>
      <c r="T844" s="24"/>
      <c r="U844" s="24"/>
      <c r="V844" s="9"/>
      <c r="W844" s="2"/>
      <c r="X844" s="9"/>
      <c r="Y844" s="8"/>
      <c r="Z844" s="7"/>
      <c r="AA844" s="7"/>
      <c r="AB844" s="6"/>
    </row>
    <row r="845" spans="2:28" ht="30" hidden="1" customHeight="1">
      <c r="B845" s="35" t="str">
        <f>IF(MONTH(F844)&lt;&gt;MONTH(TableauCB[[#This Row],[Date d''éxigibilité]]),(TableauCB[[#This Row],[Date d''éxigibilité]]),"")</f>
        <v/>
      </c>
      <c r="C845" s="11" t="s">
        <v>33</v>
      </c>
      <c r="D845" s="11" t="s">
        <v>11</v>
      </c>
      <c r="E845" s="11" t="s">
        <v>12</v>
      </c>
      <c r="F845" s="34">
        <v>42643</v>
      </c>
      <c r="G845"/>
      <c r="H845"/>
      <c r="I845" s="32">
        <v>42650</v>
      </c>
      <c r="J845"/>
      <c r="K845" s="31">
        <v>42657</v>
      </c>
      <c r="L845" s="30"/>
      <c r="M845" s="29">
        <v>522</v>
      </c>
      <c r="N845" s="28">
        <f>IF(OR(TableauCB[[#This Row],[Etat]]="",TableauCB[[#This Row],[Etat]]="c"),IF(TableauCB[[#This Row],[Solde]]="","",N844),N844-TableauCB[[#This Row],[Débit]]+TableauCB[[#This Row],[Crédit]])</f>
        <v>12774.386000000004</v>
      </c>
      <c r="O845" s="27">
        <f>IF(TableauCB[[#This Row],[Etat]]&lt;&gt;"",O844-TableauCB[[#This Row],[Débit]]+TableauCB[[#This Row],[Crédit]],O844-TableauCB[[#This Row],[Débit]])</f>
        <v>12654.389999999994</v>
      </c>
      <c r="P845" s="27">
        <f>IF(AND(ISBLANK(TableauCB[[#This Row],[Débit]]),ISBLANK(TableauCB[[#This Row],[Crédit]])),"",P844+TableauCB[[#This Row],[Crédit]]-TableauCB[[#This Row],[Débit]])</f>
        <v>12006.386000000004</v>
      </c>
      <c r="Q845" s="26"/>
      <c r="T845" s="24"/>
      <c r="U845" s="24"/>
      <c r="V845" s="9"/>
      <c r="W845" s="2"/>
      <c r="X845" s="9"/>
      <c r="Y845" s="8"/>
      <c r="Z845" s="7"/>
      <c r="AA845" s="7"/>
      <c r="AB845" s="6"/>
    </row>
    <row r="846" spans="2:28" ht="30" hidden="1" customHeight="1">
      <c r="B846" s="35" t="str">
        <f>IF(MONTH(F845)&lt;&gt;MONTH(TableauCB[[#This Row],[Date d''éxigibilité]]),(TableauCB[[#This Row],[Date d''éxigibilité]]),"")</f>
        <v/>
      </c>
      <c r="C846" s="11" t="s">
        <v>33</v>
      </c>
      <c r="D846" s="11" t="s">
        <v>11</v>
      </c>
      <c r="E846" s="11" t="s">
        <v>10</v>
      </c>
      <c r="F846" s="34">
        <v>42643</v>
      </c>
      <c r="G846"/>
      <c r="H846"/>
      <c r="I846" s="32">
        <v>42660</v>
      </c>
      <c r="J846"/>
      <c r="K846" s="31">
        <v>42660</v>
      </c>
      <c r="L846" s="30"/>
      <c r="M846" s="29">
        <v>240</v>
      </c>
      <c r="N846" s="28">
        <f>IF(OR(TableauCB[[#This Row],[Etat]]="",TableauCB[[#This Row],[Etat]]="c"),IF(TableauCB[[#This Row],[Solde]]="","",N845),N845-TableauCB[[#This Row],[Débit]]+TableauCB[[#This Row],[Crédit]])</f>
        <v>13014.386000000004</v>
      </c>
      <c r="O846" s="27">
        <f>IF(TableauCB[[#This Row],[Etat]]&lt;&gt;"",O845-TableauCB[[#This Row],[Débit]]+TableauCB[[#This Row],[Crédit]],O845-TableauCB[[#This Row],[Débit]])</f>
        <v>12894.389999999994</v>
      </c>
      <c r="P846" s="27">
        <f>IF(AND(ISBLANK(TableauCB[[#This Row],[Débit]]),ISBLANK(TableauCB[[#This Row],[Crédit]])),"",P845+TableauCB[[#This Row],[Crédit]]-TableauCB[[#This Row],[Débit]])</f>
        <v>12246.386000000004</v>
      </c>
      <c r="Q846" s="26"/>
      <c r="T846" s="24"/>
      <c r="U846" s="24"/>
      <c r="V846" s="9"/>
      <c r="W846" s="2"/>
      <c r="X846" s="9"/>
      <c r="Y846" s="8"/>
      <c r="Z846" s="7"/>
      <c r="AA846" s="7"/>
      <c r="AB846" s="6"/>
    </row>
    <row r="847" spans="2:28" ht="30" hidden="1" customHeight="1">
      <c r="B847" s="35" t="str">
        <f>IF(MONTH(F846)&lt;&gt;MONTH(TableauCB[[#This Row],[Date d''éxigibilité]]),(TableauCB[[#This Row],[Date d''éxigibilité]]),"")</f>
        <v/>
      </c>
      <c r="C847" s="11" t="s">
        <v>33</v>
      </c>
      <c r="D847" s="11" t="s">
        <v>11</v>
      </c>
      <c r="E847" s="11" t="s">
        <v>10</v>
      </c>
      <c r="F847" s="34">
        <v>42643</v>
      </c>
      <c r="G847"/>
      <c r="H847"/>
      <c r="I847" s="32">
        <v>42677</v>
      </c>
      <c r="J847"/>
      <c r="K847" s="31">
        <v>42677</v>
      </c>
      <c r="L847" s="30"/>
      <c r="M847" s="29">
        <v>624</v>
      </c>
      <c r="N847" s="28">
        <f>IF(OR(TableauCB[[#This Row],[Etat]]="",TableauCB[[#This Row],[Etat]]="c"),IF(TableauCB[[#This Row],[Solde]]="","",N846),N846-TableauCB[[#This Row],[Débit]]+TableauCB[[#This Row],[Crédit]])</f>
        <v>13638.386000000004</v>
      </c>
      <c r="O847" s="27">
        <f>IF(TableauCB[[#This Row],[Etat]]&lt;&gt;"",O846-TableauCB[[#This Row],[Débit]]+TableauCB[[#This Row],[Crédit]],O846-TableauCB[[#This Row],[Débit]])</f>
        <v>13518.389999999994</v>
      </c>
      <c r="P847" s="27">
        <f>IF(AND(ISBLANK(TableauCB[[#This Row],[Débit]]),ISBLANK(TableauCB[[#This Row],[Crédit]])),"",P846+TableauCB[[#This Row],[Crédit]]-TableauCB[[#This Row],[Débit]])</f>
        <v>12870.386000000004</v>
      </c>
      <c r="Q847" s="26"/>
      <c r="T847" s="24"/>
      <c r="U847" s="24"/>
      <c r="V847" s="9"/>
      <c r="W847" s="2"/>
      <c r="X847" s="9"/>
      <c r="Y847" s="8"/>
      <c r="Z847" s="7"/>
      <c r="AA847" s="7"/>
      <c r="AB847" s="6"/>
    </row>
    <row r="848" spans="2:28" ht="30" hidden="1" customHeight="1">
      <c r="B848" s="35" t="str">
        <f>IF(MONTH(F847)&lt;&gt;MONTH(TableauCB[[#This Row],[Date d''éxigibilité]]),(TableauCB[[#This Row],[Date d''éxigibilité]]),"")</f>
        <v/>
      </c>
      <c r="C848" s="11" t="s">
        <v>33</v>
      </c>
      <c r="D848" s="11" t="s">
        <v>11</v>
      </c>
      <c r="E848" s="11" t="s">
        <v>12</v>
      </c>
      <c r="F848" s="34">
        <v>42643</v>
      </c>
      <c r="G848"/>
      <c r="H848"/>
      <c r="I848" s="32">
        <v>42672</v>
      </c>
      <c r="J848"/>
      <c r="K848" s="31"/>
      <c r="L848" s="30"/>
      <c r="M848" s="29">
        <v>115.2</v>
      </c>
      <c r="N848" s="28">
        <f>IF(OR(TableauCB[[#This Row],[Etat]]="",TableauCB[[#This Row],[Etat]]="c"),IF(TableauCB[[#This Row],[Solde]]="","",N847),N847-TableauCB[[#This Row],[Débit]]+TableauCB[[#This Row],[Crédit]])</f>
        <v>13753.586000000005</v>
      </c>
      <c r="O848" s="27">
        <f>IF(TableauCB[[#This Row],[Etat]]&lt;&gt;"",O847-TableauCB[[#This Row],[Débit]]+TableauCB[[#This Row],[Crédit]],O847-TableauCB[[#This Row],[Débit]])</f>
        <v>13633.589999999995</v>
      </c>
      <c r="P848" s="27">
        <f>IF(AND(ISBLANK(TableauCB[[#This Row],[Débit]]),ISBLANK(TableauCB[[#This Row],[Crédit]])),"",P847+TableauCB[[#This Row],[Crédit]]-TableauCB[[#This Row],[Débit]])</f>
        <v>12985.586000000005</v>
      </c>
      <c r="Q848" s="26"/>
      <c r="T848" s="24"/>
      <c r="U848" s="24"/>
      <c r="V848" s="9"/>
      <c r="W848" s="2"/>
      <c r="X848" s="9"/>
      <c r="Y848" s="8"/>
      <c r="Z848" s="7"/>
      <c r="AA848" s="7"/>
      <c r="AB848" s="6"/>
    </row>
    <row r="849" spans="2:28" ht="30" hidden="1" customHeight="1">
      <c r="B849" s="35" t="str">
        <f>IF(MONTH(F848)&lt;&gt;MONTH(TableauCB[[#This Row],[Date d''éxigibilité]]),(TableauCB[[#This Row],[Date d''éxigibilité]]),"")</f>
        <v/>
      </c>
      <c r="C849" s="11" t="s">
        <v>33</v>
      </c>
      <c r="D849" s="11" t="s">
        <v>11</v>
      </c>
      <c r="E849" s="11" t="s">
        <v>10</v>
      </c>
      <c r="F849" s="34">
        <v>42643</v>
      </c>
      <c r="G849"/>
      <c r="H849"/>
      <c r="I849" s="32">
        <v>42761</v>
      </c>
      <c r="J849"/>
      <c r="K849" s="31">
        <v>42763</v>
      </c>
      <c r="L849" s="30"/>
      <c r="M849" s="29">
        <v>96</v>
      </c>
      <c r="N849" s="28">
        <f>IF(OR(TableauCB[[#This Row],[Etat]]="",TableauCB[[#This Row],[Etat]]="c"),IF(TableauCB[[#This Row],[Solde]]="","",N848),N848-TableauCB[[#This Row],[Débit]]+TableauCB[[#This Row],[Crédit]])</f>
        <v>13849.586000000005</v>
      </c>
      <c r="O849" s="27">
        <f>IF(TableauCB[[#This Row],[Etat]]&lt;&gt;"",O848-TableauCB[[#This Row],[Débit]]+TableauCB[[#This Row],[Crédit]],O848-TableauCB[[#This Row],[Débit]])</f>
        <v>13729.589999999995</v>
      </c>
      <c r="P849" s="27">
        <f>IF(AND(ISBLANK(TableauCB[[#This Row],[Débit]]),ISBLANK(TableauCB[[#This Row],[Crédit]])),"",P848+TableauCB[[#This Row],[Crédit]]-TableauCB[[#This Row],[Débit]])</f>
        <v>13081.586000000005</v>
      </c>
      <c r="Q849" s="26"/>
      <c r="T849" s="24"/>
      <c r="U849" s="24"/>
      <c r="V849" s="9"/>
      <c r="W849" s="2"/>
      <c r="X849" s="9"/>
      <c r="Y849" s="8"/>
      <c r="Z849" s="7"/>
      <c r="AA849" s="7"/>
      <c r="AB849" s="6"/>
    </row>
    <row r="850" spans="2:28" ht="30" hidden="1" customHeight="1">
      <c r="B850" s="35" t="str">
        <f>IF(MONTH(F849)&lt;&gt;MONTH(TableauCB[[#This Row],[Date d''éxigibilité]]),(TableauCB[[#This Row],[Date d''éxigibilité]]),"")</f>
        <v/>
      </c>
      <c r="C850" s="11" t="s">
        <v>33</v>
      </c>
      <c r="D850" s="11" t="s">
        <v>11</v>
      </c>
      <c r="E850" s="11" t="s">
        <v>10</v>
      </c>
      <c r="F850" s="34">
        <v>42643</v>
      </c>
      <c r="G850"/>
      <c r="H850"/>
      <c r="I850" s="32">
        <v>42661</v>
      </c>
      <c r="J850"/>
      <c r="K850" s="31">
        <v>42662</v>
      </c>
      <c r="L850" s="30"/>
      <c r="M850" s="29">
        <v>510</v>
      </c>
      <c r="N850" s="28">
        <f>IF(OR(TableauCB[[#This Row],[Etat]]="",TableauCB[[#This Row],[Etat]]="c"),IF(TableauCB[[#This Row],[Solde]]="","",N849),N849-TableauCB[[#This Row],[Débit]]+TableauCB[[#This Row],[Crédit]])</f>
        <v>14359.586000000005</v>
      </c>
      <c r="O850" s="27">
        <f>IF(TableauCB[[#This Row],[Etat]]&lt;&gt;"",O849-TableauCB[[#This Row],[Débit]]+TableauCB[[#This Row],[Crédit]],O849-TableauCB[[#This Row],[Débit]])</f>
        <v>14239.589999999995</v>
      </c>
      <c r="P850" s="27">
        <f>IF(AND(ISBLANK(TableauCB[[#This Row],[Débit]]),ISBLANK(TableauCB[[#This Row],[Crédit]])),"",P849+TableauCB[[#This Row],[Crédit]]-TableauCB[[#This Row],[Débit]])</f>
        <v>13591.586000000005</v>
      </c>
      <c r="Q850" s="26"/>
      <c r="R850" s="25"/>
      <c r="S850" s="25"/>
      <c r="T850" s="24"/>
      <c r="U850" s="24"/>
      <c r="V850" s="9"/>
      <c r="W850" s="2"/>
      <c r="X850" s="9"/>
      <c r="Y850" s="8"/>
      <c r="Z850" s="7"/>
      <c r="AA850" s="7"/>
      <c r="AB850" s="6"/>
    </row>
    <row r="851" spans="2:28" ht="30" hidden="1" customHeight="1">
      <c r="B851" s="35" t="str">
        <f>IF(MONTH(F850)&lt;&gt;MONTH(TableauCB[[#This Row],[Date d''éxigibilité]]),(TableauCB[[#This Row],[Date d''éxigibilité]]),"")</f>
        <v/>
      </c>
      <c r="C851" s="11" t="s">
        <v>33</v>
      </c>
      <c r="D851" s="11" t="s">
        <v>11</v>
      </c>
      <c r="E851" s="11" t="s">
        <v>10</v>
      </c>
      <c r="F851" s="34">
        <v>42643</v>
      </c>
      <c r="G851"/>
      <c r="H851"/>
      <c r="I851" s="32">
        <v>42655</v>
      </c>
      <c r="J851"/>
      <c r="K851" s="31">
        <v>42655</v>
      </c>
      <c r="L851" s="30"/>
      <c r="M851" s="29">
        <v>228</v>
      </c>
      <c r="N851" s="28">
        <f>IF(OR(TableauCB[[#This Row],[Etat]]="",TableauCB[[#This Row],[Etat]]="c"),IF(TableauCB[[#This Row],[Solde]]="","",N850),N850-TableauCB[[#This Row],[Débit]]+TableauCB[[#This Row],[Crédit]])</f>
        <v>14587.586000000005</v>
      </c>
      <c r="O851" s="27">
        <f>IF(TableauCB[[#This Row],[Etat]]&lt;&gt;"",O850-TableauCB[[#This Row],[Débit]]+TableauCB[[#This Row],[Crédit]],O850-TableauCB[[#This Row],[Débit]])</f>
        <v>14467.589999999995</v>
      </c>
      <c r="P851" s="27">
        <f>IF(AND(ISBLANK(TableauCB[[#This Row],[Débit]]),ISBLANK(TableauCB[[#This Row],[Crédit]])),"",P850+TableauCB[[#This Row],[Crédit]]-TableauCB[[#This Row],[Débit]])</f>
        <v>13819.586000000005</v>
      </c>
      <c r="Q851" s="26"/>
      <c r="R851" s="25"/>
      <c r="S851" s="25"/>
      <c r="T851" s="24"/>
      <c r="U851" s="24"/>
      <c r="V851" s="9"/>
      <c r="W851" s="2"/>
      <c r="X851" s="9"/>
      <c r="Y851" s="8"/>
      <c r="Z851" s="7"/>
      <c r="AA851" s="7"/>
      <c r="AB851" s="6"/>
    </row>
    <row r="852" spans="2:28" ht="30" hidden="1" customHeight="1">
      <c r="B852" s="35" t="str">
        <f>IF(MONTH(F851)&lt;&gt;MONTH(TableauCB[[#This Row],[Date d''éxigibilité]]),(TableauCB[[#This Row],[Date d''éxigibilité]]),"")</f>
        <v/>
      </c>
      <c r="C852" s="11" t="s">
        <v>33</v>
      </c>
      <c r="D852" s="11" t="s">
        <v>22</v>
      </c>
      <c r="E852" s="11" t="s">
        <v>43</v>
      </c>
      <c r="F852" s="34">
        <v>42643</v>
      </c>
      <c r="G852"/>
      <c r="H852"/>
      <c r="I852" s="32">
        <v>42646</v>
      </c>
      <c r="J852"/>
      <c r="K852" s="31">
        <v>42670</v>
      </c>
      <c r="L852" s="30">
        <v>194.57</v>
      </c>
      <c r="M852" s="29"/>
      <c r="N852" s="28">
        <f>IF(OR(TableauCB[[#This Row],[Etat]]="",TableauCB[[#This Row],[Etat]]="c"),IF(TableauCB[[#This Row],[Solde]]="","",N851),N851-TableauCB[[#This Row],[Débit]]+TableauCB[[#This Row],[Crédit]])</f>
        <v>14393.016000000005</v>
      </c>
      <c r="O852" s="27">
        <f>IF(TableauCB[[#This Row],[Etat]]&lt;&gt;"",O851-TableauCB[[#This Row],[Débit]]+TableauCB[[#This Row],[Crédit]],O851-TableauCB[[#This Row],[Débit]])</f>
        <v>14273.019999999995</v>
      </c>
      <c r="P852" s="27">
        <f>IF(AND(ISBLANK(TableauCB[[#This Row],[Débit]]),ISBLANK(TableauCB[[#This Row],[Crédit]])),"",P851+TableauCB[[#This Row],[Crédit]]-TableauCB[[#This Row],[Débit]])</f>
        <v>13625.016000000005</v>
      </c>
      <c r="Q852" s="26"/>
      <c r="R852" s="25"/>
      <c r="S852" s="25"/>
      <c r="T852" s="24"/>
      <c r="U852" s="24"/>
      <c r="V852" s="9"/>
      <c r="W852" s="2"/>
      <c r="X852" s="9"/>
      <c r="Y852" s="8"/>
      <c r="Z852" s="7"/>
      <c r="AA852" s="7"/>
      <c r="AB852" s="6"/>
    </row>
    <row r="853" spans="2:28" ht="30" hidden="1" customHeight="1">
      <c r="B853" s="35" t="str">
        <f>IF(MONTH(F852)&lt;&gt;MONTH(TableauCB[[#This Row],[Date d''éxigibilité]]),(TableauCB[[#This Row],[Date d''éxigibilité]]),"")</f>
        <v/>
      </c>
      <c r="C853" s="11" t="s">
        <v>33</v>
      </c>
      <c r="D853" s="11" t="s">
        <v>5</v>
      </c>
      <c r="E853" s="11" t="s">
        <v>7</v>
      </c>
      <c r="F853" s="34">
        <v>42643</v>
      </c>
      <c r="G853"/>
      <c r="H853"/>
      <c r="I853" s="32">
        <v>42646</v>
      </c>
      <c r="J853"/>
      <c r="K853" s="31"/>
      <c r="L853" s="30">
        <v>584.88</v>
      </c>
      <c r="M853" s="29"/>
      <c r="N853" s="28">
        <f>IF(OR(TableauCB[[#This Row],[Etat]]="",TableauCB[[#This Row],[Etat]]="c"),IF(TableauCB[[#This Row],[Solde]]="","",N852),N852-TableauCB[[#This Row],[Débit]]+TableauCB[[#This Row],[Crédit]])</f>
        <v>13808.136000000006</v>
      </c>
      <c r="O853" s="27">
        <f>IF(TableauCB[[#This Row],[Etat]]&lt;&gt;"",O852-TableauCB[[#This Row],[Débit]]+TableauCB[[#This Row],[Crédit]],O852-TableauCB[[#This Row],[Débit]])</f>
        <v>13688.139999999996</v>
      </c>
      <c r="P853" s="27">
        <f>IF(AND(ISBLANK(TableauCB[[#This Row],[Débit]]),ISBLANK(TableauCB[[#This Row],[Crédit]])),"",P852+TableauCB[[#This Row],[Crédit]]-TableauCB[[#This Row],[Débit]])</f>
        <v>13040.136000000006</v>
      </c>
      <c r="Q853" s="26"/>
      <c r="R853" s="25"/>
      <c r="S853" s="25"/>
      <c r="T853" s="37"/>
      <c r="U853" s="37"/>
      <c r="V853" s="9"/>
      <c r="W853" s="2"/>
      <c r="X853" s="9"/>
      <c r="Y853" s="8"/>
      <c r="Z853" s="7"/>
      <c r="AA853" s="7"/>
      <c r="AB853" s="6"/>
    </row>
    <row r="854" spans="2:28" ht="30" hidden="1" customHeight="1">
      <c r="B854" s="35" t="str">
        <f>IF(MONTH(F853)&lt;&gt;MONTH(TableauCB[[#This Row],[Date d''éxigibilité]]),(TableauCB[[#This Row],[Date d''éxigibilité]]),"")</f>
        <v/>
      </c>
      <c r="C854" s="11" t="s">
        <v>33</v>
      </c>
      <c r="D854" s="11" t="s">
        <v>5</v>
      </c>
      <c r="E854" s="11" t="s">
        <v>6</v>
      </c>
      <c r="F854" s="34">
        <v>42643</v>
      </c>
      <c r="G854"/>
      <c r="H854"/>
      <c r="I854" s="32">
        <v>42661</v>
      </c>
      <c r="J854"/>
      <c r="K854" s="31">
        <v>42298</v>
      </c>
      <c r="L854" s="30">
        <v>303.76</v>
      </c>
      <c r="M854" s="29"/>
      <c r="N854" s="28">
        <f>IF(OR(TableauCB[[#This Row],[Etat]]="",TableauCB[[#This Row],[Etat]]="c"),IF(TableauCB[[#This Row],[Solde]]="","",N853),N853-TableauCB[[#This Row],[Débit]]+TableauCB[[#This Row],[Crédit]])</f>
        <v>13504.376000000006</v>
      </c>
      <c r="O854" s="27">
        <f>IF(TableauCB[[#This Row],[Etat]]&lt;&gt;"",O853-TableauCB[[#This Row],[Débit]]+TableauCB[[#This Row],[Crédit]],O853-TableauCB[[#This Row],[Débit]])</f>
        <v>13384.379999999996</v>
      </c>
      <c r="P854" s="27">
        <f>IF(AND(ISBLANK(TableauCB[[#This Row],[Débit]]),ISBLANK(TableauCB[[#This Row],[Crédit]])),"",P853+TableauCB[[#This Row],[Crédit]]-TableauCB[[#This Row],[Débit]])</f>
        <v>12736.376000000006</v>
      </c>
      <c r="Q854" s="26"/>
      <c r="R854" s="42">
        <v>951.23</v>
      </c>
      <c r="S854" s="36"/>
      <c r="T854" s="36"/>
      <c r="U854" s="36"/>
      <c r="V854" s="9"/>
      <c r="W854" s="2"/>
      <c r="X854" s="9"/>
      <c r="Y854" s="8"/>
      <c r="Z854" s="7"/>
      <c r="AA854" s="7"/>
      <c r="AB854" s="6"/>
    </row>
    <row r="855" spans="2:28" ht="30" hidden="1" customHeight="1">
      <c r="B855" s="35">
        <f>IF(MONTH(F854)&lt;&gt;MONTH(TableauCB[[#This Row],[Date d''éxigibilité]]),(TableauCB[[#This Row],[Date d''éxigibilité]]),"")</f>
        <v>42646</v>
      </c>
      <c r="C855" s="11" t="s">
        <v>33</v>
      </c>
      <c r="D855" s="10" t="s">
        <v>22</v>
      </c>
      <c r="E855" s="11" t="s">
        <v>21</v>
      </c>
      <c r="F855" s="34">
        <v>42646</v>
      </c>
      <c r="G855"/>
      <c r="H855"/>
      <c r="I855" s="32">
        <v>42646</v>
      </c>
      <c r="J855"/>
      <c r="K855" s="31">
        <v>42646</v>
      </c>
      <c r="L855" s="30">
        <v>9.17</v>
      </c>
      <c r="M855" s="29"/>
      <c r="N855" s="28">
        <f>IF(OR(TableauCB[[#This Row],[Etat]]="",TableauCB[[#This Row],[Etat]]="c"),IF(TableauCB[[#This Row],[Solde]]="","",N854),N854-TableauCB[[#This Row],[Débit]]+TableauCB[[#This Row],[Crédit]])</f>
        <v>13495.206000000006</v>
      </c>
      <c r="O855" s="27">
        <f>IF(TableauCB[[#This Row],[Etat]]&lt;&gt;"",O854-TableauCB[[#This Row],[Débit]]+TableauCB[[#This Row],[Crédit]],O854-TableauCB[[#This Row],[Débit]])</f>
        <v>13375.209999999995</v>
      </c>
      <c r="P855" s="27">
        <f>IF(AND(ISBLANK(TableauCB[[#This Row],[Débit]]),ISBLANK(TableauCB[[#This Row],[Crédit]])),"",P854+TableauCB[[#This Row],[Crédit]]-TableauCB[[#This Row],[Débit]])</f>
        <v>12727.206000000006</v>
      </c>
      <c r="Q855" s="26"/>
      <c r="R855" s="25"/>
      <c r="S855" s="25"/>
      <c r="T855" s="24"/>
      <c r="U855" s="24"/>
      <c r="V855" s="9"/>
      <c r="W855" s="2"/>
      <c r="X855" s="9"/>
      <c r="Y855" s="8"/>
      <c r="Z855" s="7"/>
      <c r="AA855" s="7"/>
      <c r="AB855" s="6"/>
    </row>
    <row r="856" spans="2:28" ht="30" hidden="1" customHeight="1">
      <c r="B856" s="35" t="str">
        <f>IF(MONTH(F855)&lt;&gt;MONTH(TableauCB[[#This Row],[Date d''éxigibilité]]),(TableauCB[[#This Row],[Date d''éxigibilité]]),"")</f>
        <v/>
      </c>
      <c r="C856" s="11" t="s">
        <v>33</v>
      </c>
      <c r="D856" s="10" t="s">
        <v>15</v>
      </c>
      <c r="E856" s="11" t="s">
        <v>5</v>
      </c>
      <c r="F856" s="34">
        <v>42649</v>
      </c>
      <c r="G856"/>
      <c r="H856"/>
      <c r="I856" s="32"/>
      <c r="J856"/>
      <c r="K856" s="31"/>
      <c r="L856" s="30">
        <v>300</v>
      </c>
      <c r="M856" s="29"/>
      <c r="N856" s="28">
        <f>IF(OR(TableauCB[[#This Row],[Etat]]="",TableauCB[[#This Row],[Etat]]="c"),IF(TableauCB[[#This Row],[Solde]]="","",N855),N855-TableauCB[[#This Row],[Débit]]+TableauCB[[#This Row],[Crédit]])</f>
        <v>13195.206000000006</v>
      </c>
      <c r="O856" s="27">
        <f>IF(TableauCB[[#This Row],[Etat]]&lt;&gt;"",O855-TableauCB[[#This Row],[Débit]]+TableauCB[[#This Row],[Crédit]],O855-TableauCB[[#This Row],[Débit]])</f>
        <v>13075.209999999995</v>
      </c>
      <c r="P856" s="27">
        <f>IF(AND(ISBLANK(TableauCB[[#This Row],[Débit]]),ISBLANK(TableauCB[[#This Row],[Crédit]])),"",P855+TableauCB[[#This Row],[Crédit]]-TableauCB[[#This Row],[Débit]])</f>
        <v>12427.206000000006</v>
      </c>
      <c r="Q856" s="26"/>
      <c r="R856" s="25"/>
      <c r="S856" s="25"/>
      <c r="T856" s="24"/>
      <c r="U856" s="24"/>
      <c r="V856" s="9"/>
      <c r="W856" s="2"/>
      <c r="X856" s="9"/>
      <c r="Y856" s="8"/>
      <c r="Z856" s="7"/>
      <c r="AA856" s="7"/>
      <c r="AB856" s="6"/>
    </row>
    <row r="857" spans="2:28" ht="30" hidden="1" customHeight="1">
      <c r="B857" s="35" t="str">
        <f>IF(MONTH(F856)&lt;&gt;MONTH(TableauCB[[#This Row],[Date d''éxigibilité]]),(TableauCB[[#This Row],[Date d''éxigibilité]]),"")</f>
        <v/>
      </c>
      <c r="C857" s="11" t="s">
        <v>33</v>
      </c>
      <c r="D857" s="10" t="s">
        <v>22</v>
      </c>
      <c r="E857" s="11" t="s">
        <v>46</v>
      </c>
      <c r="F857" s="34">
        <v>42651</v>
      </c>
      <c r="G857"/>
      <c r="H857"/>
      <c r="I857" s="32">
        <v>42651</v>
      </c>
      <c r="J857"/>
      <c r="K857" s="31"/>
      <c r="L857" s="30">
        <v>55.25</v>
      </c>
      <c r="M857" s="29"/>
      <c r="N857" s="28">
        <f>IF(OR(TableauCB[[#This Row],[Etat]]="",TableauCB[[#This Row],[Etat]]="c"),IF(TableauCB[[#This Row],[Solde]]="","",N856),N856-TableauCB[[#This Row],[Débit]]+TableauCB[[#This Row],[Crédit]])</f>
        <v>13139.956000000006</v>
      </c>
      <c r="O857" s="27">
        <f>IF(TableauCB[[#This Row],[Etat]]&lt;&gt;"",O856-TableauCB[[#This Row],[Débit]]+TableauCB[[#This Row],[Crédit]],O856-TableauCB[[#This Row],[Débit]])</f>
        <v>13019.959999999995</v>
      </c>
      <c r="P857" s="27">
        <f>IF(AND(ISBLANK(TableauCB[[#This Row],[Débit]]),ISBLANK(TableauCB[[#This Row],[Crédit]])),"",P856+TableauCB[[#This Row],[Crédit]]-TableauCB[[#This Row],[Débit]])</f>
        <v>12371.956000000006</v>
      </c>
      <c r="Q857" s="26"/>
      <c r="R857" s="25"/>
      <c r="S857" s="25"/>
      <c r="T857" s="24"/>
      <c r="U857" s="24"/>
      <c r="V857" s="9"/>
      <c r="W857" s="2"/>
      <c r="X857" s="9"/>
      <c r="Y857" s="8"/>
      <c r="Z857" s="7"/>
      <c r="AA857" s="7"/>
      <c r="AB857" s="6"/>
    </row>
    <row r="858" spans="2:28" ht="30" hidden="1" customHeight="1">
      <c r="B858" s="35" t="str">
        <f>IF(MONTH(F857)&lt;&gt;MONTH(TableauCB[[#This Row],[Date d''éxigibilité]]),(TableauCB[[#This Row],[Date d''éxigibilité]]),"")</f>
        <v/>
      </c>
      <c r="C858" s="11" t="s">
        <v>33</v>
      </c>
      <c r="D858" s="10" t="s">
        <v>22</v>
      </c>
      <c r="E858" s="11" t="s">
        <v>21</v>
      </c>
      <c r="F858" s="34">
        <v>42653</v>
      </c>
      <c r="G858"/>
      <c r="H858"/>
      <c r="I858" s="32"/>
      <c r="J858"/>
      <c r="K858" s="31"/>
      <c r="L858" s="30">
        <v>22.4</v>
      </c>
      <c r="M858" s="29"/>
      <c r="N858" s="28">
        <f>IF(OR(TableauCB[[#This Row],[Etat]]="",TableauCB[[#This Row],[Etat]]="c"),IF(TableauCB[[#This Row],[Solde]]="","",N857),N857-TableauCB[[#This Row],[Débit]]+TableauCB[[#This Row],[Crédit]])</f>
        <v>13117.556000000006</v>
      </c>
      <c r="O858" s="27">
        <f>IF(TableauCB[[#This Row],[Etat]]&lt;&gt;"",O857-TableauCB[[#This Row],[Débit]]+TableauCB[[#This Row],[Crédit]],O857-TableauCB[[#This Row],[Débit]])</f>
        <v>12997.559999999996</v>
      </c>
      <c r="P858" s="27">
        <f>IF(AND(ISBLANK(TableauCB[[#This Row],[Débit]]),ISBLANK(TableauCB[[#This Row],[Crédit]])),"",P857+TableauCB[[#This Row],[Crédit]]-TableauCB[[#This Row],[Débit]])</f>
        <v>12349.556000000006</v>
      </c>
      <c r="Q858" s="26"/>
      <c r="R858" s="25"/>
      <c r="S858" s="25"/>
      <c r="T858" s="24"/>
      <c r="U858" s="24"/>
      <c r="V858" s="9"/>
      <c r="W858" s="2"/>
      <c r="X858" s="9"/>
      <c r="Y858" s="8"/>
      <c r="Z858" s="7"/>
      <c r="AA858" s="7"/>
      <c r="AB858" s="6"/>
    </row>
    <row r="859" spans="2:28" ht="30" hidden="1" customHeight="1">
      <c r="B859" s="35" t="str">
        <f>IF(MONTH(F858)&lt;&gt;MONTH(TableauCB[[#This Row],[Date d''éxigibilité]]),(TableauCB[[#This Row],[Date d''éxigibilité]]),"")</f>
        <v/>
      </c>
      <c r="C859" s="11" t="s">
        <v>33</v>
      </c>
      <c r="D859" s="11" t="s">
        <v>15</v>
      </c>
      <c r="E859" s="11" t="s">
        <v>19</v>
      </c>
      <c r="F859" s="34">
        <v>42658</v>
      </c>
      <c r="G859"/>
      <c r="H859"/>
      <c r="I859" s="32"/>
      <c r="J859"/>
      <c r="K859" s="31"/>
      <c r="L859" s="30">
        <v>39</v>
      </c>
      <c r="M859" s="29"/>
      <c r="N859" s="28">
        <f>IF(OR(TableauCB[[#This Row],[Etat]]="",TableauCB[[#This Row],[Etat]]="c"),IF(TableauCB[[#This Row],[Solde]]="","",N858),N858-TableauCB[[#This Row],[Débit]]+TableauCB[[#This Row],[Crédit]])</f>
        <v>13078.556000000006</v>
      </c>
      <c r="O859" s="27">
        <f>IF(TableauCB[[#This Row],[Etat]]&lt;&gt;"",O858-TableauCB[[#This Row],[Débit]]+TableauCB[[#This Row],[Crédit]],O858-TableauCB[[#This Row],[Débit]])</f>
        <v>12958.559999999996</v>
      </c>
      <c r="P859" s="27">
        <f>IF(AND(ISBLANK(TableauCB[[#This Row],[Débit]]),ISBLANK(TableauCB[[#This Row],[Crédit]])),"",P858+TableauCB[[#This Row],[Crédit]]-TableauCB[[#This Row],[Débit]])</f>
        <v>12310.556000000006</v>
      </c>
      <c r="Q859" s="26"/>
      <c r="R859" s="25"/>
      <c r="S859" s="25"/>
      <c r="T859" s="24"/>
      <c r="U859" s="24"/>
      <c r="V859" s="9"/>
      <c r="W859" s="2"/>
      <c r="X859" s="9"/>
      <c r="Y859" s="8"/>
      <c r="Z859" s="7"/>
      <c r="AA859" s="7"/>
      <c r="AB859" s="6"/>
    </row>
    <row r="860" spans="2:28" ht="30" hidden="1" customHeight="1">
      <c r="B860" s="35" t="str">
        <f>IF(MONTH(F859)&lt;&gt;MONTH(TableauCB[[#This Row],[Date d''éxigibilité]]),(TableauCB[[#This Row],[Date d''éxigibilité]]),"")</f>
        <v/>
      </c>
      <c r="C860" s="11" t="s">
        <v>33</v>
      </c>
      <c r="D860" s="11" t="s">
        <v>15</v>
      </c>
      <c r="E860" s="11" t="s">
        <v>26</v>
      </c>
      <c r="F860" s="34">
        <v>42658</v>
      </c>
      <c r="G860"/>
      <c r="H860"/>
      <c r="I860" s="32">
        <v>42658</v>
      </c>
      <c r="J860"/>
      <c r="K860" s="31">
        <v>42674</v>
      </c>
      <c r="L860" s="30">
        <v>17</v>
      </c>
      <c r="M860" s="29"/>
      <c r="N860" s="28">
        <f>IF(OR(TableauCB[[#This Row],[Etat]]="",TableauCB[[#This Row],[Etat]]="c"),IF(TableauCB[[#This Row],[Solde]]="","",N859),N859-TableauCB[[#This Row],[Débit]]+TableauCB[[#This Row],[Crédit]])</f>
        <v>13061.556000000006</v>
      </c>
      <c r="O860" s="27">
        <f>IF(TableauCB[[#This Row],[Etat]]&lt;&gt;"",O859-TableauCB[[#This Row],[Débit]]+TableauCB[[#This Row],[Crédit]],O859-TableauCB[[#This Row],[Débit]])</f>
        <v>12941.559999999996</v>
      </c>
      <c r="P860" s="27">
        <f>IF(AND(ISBLANK(TableauCB[[#This Row],[Débit]]),ISBLANK(TableauCB[[#This Row],[Crédit]])),"",P859+TableauCB[[#This Row],[Crédit]]-TableauCB[[#This Row],[Débit]])</f>
        <v>12293.556000000006</v>
      </c>
      <c r="Q860" s="26"/>
      <c r="R860" s="25"/>
      <c r="S860" s="25"/>
      <c r="T860" s="24"/>
      <c r="U860" s="24"/>
      <c r="V860" s="9"/>
      <c r="W860" s="2"/>
      <c r="X860" s="9"/>
      <c r="Y860" s="8"/>
      <c r="Z860" s="7"/>
      <c r="AA860" s="7"/>
      <c r="AB860" s="6"/>
    </row>
    <row r="861" spans="2:28" ht="30" hidden="1" customHeight="1">
      <c r="B861" s="35" t="str">
        <f>IF(MONTH(F860)&lt;&gt;MONTH(TableauCB[[#This Row],[Date d''éxigibilité]]),(TableauCB[[#This Row],[Date d''éxigibilité]]),"")</f>
        <v/>
      </c>
      <c r="C861" s="11" t="s">
        <v>33</v>
      </c>
      <c r="D861" s="11" t="s">
        <v>15</v>
      </c>
      <c r="E861" s="11" t="s">
        <v>27</v>
      </c>
      <c r="F861" s="34">
        <v>42658</v>
      </c>
      <c r="G861"/>
      <c r="H861"/>
      <c r="I861" s="32">
        <v>42658</v>
      </c>
      <c r="J861"/>
      <c r="K861" s="31">
        <v>42667</v>
      </c>
      <c r="L861" s="30">
        <v>95</v>
      </c>
      <c r="M861" s="29"/>
      <c r="N861" s="28">
        <f>IF(OR(TableauCB[[#This Row],[Etat]]="",TableauCB[[#This Row],[Etat]]="c"),IF(TableauCB[[#This Row],[Solde]]="","",N860),N860-TableauCB[[#This Row],[Débit]]+TableauCB[[#This Row],[Crédit]])</f>
        <v>12966.556000000006</v>
      </c>
      <c r="O861" s="27">
        <f>IF(TableauCB[[#This Row],[Etat]]&lt;&gt;"",O860-TableauCB[[#This Row],[Débit]]+TableauCB[[#This Row],[Crédit]],O860-TableauCB[[#This Row],[Débit]])</f>
        <v>12846.559999999996</v>
      </c>
      <c r="P861" s="27">
        <f>IF(AND(ISBLANK(TableauCB[[#This Row],[Débit]]),ISBLANK(TableauCB[[#This Row],[Crédit]])),"",P860+TableauCB[[#This Row],[Crédit]]-TableauCB[[#This Row],[Débit]])</f>
        <v>12198.556000000006</v>
      </c>
      <c r="Q861" s="26"/>
      <c r="T861" s="24"/>
      <c r="U861" s="24"/>
      <c r="V861" s="9"/>
      <c r="W861" s="2"/>
      <c r="X861" s="9"/>
      <c r="Y861" s="8"/>
      <c r="Z861" s="7"/>
      <c r="AA861" s="7"/>
      <c r="AB861" s="6"/>
    </row>
    <row r="862" spans="2:28" ht="30" hidden="1" customHeight="1">
      <c r="B862" s="35" t="str">
        <f>IF(MONTH(F861)&lt;&gt;MONTH(TableauCB[[#This Row],[Date d''éxigibilité]]),(TableauCB[[#This Row],[Date d''éxigibilité]]),"")</f>
        <v/>
      </c>
      <c r="C862" s="11" t="s">
        <v>33</v>
      </c>
      <c r="D862" s="11" t="s">
        <v>15</v>
      </c>
      <c r="E862" s="11" t="s">
        <v>25</v>
      </c>
      <c r="F862" s="34">
        <v>42658</v>
      </c>
      <c r="G862"/>
      <c r="H862"/>
      <c r="I862" s="32">
        <v>42658</v>
      </c>
      <c r="J862"/>
      <c r="K862" s="31"/>
      <c r="L862" s="30">
        <v>1227</v>
      </c>
      <c r="M862" s="29"/>
      <c r="N862" s="28">
        <f>IF(OR(TableauCB[[#This Row],[Etat]]="",TableauCB[[#This Row],[Etat]]="c"),IF(TableauCB[[#This Row],[Solde]]="","",N861),N861-TableauCB[[#This Row],[Débit]]+TableauCB[[#This Row],[Crédit]])</f>
        <v>11739.556000000006</v>
      </c>
      <c r="O862" s="27">
        <f>IF(TableauCB[[#This Row],[Etat]]&lt;&gt;"",O861-TableauCB[[#This Row],[Débit]]+TableauCB[[#This Row],[Crédit]],O861-TableauCB[[#This Row],[Débit]])</f>
        <v>11619.559999999996</v>
      </c>
      <c r="P862" s="27">
        <f>IF(AND(ISBLANK(TableauCB[[#This Row],[Débit]]),ISBLANK(TableauCB[[#This Row],[Crédit]])),"",P861+TableauCB[[#This Row],[Crédit]]-TableauCB[[#This Row],[Débit]])</f>
        <v>10971.556000000006</v>
      </c>
      <c r="Q862" s="26"/>
      <c r="T862" s="24"/>
      <c r="U862" s="24"/>
      <c r="V862" s="9"/>
      <c r="W862" s="2"/>
      <c r="X862" s="9"/>
      <c r="Y862" s="8"/>
      <c r="Z862" s="7"/>
      <c r="AA862" s="7"/>
      <c r="AB862" s="6"/>
    </row>
    <row r="863" spans="2:28" ht="30" hidden="1" customHeight="1">
      <c r="B863" s="35" t="str">
        <f>IF(MONTH(F862)&lt;&gt;MONTH(TableauCB[[#This Row],[Date d''éxigibilité]]),(TableauCB[[#This Row],[Date d''éxigibilité]]),"")</f>
        <v/>
      </c>
      <c r="C863" s="11" t="s">
        <v>33</v>
      </c>
      <c r="D863" s="11" t="s">
        <v>15</v>
      </c>
      <c r="E863" s="11" t="s">
        <v>24</v>
      </c>
      <c r="F863" s="34">
        <v>42658</v>
      </c>
      <c r="G863"/>
      <c r="H863"/>
      <c r="I863" s="32">
        <v>42658</v>
      </c>
      <c r="J863"/>
      <c r="K863" s="31">
        <v>42669</v>
      </c>
      <c r="L863" s="30">
        <f>345+208</f>
        <v>553</v>
      </c>
      <c r="M863" s="29"/>
      <c r="N863" s="28">
        <f>IF(OR(TableauCB[[#This Row],[Etat]]="",TableauCB[[#This Row],[Etat]]="c"),IF(TableauCB[[#This Row],[Solde]]="","",N862),N862-TableauCB[[#This Row],[Débit]]+TableauCB[[#This Row],[Crédit]])</f>
        <v>11186.556000000006</v>
      </c>
      <c r="O863" s="27">
        <f>IF(TableauCB[[#This Row],[Etat]]&lt;&gt;"",O862-TableauCB[[#This Row],[Débit]]+TableauCB[[#This Row],[Crédit]],O862-TableauCB[[#This Row],[Débit]])</f>
        <v>11066.559999999996</v>
      </c>
      <c r="P863" s="27">
        <f>IF(AND(ISBLANK(TableauCB[[#This Row],[Débit]]),ISBLANK(TableauCB[[#This Row],[Crédit]])),"",P862+TableauCB[[#This Row],[Crédit]]-TableauCB[[#This Row],[Débit]])</f>
        <v>10418.556000000006</v>
      </c>
      <c r="Q863" s="26"/>
      <c r="T863" s="24"/>
      <c r="U863" s="24"/>
      <c r="V863" s="9"/>
      <c r="W863" s="2"/>
      <c r="X863" s="9"/>
      <c r="Y863" s="8"/>
      <c r="Z863" s="7"/>
      <c r="AA863" s="7"/>
      <c r="AB863" s="6"/>
    </row>
    <row r="864" spans="2:28" ht="30" hidden="1" customHeight="1">
      <c r="B864" s="35" t="str">
        <f>IF(MONTH(F863)&lt;&gt;MONTH(TableauCB[[#This Row],[Date d''éxigibilité]]),(TableauCB[[#This Row],[Date d''éxigibilité]]),"")</f>
        <v/>
      </c>
      <c r="C864" s="11" t="s">
        <v>33</v>
      </c>
      <c r="D864" s="10" t="s">
        <v>22</v>
      </c>
      <c r="E864" s="11" t="s">
        <v>17</v>
      </c>
      <c r="F864" s="34">
        <v>42658</v>
      </c>
      <c r="G864"/>
      <c r="H864"/>
      <c r="I864" s="32"/>
      <c r="J864"/>
      <c r="K864" s="31">
        <v>42657</v>
      </c>
      <c r="L864" s="30">
        <v>45.6</v>
      </c>
      <c r="M864" s="29"/>
      <c r="N864" s="28">
        <f>IF(OR(TableauCB[[#This Row],[Etat]]="",TableauCB[[#This Row],[Etat]]="c"),IF(TableauCB[[#This Row],[Solde]]="","",N863),N863-TableauCB[[#This Row],[Débit]]+TableauCB[[#This Row],[Crédit]])</f>
        <v>11140.956000000006</v>
      </c>
      <c r="O864" s="27">
        <f>IF(TableauCB[[#This Row],[Etat]]&lt;&gt;"",O863-TableauCB[[#This Row],[Débit]]+TableauCB[[#This Row],[Crédit]],O863-TableauCB[[#This Row],[Débit]])</f>
        <v>11020.959999999995</v>
      </c>
      <c r="P864" s="27">
        <f>IF(AND(ISBLANK(TableauCB[[#This Row],[Débit]]),ISBLANK(TableauCB[[#This Row],[Crédit]])),"",P863+TableauCB[[#This Row],[Crédit]]-TableauCB[[#This Row],[Débit]])</f>
        <v>10372.956000000006</v>
      </c>
      <c r="Q864" s="26"/>
      <c r="T864" s="24"/>
      <c r="U864" s="24"/>
      <c r="V864" s="9"/>
      <c r="W864" s="2"/>
      <c r="X864" s="9"/>
      <c r="Y864" s="8"/>
      <c r="Z864" s="7"/>
      <c r="AA864" s="7"/>
      <c r="AB864" s="6"/>
    </row>
    <row r="865" spans="2:28" ht="30" hidden="1" customHeight="1">
      <c r="B865" s="35" t="str">
        <f>IF(MONTH(F864)&lt;&gt;MONTH(TableauCB[[#This Row],[Date d''éxigibilité]]),(TableauCB[[#This Row],[Date d''éxigibilité]]),"")</f>
        <v/>
      </c>
      <c r="C865" s="11" t="s">
        <v>33</v>
      </c>
      <c r="D865" s="10" t="s">
        <v>30</v>
      </c>
      <c r="E865" s="11" t="s">
        <v>41</v>
      </c>
      <c r="F865" s="34">
        <v>42658</v>
      </c>
      <c r="G865"/>
      <c r="H865"/>
      <c r="I865" s="32"/>
      <c r="J865"/>
      <c r="K865" s="31"/>
      <c r="L865" s="30">
        <v>52.51</v>
      </c>
      <c r="M865" s="29"/>
      <c r="N865" s="28">
        <f>IF(OR(TableauCB[[#This Row],[Etat]]="",TableauCB[[#This Row],[Etat]]="c"),IF(TableauCB[[#This Row],[Solde]]="","",N864),N864-TableauCB[[#This Row],[Débit]]+TableauCB[[#This Row],[Crédit]])</f>
        <v>11088.446000000005</v>
      </c>
      <c r="O865" s="27">
        <f>IF(TableauCB[[#This Row],[Etat]]&lt;&gt;"",O864-TableauCB[[#This Row],[Débit]]+TableauCB[[#This Row],[Crédit]],O864-TableauCB[[#This Row],[Débit]])</f>
        <v>10968.449999999995</v>
      </c>
      <c r="P865" s="27">
        <f>IF(AND(ISBLANK(TableauCB[[#This Row],[Débit]]),ISBLANK(TableauCB[[#This Row],[Crédit]])),"",P864+TableauCB[[#This Row],[Crédit]]-TableauCB[[#This Row],[Débit]])</f>
        <v>10320.446000000005</v>
      </c>
      <c r="Q865" s="26"/>
      <c r="T865" s="24"/>
      <c r="U865" s="24"/>
      <c r="V865" s="9"/>
      <c r="W865" s="2"/>
      <c r="X865" s="9"/>
      <c r="Y865" s="8"/>
      <c r="Z865" s="7"/>
      <c r="AA865" s="7"/>
      <c r="AB865" s="6"/>
    </row>
    <row r="866" spans="2:28" ht="30" hidden="1" customHeight="1">
      <c r="B866" s="35" t="str">
        <f>IF(MONTH(F865)&lt;&gt;MONTH(TableauCB[[#This Row],[Date d''éxigibilité]]),(TableauCB[[#This Row],[Date d''éxigibilité]]),"")</f>
        <v/>
      </c>
      <c r="C866" s="11" t="s">
        <v>33</v>
      </c>
      <c r="D866" s="10" t="s">
        <v>15</v>
      </c>
      <c r="E866" s="11" t="s">
        <v>5</v>
      </c>
      <c r="F866" s="34">
        <v>42661</v>
      </c>
      <c r="G866"/>
      <c r="H866"/>
      <c r="I866" s="32">
        <v>42661</v>
      </c>
      <c r="J866"/>
      <c r="K866" s="31">
        <v>42663</v>
      </c>
      <c r="L866" s="30">
        <v>400</v>
      </c>
      <c r="M866" s="29"/>
      <c r="N866" s="28">
        <f>IF(OR(TableauCB[[#This Row],[Etat]]="",TableauCB[[#This Row],[Etat]]="c"),IF(TableauCB[[#This Row],[Solde]]="","",N865),N865-TableauCB[[#This Row],[Débit]]+TableauCB[[#This Row],[Crédit]])</f>
        <v>10688.446000000005</v>
      </c>
      <c r="O866" s="27">
        <f>IF(TableauCB[[#This Row],[Etat]]&lt;&gt;"",O865-TableauCB[[#This Row],[Débit]]+TableauCB[[#This Row],[Crédit]],O865-TableauCB[[#This Row],[Débit]])</f>
        <v>10568.449999999995</v>
      </c>
      <c r="P866" s="27">
        <f>IF(AND(ISBLANK(TableauCB[[#This Row],[Débit]]),ISBLANK(TableauCB[[#This Row],[Crédit]])),"",P865+TableauCB[[#This Row],[Crédit]]-TableauCB[[#This Row],[Débit]])</f>
        <v>9920.4460000000054</v>
      </c>
      <c r="Q866" s="26"/>
      <c r="T866" s="24"/>
      <c r="U866" s="24"/>
      <c r="V866" s="9"/>
      <c r="W866" s="2"/>
      <c r="X866" s="9"/>
      <c r="Y866" s="8"/>
      <c r="Z866" s="7"/>
      <c r="AA866" s="7"/>
      <c r="AB866" s="6"/>
    </row>
    <row r="867" spans="2:28" ht="30" hidden="1" customHeight="1">
      <c r="B867" s="35" t="str">
        <f>IF(MONTH(F866)&lt;&gt;MONTH(TableauCB[[#This Row],[Date d''éxigibilité]]),(TableauCB[[#This Row],[Date d''éxigibilité]]),"")</f>
        <v/>
      </c>
      <c r="C867" s="11" t="s">
        <v>33</v>
      </c>
      <c r="D867" s="10" t="s">
        <v>22</v>
      </c>
      <c r="E867" s="11" t="s">
        <v>17</v>
      </c>
      <c r="F867" s="34">
        <v>42663</v>
      </c>
      <c r="G867"/>
      <c r="H867"/>
      <c r="I867" s="32"/>
      <c r="J867"/>
      <c r="K867" s="31"/>
      <c r="L867" s="30">
        <v>3.59</v>
      </c>
      <c r="M867" s="29"/>
      <c r="N867" s="28">
        <f>IF(OR(TableauCB[[#This Row],[Etat]]="",TableauCB[[#This Row],[Etat]]="c"),IF(TableauCB[[#This Row],[Solde]]="","",N866),N866-TableauCB[[#This Row],[Débit]]+TableauCB[[#This Row],[Crédit]])</f>
        <v>10684.856000000005</v>
      </c>
      <c r="O867" s="27">
        <f>IF(TableauCB[[#This Row],[Etat]]&lt;&gt;"",O866-TableauCB[[#This Row],[Débit]]+TableauCB[[#This Row],[Crédit]],O866-TableauCB[[#This Row],[Débit]])</f>
        <v>10564.859999999995</v>
      </c>
      <c r="P867" s="27">
        <f>IF(AND(ISBLANK(TableauCB[[#This Row],[Débit]]),ISBLANK(TableauCB[[#This Row],[Crédit]])),"",P866+TableauCB[[#This Row],[Crédit]]-TableauCB[[#This Row],[Débit]])</f>
        <v>9916.8560000000052</v>
      </c>
      <c r="Q867" s="26"/>
      <c r="T867" s="24"/>
      <c r="U867" s="24"/>
      <c r="V867" s="9"/>
      <c r="W867" s="2"/>
      <c r="X867" s="9"/>
      <c r="Y867" s="8"/>
      <c r="Z867" s="7"/>
      <c r="AA867" s="7"/>
      <c r="AB867" s="6"/>
    </row>
    <row r="868" spans="2:28" ht="30" hidden="1" customHeight="1">
      <c r="B868" s="35" t="str">
        <f>IF(MONTH(F867)&lt;&gt;MONTH(TableauCB[[#This Row],[Date d''éxigibilité]]),(TableauCB[[#This Row],[Date d''éxigibilité]]),"")</f>
        <v/>
      </c>
      <c r="C868" s="11" t="s">
        <v>33</v>
      </c>
      <c r="D868" s="10" t="s">
        <v>30</v>
      </c>
      <c r="E868" s="11" t="s">
        <v>41</v>
      </c>
      <c r="F868" s="34">
        <v>42668</v>
      </c>
      <c r="G868"/>
      <c r="H868"/>
      <c r="I868" s="32">
        <v>42668</v>
      </c>
      <c r="J868"/>
      <c r="K868" s="31"/>
      <c r="L868" s="30">
        <v>29.26</v>
      </c>
      <c r="M868" s="29"/>
      <c r="N868" s="28">
        <f>IF(OR(TableauCB[[#This Row],[Etat]]="",TableauCB[[#This Row],[Etat]]="c"),IF(TableauCB[[#This Row],[Solde]]="","",N867),N867-TableauCB[[#This Row],[Débit]]+TableauCB[[#This Row],[Crédit]])</f>
        <v>10655.596000000005</v>
      </c>
      <c r="O868" s="27">
        <f>IF(TableauCB[[#This Row],[Etat]]&lt;&gt;"",O867-TableauCB[[#This Row],[Débit]]+TableauCB[[#This Row],[Crédit]],O867-TableauCB[[#This Row],[Débit]])</f>
        <v>10535.599999999995</v>
      </c>
      <c r="P868" s="27">
        <f>IF(AND(ISBLANK(TableauCB[[#This Row],[Débit]]),ISBLANK(TableauCB[[#This Row],[Crédit]])),"",P867+TableauCB[[#This Row],[Crédit]]-TableauCB[[#This Row],[Débit]])</f>
        <v>9887.596000000005</v>
      </c>
      <c r="Q868" s="26"/>
      <c r="T868" s="24"/>
      <c r="U868" s="24"/>
      <c r="V868" s="9"/>
      <c r="W868" s="2"/>
      <c r="X868" s="9"/>
      <c r="Y868" s="8"/>
      <c r="Z868" s="7"/>
      <c r="AA868" s="7"/>
      <c r="AB868" s="6"/>
    </row>
    <row r="869" spans="2:28" ht="30" hidden="1" customHeight="1">
      <c r="B869" s="35" t="str">
        <f>IF(MONTH(F868)&lt;&gt;MONTH(TableauCB[[#This Row],[Date d''éxigibilité]]),(TableauCB[[#This Row],[Date d''éxigibilité]]),"")</f>
        <v/>
      </c>
      <c r="C869" s="11" t="s">
        <v>33</v>
      </c>
      <c r="D869" s="10" t="s">
        <v>22</v>
      </c>
      <c r="E869" s="11" t="s">
        <v>17</v>
      </c>
      <c r="F869" s="34">
        <v>42668</v>
      </c>
      <c r="G869"/>
      <c r="H869"/>
      <c r="I869" s="32">
        <v>42668</v>
      </c>
      <c r="J869"/>
      <c r="K869" s="31">
        <v>42668</v>
      </c>
      <c r="L869" s="30">
        <v>16.75</v>
      </c>
      <c r="M869" s="29"/>
      <c r="N869" s="28">
        <f>IF(OR(TableauCB[[#This Row],[Etat]]="",TableauCB[[#This Row],[Etat]]="c"),IF(TableauCB[[#This Row],[Solde]]="","",N868),N868-TableauCB[[#This Row],[Débit]]+TableauCB[[#This Row],[Crédit]])</f>
        <v>10638.846000000005</v>
      </c>
      <c r="O869" s="27">
        <f>IF(TableauCB[[#This Row],[Etat]]&lt;&gt;"",O868-TableauCB[[#This Row],[Débit]]+TableauCB[[#This Row],[Crédit]],O868-TableauCB[[#This Row],[Débit]])</f>
        <v>10518.849999999995</v>
      </c>
      <c r="P869" s="27">
        <f>IF(AND(ISBLANK(TableauCB[[#This Row],[Débit]]),ISBLANK(TableauCB[[#This Row],[Crédit]])),"",P868+TableauCB[[#This Row],[Crédit]]-TableauCB[[#This Row],[Débit]])</f>
        <v>9870.846000000005</v>
      </c>
      <c r="Q869" s="26"/>
      <c r="T869" s="24"/>
      <c r="U869" s="24"/>
      <c r="V869" s="9"/>
      <c r="W869" s="2"/>
      <c r="X869" s="9"/>
      <c r="Y869" s="8"/>
      <c r="Z869" s="7"/>
      <c r="AA869" s="7"/>
      <c r="AB869" s="6"/>
    </row>
    <row r="870" spans="2:28" ht="30" hidden="1" customHeight="1">
      <c r="B870" s="35" t="str">
        <f>IF(MONTH(F869)&lt;&gt;MONTH(TableauCB[[#This Row],[Date d''éxigibilité]]),(TableauCB[[#This Row],[Date d''éxigibilité]]),"")</f>
        <v/>
      </c>
      <c r="C870" s="11" t="s">
        <v>33</v>
      </c>
      <c r="D870" s="11" t="s">
        <v>11</v>
      </c>
      <c r="E870" s="11" t="s">
        <v>10</v>
      </c>
      <c r="F870" s="34">
        <v>42673</v>
      </c>
      <c r="G870"/>
      <c r="H870"/>
      <c r="I870" s="32">
        <v>42710</v>
      </c>
      <c r="J870"/>
      <c r="K870" s="31">
        <v>42712</v>
      </c>
      <c r="L870" s="30"/>
      <c r="M870" s="29">
        <v>108</v>
      </c>
      <c r="N870" s="28">
        <f>IF(OR(TableauCB[[#This Row],[Etat]]="",TableauCB[[#This Row],[Etat]]="c"),IF(TableauCB[[#This Row],[Solde]]="","",N869),N869-TableauCB[[#This Row],[Débit]]+TableauCB[[#This Row],[Crédit]])</f>
        <v>10746.846000000005</v>
      </c>
      <c r="O870" s="27">
        <f>IF(TableauCB[[#This Row],[Etat]]&lt;&gt;"",O869-TableauCB[[#This Row],[Débit]]+TableauCB[[#This Row],[Crédit]],O869-TableauCB[[#This Row],[Débit]])</f>
        <v>10626.849999999995</v>
      </c>
      <c r="P870" s="27">
        <f>IF(AND(ISBLANK(TableauCB[[#This Row],[Débit]]),ISBLANK(TableauCB[[#This Row],[Crédit]])),"",P869+TableauCB[[#This Row],[Crédit]]-TableauCB[[#This Row],[Débit]])</f>
        <v>9978.846000000005</v>
      </c>
      <c r="Q870" s="26"/>
      <c r="T870" s="24"/>
      <c r="U870" s="24"/>
      <c r="V870" s="9"/>
      <c r="W870" s="2"/>
      <c r="X870" s="9"/>
      <c r="Y870" s="8"/>
      <c r="Z870" s="7"/>
      <c r="AA870" s="7"/>
      <c r="AB870" s="6"/>
    </row>
    <row r="871" spans="2:28" ht="30" hidden="1" customHeight="1">
      <c r="B871" s="35" t="str">
        <f>IF(MONTH(F870)&lt;&gt;MONTH(TableauCB[[#This Row],[Date d''éxigibilité]]),(TableauCB[[#This Row],[Date d''éxigibilité]]),"")</f>
        <v/>
      </c>
      <c r="C871" s="11" t="s">
        <v>33</v>
      </c>
      <c r="D871" s="11" t="s">
        <v>11</v>
      </c>
      <c r="E871" s="11" t="s">
        <v>10</v>
      </c>
      <c r="F871" s="34">
        <v>42673</v>
      </c>
      <c r="G871"/>
      <c r="H871"/>
      <c r="I871" s="32">
        <v>42679</v>
      </c>
      <c r="J871"/>
      <c r="K871" s="31"/>
      <c r="L871" s="30"/>
      <c r="M871" s="29">
        <v>158.4</v>
      </c>
      <c r="N871" s="28">
        <f>IF(OR(TableauCB[[#This Row],[Etat]]="",TableauCB[[#This Row],[Etat]]="c"),IF(TableauCB[[#This Row],[Solde]]="","",N870),N870-TableauCB[[#This Row],[Débit]]+TableauCB[[#This Row],[Crédit]])</f>
        <v>10905.246000000005</v>
      </c>
      <c r="O871" s="27">
        <f>IF(TableauCB[[#This Row],[Etat]]&lt;&gt;"",O870-TableauCB[[#This Row],[Débit]]+TableauCB[[#This Row],[Crédit]],O870-TableauCB[[#This Row],[Débit]])</f>
        <v>10785.249999999995</v>
      </c>
      <c r="P871" s="27">
        <f>IF(AND(ISBLANK(TableauCB[[#This Row],[Débit]]),ISBLANK(TableauCB[[#This Row],[Crédit]])),"",P870+TableauCB[[#This Row],[Crédit]]-TableauCB[[#This Row],[Débit]])</f>
        <v>10137.246000000005</v>
      </c>
      <c r="Q871" s="26"/>
      <c r="T871" s="24"/>
      <c r="U871" s="24"/>
      <c r="V871" s="9"/>
      <c r="W871" s="2"/>
      <c r="X871" s="9"/>
      <c r="Y871" s="8"/>
      <c r="Z871" s="7"/>
      <c r="AA871" s="7"/>
      <c r="AB871" s="6"/>
    </row>
    <row r="872" spans="2:28" ht="30" hidden="1" customHeight="1">
      <c r="B872" s="35" t="str">
        <f>IF(MONTH(F871)&lt;&gt;MONTH(TableauCB[[#This Row],[Date d''éxigibilité]]),(TableauCB[[#This Row],[Date d''éxigibilité]]),"")</f>
        <v/>
      </c>
      <c r="C872" s="11" t="s">
        <v>33</v>
      </c>
      <c r="D872" s="11" t="s">
        <v>11</v>
      </c>
      <c r="E872" s="11" t="s">
        <v>10</v>
      </c>
      <c r="F872" s="34">
        <v>42673</v>
      </c>
      <c r="G872"/>
      <c r="H872"/>
      <c r="I872" s="32">
        <v>42754</v>
      </c>
      <c r="J872"/>
      <c r="K872" s="31">
        <v>42755</v>
      </c>
      <c r="L872" s="30"/>
      <c r="M872" s="29">
        <v>151.80000000000001</v>
      </c>
      <c r="N872" s="28">
        <f>IF(OR(TableauCB[[#This Row],[Etat]]="",TableauCB[[#This Row],[Etat]]="c"),IF(TableauCB[[#This Row],[Solde]]="","",N871),N871-TableauCB[[#This Row],[Débit]]+TableauCB[[#This Row],[Crédit]])</f>
        <v>11057.046000000004</v>
      </c>
      <c r="O872" s="27">
        <f>IF(TableauCB[[#This Row],[Etat]]&lt;&gt;"",O871-TableauCB[[#This Row],[Débit]]+TableauCB[[#This Row],[Crédit]],O871-TableauCB[[#This Row],[Débit]])</f>
        <v>10937.049999999994</v>
      </c>
      <c r="P872" s="27">
        <f>IF(AND(ISBLANK(TableauCB[[#This Row],[Débit]]),ISBLANK(TableauCB[[#This Row],[Crédit]])),"",P871+TableauCB[[#This Row],[Crédit]]-TableauCB[[#This Row],[Débit]])</f>
        <v>10289.046000000004</v>
      </c>
      <c r="Q872" s="26"/>
      <c r="T872" s="24"/>
      <c r="U872" s="24"/>
      <c r="V872" s="9"/>
      <c r="W872" s="2"/>
      <c r="X872" s="9"/>
      <c r="Y872" s="8"/>
      <c r="Z872" s="7"/>
      <c r="AA872" s="7"/>
      <c r="AB872" s="6"/>
    </row>
    <row r="873" spans="2:28" ht="30" hidden="1" customHeight="1">
      <c r="B873" s="35" t="str">
        <f>IF(MONTH(F872)&lt;&gt;MONTH(TableauCB[[#This Row],[Date d''éxigibilité]]),(TableauCB[[#This Row],[Date d''éxigibilité]]),"")</f>
        <v/>
      </c>
      <c r="C873" s="11" t="s">
        <v>33</v>
      </c>
      <c r="D873" s="11" t="s">
        <v>11</v>
      </c>
      <c r="E873" s="11" t="s">
        <v>12</v>
      </c>
      <c r="F873" s="34">
        <v>42673</v>
      </c>
      <c r="G873"/>
      <c r="H873"/>
      <c r="I873" s="32">
        <v>42678</v>
      </c>
      <c r="J873"/>
      <c r="K873" s="31"/>
      <c r="L873" s="30"/>
      <c r="M873" s="29">
        <v>522</v>
      </c>
      <c r="N873" s="28">
        <f>IF(OR(TableauCB[[#This Row],[Etat]]="",TableauCB[[#This Row],[Etat]]="c"),IF(TableauCB[[#This Row],[Solde]]="","",N872),N872-TableauCB[[#This Row],[Débit]]+TableauCB[[#This Row],[Crédit]])</f>
        <v>11579.046000000004</v>
      </c>
      <c r="O873" s="27">
        <f>IF(TableauCB[[#This Row],[Etat]]&lt;&gt;"",O872-TableauCB[[#This Row],[Débit]]+TableauCB[[#This Row],[Crédit]],O872-TableauCB[[#This Row],[Débit]])</f>
        <v>11459.049999999994</v>
      </c>
      <c r="P873" s="27">
        <f>IF(AND(ISBLANK(TableauCB[[#This Row],[Débit]]),ISBLANK(TableauCB[[#This Row],[Crédit]])),"",P872+TableauCB[[#This Row],[Crédit]]-TableauCB[[#This Row],[Débit]])</f>
        <v>10811.046000000004</v>
      </c>
      <c r="Q873" s="26"/>
      <c r="R873" s="25"/>
      <c r="S873" s="25"/>
      <c r="T873" s="24"/>
      <c r="U873" s="24"/>
      <c r="V873" s="9"/>
      <c r="W873" s="2"/>
      <c r="X873" s="9"/>
      <c r="Y873" s="8"/>
      <c r="Z873" s="7"/>
      <c r="AA873" s="7"/>
      <c r="AB873" s="6"/>
    </row>
    <row r="874" spans="2:28" ht="30" hidden="1" customHeight="1">
      <c r="B874" s="35" t="str">
        <f>IF(MONTH(F873)&lt;&gt;MONTH(TableauCB[[#This Row],[Date d''éxigibilité]]),(TableauCB[[#This Row],[Date d''éxigibilité]]),"")</f>
        <v/>
      </c>
      <c r="C874" s="11" t="s">
        <v>33</v>
      </c>
      <c r="D874" s="11" t="s">
        <v>11</v>
      </c>
      <c r="E874" s="11" t="s">
        <v>10</v>
      </c>
      <c r="F874" s="34">
        <v>42673</v>
      </c>
      <c r="G874"/>
      <c r="H874"/>
      <c r="I874" s="32">
        <v>42716</v>
      </c>
      <c r="J874"/>
      <c r="K874" s="31">
        <v>42716</v>
      </c>
      <c r="L874" s="30"/>
      <c r="M874" s="29">
        <v>240</v>
      </c>
      <c r="N874" s="28">
        <f>IF(OR(TableauCB[[#This Row],[Etat]]="",TableauCB[[#This Row],[Etat]]="c"),IF(TableauCB[[#This Row],[Solde]]="","",N873),N873-TableauCB[[#This Row],[Débit]]+TableauCB[[#This Row],[Crédit]])</f>
        <v>11819.046000000004</v>
      </c>
      <c r="O874" s="27">
        <f>IF(TableauCB[[#This Row],[Etat]]&lt;&gt;"",O873-TableauCB[[#This Row],[Débit]]+TableauCB[[#This Row],[Crédit]],O873-TableauCB[[#This Row],[Débit]])</f>
        <v>11699.049999999994</v>
      </c>
      <c r="P874" s="27">
        <f>IF(AND(ISBLANK(TableauCB[[#This Row],[Débit]]),ISBLANK(TableauCB[[#This Row],[Crédit]])),"",P873+TableauCB[[#This Row],[Crédit]]-TableauCB[[#This Row],[Débit]])</f>
        <v>11051.046000000004</v>
      </c>
      <c r="Q874" s="26"/>
      <c r="R874" s="25"/>
      <c r="S874" s="25"/>
      <c r="T874" s="24"/>
      <c r="U874" s="24"/>
      <c r="V874" s="9"/>
      <c r="W874" s="2"/>
      <c r="X874" s="9"/>
      <c r="Y874" s="8"/>
      <c r="Z874" s="7"/>
      <c r="AA874" s="7"/>
      <c r="AB874" s="6"/>
    </row>
    <row r="875" spans="2:28" ht="30" hidden="1" customHeight="1">
      <c r="B875" s="35" t="str">
        <f>IF(MONTH(F874)&lt;&gt;MONTH(TableauCB[[#This Row],[Date d''éxigibilité]]),(TableauCB[[#This Row],[Date d''éxigibilité]]),"")</f>
        <v/>
      </c>
      <c r="C875" s="11" t="s">
        <v>33</v>
      </c>
      <c r="D875" s="11" t="s">
        <v>11</v>
      </c>
      <c r="E875" s="11" t="s">
        <v>10</v>
      </c>
      <c r="F875" s="34">
        <v>42673</v>
      </c>
      <c r="G875"/>
      <c r="H875"/>
      <c r="I875" s="32">
        <v>42706</v>
      </c>
      <c r="J875"/>
      <c r="K875" s="31">
        <v>42706</v>
      </c>
      <c r="L875" s="30"/>
      <c r="M875" s="29">
        <v>624</v>
      </c>
      <c r="N875" s="28">
        <f>IF(OR(TableauCB[[#This Row],[Etat]]="",TableauCB[[#This Row],[Etat]]="c"),IF(TableauCB[[#This Row],[Solde]]="","",N874),N874-TableauCB[[#This Row],[Débit]]+TableauCB[[#This Row],[Crédit]])</f>
        <v>12443.046000000004</v>
      </c>
      <c r="O875" s="27">
        <f>IF(TableauCB[[#This Row],[Etat]]&lt;&gt;"",O874-TableauCB[[#This Row],[Débit]]+TableauCB[[#This Row],[Crédit]],O874-TableauCB[[#This Row],[Débit]])</f>
        <v>12323.049999999994</v>
      </c>
      <c r="P875" s="27">
        <f>IF(AND(ISBLANK(TableauCB[[#This Row],[Débit]]),ISBLANK(TableauCB[[#This Row],[Crédit]])),"",P874+TableauCB[[#This Row],[Crédit]]-TableauCB[[#This Row],[Débit]])</f>
        <v>11675.046000000004</v>
      </c>
      <c r="Q875" s="26"/>
      <c r="R875" s="25"/>
      <c r="S875" s="25"/>
      <c r="T875" s="24"/>
      <c r="U875" s="24"/>
      <c r="V875" s="9"/>
      <c r="W875" s="2"/>
      <c r="X875" s="9"/>
      <c r="Y875" s="8"/>
      <c r="Z875" s="7"/>
      <c r="AA875" s="7"/>
      <c r="AB875" s="6"/>
    </row>
    <row r="876" spans="2:28" ht="30" hidden="1" customHeight="1">
      <c r="B876" s="35" t="str">
        <f>IF(MONTH(F875)&lt;&gt;MONTH(TableauCB[[#This Row],[Date d''éxigibilité]]),(TableauCB[[#This Row],[Date d''éxigibilité]]),"")</f>
        <v/>
      </c>
      <c r="C876" s="11" t="s">
        <v>33</v>
      </c>
      <c r="D876" s="11" t="s">
        <v>11</v>
      </c>
      <c r="E876" s="11" t="s">
        <v>12</v>
      </c>
      <c r="F876" s="34">
        <v>42673</v>
      </c>
      <c r="G876"/>
      <c r="H876"/>
      <c r="I876" s="32">
        <v>42679</v>
      </c>
      <c r="J876"/>
      <c r="K876" s="31"/>
      <c r="L876" s="30"/>
      <c r="M876" s="29">
        <v>115.2</v>
      </c>
      <c r="N876" s="28">
        <f>IF(OR(TableauCB[[#This Row],[Etat]]="",TableauCB[[#This Row],[Etat]]="c"),IF(TableauCB[[#This Row],[Solde]]="","",N875),N875-TableauCB[[#This Row],[Débit]]+TableauCB[[#This Row],[Crédit]])</f>
        <v>12558.246000000005</v>
      </c>
      <c r="O876" s="27">
        <f>IF(TableauCB[[#This Row],[Etat]]&lt;&gt;"",O875-TableauCB[[#This Row],[Débit]]+TableauCB[[#This Row],[Crédit]],O875-TableauCB[[#This Row],[Débit]])</f>
        <v>12438.249999999995</v>
      </c>
      <c r="P876" s="27">
        <f>IF(AND(ISBLANK(TableauCB[[#This Row],[Débit]]),ISBLANK(TableauCB[[#This Row],[Crédit]])),"",P875+TableauCB[[#This Row],[Crédit]]-TableauCB[[#This Row],[Débit]])</f>
        <v>11790.246000000005</v>
      </c>
      <c r="Q876" s="26"/>
      <c r="R876" s="25"/>
      <c r="S876" s="25"/>
      <c r="T876" s="24"/>
      <c r="U876" s="24"/>
      <c r="V876" s="9"/>
      <c r="W876" s="2"/>
      <c r="X876" s="9"/>
      <c r="Y876" s="8"/>
      <c r="Z876" s="7"/>
      <c r="AA876" s="7"/>
      <c r="AB876" s="6"/>
    </row>
    <row r="877" spans="2:28" ht="30" hidden="1" customHeight="1">
      <c r="B877" s="35" t="str">
        <f>IF(MONTH(F876)&lt;&gt;MONTH(TableauCB[[#This Row],[Date d''éxigibilité]]),(TableauCB[[#This Row],[Date d''éxigibilité]]),"")</f>
        <v/>
      </c>
      <c r="C877" s="11" t="s">
        <v>33</v>
      </c>
      <c r="D877" s="11" t="s">
        <v>11</v>
      </c>
      <c r="E877" s="11" t="s">
        <v>10</v>
      </c>
      <c r="F877" s="34">
        <v>42673</v>
      </c>
      <c r="G877"/>
      <c r="H877"/>
      <c r="I877" s="32">
        <v>42761</v>
      </c>
      <c r="J877"/>
      <c r="K877" s="31">
        <v>42763</v>
      </c>
      <c r="L877" s="30"/>
      <c r="M877" s="29">
        <v>96</v>
      </c>
      <c r="N877" s="28">
        <f>IF(OR(TableauCB[[#This Row],[Etat]]="",TableauCB[[#This Row],[Etat]]="c"),IF(TableauCB[[#This Row],[Solde]]="","",N876),N876-TableauCB[[#This Row],[Débit]]+TableauCB[[#This Row],[Crédit]])</f>
        <v>12654.246000000005</v>
      </c>
      <c r="O877" s="27">
        <f>IF(TableauCB[[#This Row],[Etat]]&lt;&gt;"",O876-TableauCB[[#This Row],[Débit]]+TableauCB[[#This Row],[Crédit]],O876-TableauCB[[#This Row],[Débit]])</f>
        <v>12534.249999999995</v>
      </c>
      <c r="P877" s="27">
        <f>IF(AND(ISBLANK(TableauCB[[#This Row],[Débit]]),ISBLANK(TableauCB[[#This Row],[Crédit]])),"",P876+TableauCB[[#This Row],[Crédit]]-TableauCB[[#This Row],[Débit]])</f>
        <v>11886.246000000005</v>
      </c>
      <c r="Q877" s="26"/>
      <c r="T877" s="24"/>
      <c r="U877" s="24"/>
      <c r="V877" s="9"/>
      <c r="W877" s="2"/>
      <c r="X877" s="9"/>
      <c r="Y877" s="8"/>
      <c r="Z877" s="7"/>
      <c r="AA877" s="7"/>
      <c r="AB877" s="6"/>
    </row>
    <row r="878" spans="2:28" ht="30" hidden="1" customHeight="1">
      <c r="B878" s="35" t="str">
        <f>IF(MONTH(F877)&lt;&gt;MONTH(TableauCB[[#This Row],[Date d''éxigibilité]]),(TableauCB[[#This Row],[Date d''éxigibilité]]),"")</f>
        <v/>
      </c>
      <c r="C878" s="11" t="s">
        <v>33</v>
      </c>
      <c r="D878" s="11" t="s">
        <v>11</v>
      </c>
      <c r="E878" s="11" t="s">
        <v>10</v>
      </c>
      <c r="F878" s="34">
        <v>42673</v>
      </c>
      <c r="G878"/>
      <c r="H878"/>
      <c r="I878" s="32">
        <v>42726</v>
      </c>
      <c r="J878"/>
      <c r="K878" s="31">
        <v>42747</v>
      </c>
      <c r="L878" s="30"/>
      <c r="M878" s="29">
        <v>510</v>
      </c>
      <c r="N878" s="28">
        <f>IF(OR(TableauCB[[#This Row],[Etat]]="",TableauCB[[#This Row],[Etat]]="c"),IF(TableauCB[[#This Row],[Solde]]="","",N877),N877-TableauCB[[#This Row],[Débit]]+TableauCB[[#This Row],[Crédit]])</f>
        <v>13164.246000000005</v>
      </c>
      <c r="O878" s="27">
        <f>IF(TableauCB[[#This Row],[Etat]]&lt;&gt;"",O877-TableauCB[[#This Row],[Débit]]+TableauCB[[#This Row],[Crédit]],O877-TableauCB[[#This Row],[Débit]])</f>
        <v>13044.249999999995</v>
      </c>
      <c r="P878" s="27">
        <f>IF(AND(ISBLANK(TableauCB[[#This Row],[Débit]]),ISBLANK(TableauCB[[#This Row],[Crédit]])),"",P877+TableauCB[[#This Row],[Crédit]]-TableauCB[[#This Row],[Débit]])</f>
        <v>12396.246000000005</v>
      </c>
      <c r="Q878" s="26"/>
      <c r="T878" s="24"/>
      <c r="U878" s="24"/>
      <c r="V878" s="9"/>
      <c r="W878" s="2"/>
      <c r="X878" s="9"/>
      <c r="Y878" s="8"/>
      <c r="Z878" s="7"/>
      <c r="AA878" s="7"/>
      <c r="AB878" s="6"/>
    </row>
    <row r="879" spans="2:28" ht="30" hidden="1" customHeight="1">
      <c r="B879" s="35" t="str">
        <f>IF(MONTH(F878)&lt;&gt;MONTH(TableauCB[[#This Row],[Date d''éxigibilité]]),(TableauCB[[#This Row],[Date d''éxigibilité]]),"")</f>
        <v/>
      </c>
      <c r="C879" s="11" t="s">
        <v>33</v>
      </c>
      <c r="D879" s="11" t="s">
        <v>11</v>
      </c>
      <c r="E879" s="11" t="s">
        <v>10</v>
      </c>
      <c r="F879" s="34">
        <v>42673</v>
      </c>
      <c r="G879"/>
      <c r="H879"/>
      <c r="I879" s="32">
        <v>42696</v>
      </c>
      <c r="J879"/>
      <c r="K879" s="31">
        <v>42696</v>
      </c>
      <c r="L879" s="30"/>
      <c r="M879" s="29">
        <v>228</v>
      </c>
      <c r="N879" s="28">
        <f>IF(OR(TableauCB[[#This Row],[Etat]]="",TableauCB[[#This Row],[Etat]]="c"),IF(TableauCB[[#This Row],[Solde]]="","",N878),N878-TableauCB[[#This Row],[Débit]]+TableauCB[[#This Row],[Crédit]])</f>
        <v>13392.246000000005</v>
      </c>
      <c r="O879" s="27">
        <f>IF(TableauCB[[#This Row],[Etat]]&lt;&gt;"",O878-TableauCB[[#This Row],[Débit]]+TableauCB[[#This Row],[Crédit]],O878-TableauCB[[#This Row],[Débit]])</f>
        <v>13272.249999999995</v>
      </c>
      <c r="P879" s="27">
        <f>IF(AND(ISBLANK(TableauCB[[#This Row],[Débit]]),ISBLANK(TableauCB[[#This Row],[Crédit]])),"",P878+TableauCB[[#This Row],[Crédit]]-TableauCB[[#This Row],[Débit]])</f>
        <v>12624.246000000005</v>
      </c>
      <c r="Q879" s="26"/>
      <c r="T879" s="24"/>
      <c r="U879" s="24"/>
      <c r="V879" s="9"/>
      <c r="W879" s="2"/>
      <c r="X879" s="9"/>
      <c r="Y879" s="8"/>
      <c r="Z879" s="7"/>
      <c r="AA879" s="7"/>
      <c r="AB879" s="6"/>
    </row>
    <row r="880" spans="2:28" ht="30" hidden="1" customHeight="1">
      <c r="B880" s="35" t="str">
        <f>IF(MONTH(F879)&lt;&gt;MONTH(TableauCB[[#This Row],[Date d''éxigibilité]]),(TableauCB[[#This Row],[Date d''éxigibilité]]),"")</f>
        <v/>
      </c>
      <c r="C880" s="11" t="s">
        <v>33</v>
      </c>
      <c r="D880" s="11" t="s">
        <v>22</v>
      </c>
      <c r="E880" s="11" t="s">
        <v>43</v>
      </c>
      <c r="F880" s="34">
        <v>42673</v>
      </c>
      <c r="G880"/>
      <c r="H880"/>
      <c r="I880" s="32">
        <v>42682</v>
      </c>
      <c r="J880"/>
      <c r="K880" s="31">
        <v>42695</v>
      </c>
      <c r="L880" s="30">
        <v>240</v>
      </c>
      <c r="M880" s="29"/>
      <c r="N880" s="28">
        <f>IF(OR(TableauCB[[#This Row],[Etat]]="",TableauCB[[#This Row],[Etat]]="c"),IF(TableauCB[[#This Row],[Solde]]="","",N879),N879-TableauCB[[#This Row],[Débit]]+TableauCB[[#This Row],[Crédit]])</f>
        <v>13152.246000000005</v>
      </c>
      <c r="O880" s="27">
        <f>IF(TableauCB[[#This Row],[Etat]]&lt;&gt;"",O879-TableauCB[[#This Row],[Débit]]+TableauCB[[#This Row],[Crédit]],O879-TableauCB[[#This Row],[Débit]])</f>
        <v>13032.249999999995</v>
      </c>
      <c r="P880" s="27">
        <f>IF(AND(ISBLANK(TableauCB[[#This Row],[Débit]]),ISBLANK(TableauCB[[#This Row],[Crédit]])),"",P879+TableauCB[[#This Row],[Crédit]]-TableauCB[[#This Row],[Débit]])</f>
        <v>12384.246000000005</v>
      </c>
      <c r="Q880" s="26"/>
      <c r="T880" s="24"/>
      <c r="U880" s="24"/>
      <c r="V880" s="9"/>
      <c r="W880" s="2"/>
      <c r="X880" s="9"/>
      <c r="Y880" s="8"/>
      <c r="Z880" s="7"/>
      <c r="AA880" s="7"/>
      <c r="AB880" s="6"/>
    </row>
    <row r="881" spans="2:28" ht="30" hidden="1" customHeight="1">
      <c r="B881" s="35" t="str">
        <f>IF(MONTH(F880)&lt;&gt;MONTH(TableauCB[[#This Row],[Date d''éxigibilité]]),(TableauCB[[#This Row],[Date d''éxigibilité]]),"")</f>
        <v/>
      </c>
      <c r="C881" s="11" t="s">
        <v>33</v>
      </c>
      <c r="D881" s="10" t="s">
        <v>5</v>
      </c>
      <c r="E881" s="11" t="s">
        <v>7</v>
      </c>
      <c r="F881" s="34">
        <v>42673</v>
      </c>
      <c r="G881"/>
      <c r="H881"/>
      <c r="I881" s="32">
        <v>42678</v>
      </c>
      <c r="J881"/>
      <c r="K881" s="31">
        <v>42689</v>
      </c>
      <c r="L881" s="30">
        <v>400</v>
      </c>
      <c r="M881" s="29"/>
      <c r="N881" s="28">
        <f>IF(TableauCB[[#This Row],[Etat]]="",IF(TableauCB[[#This Row],[Solde]]="","",N880),N880-TableauCB[[#This Row],[Débit]]+TableauCB[[#This Row],[Crédit]])</f>
        <v>12752.246000000005</v>
      </c>
      <c r="O881" s="27">
        <f>IF(TableauCB[[#This Row],[Etat]]&lt;&gt;"",O880-TableauCB[[#This Row],[Débit]]+TableauCB[[#This Row],[Crédit]],O880-TableauCB[[#This Row],[Débit]])</f>
        <v>12632.249999999995</v>
      </c>
      <c r="P881" s="27">
        <f>IF(AND(ISBLANK(TableauCB[[#This Row],[Débit]]),ISBLANK(TableauCB[[#This Row],[Crédit]])),"",P880+TableauCB[[#This Row],[Crédit]]-TableauCB[[#This Row],[Débit]])</f>
        <v>11984.246000000005</v>
      </c>
      <c r="Q881" s="26"/>
      <c r="T881" s="24"/>
      <c r="U881" s="24"/>
      <c r="V881" s="9"/>
      <c r="W881" s="2"/>
      <c r="X881" s="9"/>
      <c r="Y881" s="8"/>
      <c r="Z881" s="7"/>
      <c r="AA881" s="7"/>
      <c r="AB881" s="6"/>
    </row>
    <row r="882" spans="2:28" ht="30" hidden="1" customHeight="1">
      <c r="B882" s="35" t="str">
        <f>IF(MONTH(F881)&lt;&gt;MONTH(TableauCB[[#This Row],[Date d''éxigibilité]]),(TableauCB[[#This Row],[Date d''éxigibilité]]),"")</f>
        <v/>
      </c>
      <c r="C882" s="11" t="s">
        <v>33</v>
      </c>
      <c r="D882" s="10" t="s">
        <v>5</v>
      </c>
      <c r="E882" s="11" t="s">
        <v>6</v>
      </c>
      <c r="F882" s="34">
        <v>42673</v>
      </c>
      <c r="G882"/>
      <c r="H882"/>
      <c r="I882" s="32">
        <v>42680</v>
      </c>
      <c r="J882"/>
      <c r="K882" s="31">
        <v>42683</v>
      </c>
      <c r="L882" s="30">
        <v>536.47</v>
      </c>
      <c r="M882" s="29"/>
      <c r="N882" s="28">
        <f>IF(OR(TableauCB[[#This Row],[Etat]]="",TableauCB[[#This Row],[Etat]]="c"),IF(TableauCB[[#This Row],[Solde]]="","",N881),N881-TableauCB[[#This Row],[Débit]]+TableauCB[[#This Row],[Crédit]])</f>
        <v>12215.776000000005</v>
      </c>
      <c r="O882" s="27">
        <f>IF(TableauCB[[#This Row],[Etat]]&lt;&gt;"",O881-TableauCB[[#This Row],[Débit]]+TableauCB[[#This Row],[Crédit]],O881-TableauCB[[#This Row],[Débit]])</f>
        <v>12095.779999999995</v>
      </c>
      <c r="P882" s="27">
        <f>IF(AND(ISBLANK(TableauCB[[#This Row],[Débit]]),ISBLANK(TableauCB[[#This Row],[Crédit]])),"",P881+TableauCB[[#This Row],[Crédit]]-TableauCB[[#This Row],[Débit]])</f>
        <v>11447.776000000005</v>
      </c>
      <c r="Q882" s="26"/>
      <c r="R882" s="36"/>
      <c r="S882" s="36"/>
      <c r="T882" s="24"/>
      <c r="U882" s="24"/>
      <c r="V882" s="9"/>
      <c r="W882" s="2"/>
      <c r="X882" s="9"/>
      <c r="Y882" s="8"/>
      <c r="Z882" s="7"/>
      <c r="AA882" s="7"/>
      <c r="AB882" s="6"/>
    </row>
    <row r="883" spans="2:28" ht="30" hidden="1" customHeight="1">
      <c r="B883" s="35" t="str">
        <f>IF(MONTH(F882)&lt;&gt;MONTH(TableauCB[[#This Row],[Date d''éxigibilité]]),(TableauCB[[#This Row],[Date d''éxigibilité]]),"")</f>
        <v/>
      </c>
      <c r="C883" s="11" t="s">
        <v>33</v>
      </c>
      <c r="D883" s="11" t="s">
        <v>22</v>
      </c>
      <c r="E883" s="11" t="s">
        <v>37</v>
      </c>
      <c r="F883" s="34">
        <v>42674</v>
      </c>
      <c r="G883"/>
      <c r="H883"/>
      <c r="I883" s="32">
        <v>42674</v>
      </c>
      <c r="J883"/>
      <c r="K883" s="31">
        <v>42676</v>
      </c>
      <c r="L883" s="30">
        <v>71</v>
      </c>
      <c r="M883" s="29"/>
      <c r="N883" s="28">
        <f>IF(OR(TableauCB[[#This Row],[Etat]]="",TableauCB[[#This Row],[Etat]]="c"),IF(TableauCB[[#This Row],[Solde]]="","",N882),N882-TableauCB[[#This Row],[Débit]]+TableauCB[[#This Row],[Crédit]])</f>
        <v>12144.776000000005</v>
      </c>
      <c r="O883" s="27">
        <f>IF(TableauCB[[#This Row],[Etat]]&lt;&gt;"",O882-TableauCB[[#This Row],[Débit]]+TableauCB[[#This Row],[Crédit]],O882-TableauCB[[#This Row],[Débit]])</f>
        <v>12024.779999999995</v>
      </c>
      <c r="P883" s="27">
        <f>IF(AND(ISBLANK(TableauCB[[#This Row],[Débit]]),ISBLANK(TableauCB[[#This Row],[Crédit]])),"",P882+TableauCB[[#This Row],[Crédit]]-TableauCB[[#This Row],[Débit]])</f>
        <v>11376.776000000005</v>
      </c>
      <c r="Q883" s="26"/>
      <c r="R883" s="25">
        <v>-1359.6</v>
      </c>
      <c r="S883" s="25"/>
      <c r="T883" s="24"/>
      <c r="U883" s="24"/>
      <c r="V883" s="9"/>
      <c r="W883" s="2"/>
      <c r="X883" s="9"/>
      <c r="Y883" s="8"/>
      <c r="Z883" s="7"/>
      <c r="AA883" s="7"/>
      <c r="AB883" s="6"/>
    </row>
    <row r="884" spans="2:28" ht="30" hidden="1" customHeight="1">
      <c r="B884" s="35">
        <f>IF(MONTH(F883)&lt;&gt;MONTH(TableauCB[[#This Row],[Date d''éxigibilité]]),(TableauCB[[#This Row],[Date d''éxigibilité]]),"")</f>
        <v>42677</v>
      </c>
      <c r="C884" s="11" t="s">
        <v>33</v>
      </c>
      <c r="D884" s="11" t="s">
        <v>30</v>
      </c>
      <c r="E884" s="11" t="s">
        <v>41</v>
      </c>
      <c r="F884" s="34">
        <v>42677</v>
      </c>
      <c r="G884"/>
      <c r="H884"/>
      <c r="I884" s="32">
        <v>42677</v>
      </c>
      <c r="J884"/>
      <c r="K884" s="31">
        <v>42705</v>
      </c>
      <c r="L884" s="30">
        <v>327.18</v>
      </c>
      <c r="M884" s="29"/>
      <c r="N884" s="28">
        <f>IF(OR(TableauCB[[#This Row],[Etat]]="",TableauCB[[#This Row],[Etat]]="c"),IF(TableauCB[[#This Row],[Solde]]="","",N883),N883-TableauCB[[#This Row],[Débit]]+TableauCB[[#This Row],[Crédit]])</f>
        <v>11817.596000000005</v>
      </c>
      <c r="O884" s="27">
        <f>IF(TableauCB[[#This Row],[Etat]]&lt;&gt;"",O883-TableauCB[[#This Row],[Débit]]+TableauCB[[#This Row],[Crédit]],O883-TableauCB[[#This Row],[Débit]])</f>
        <v>11697.599999999995</v>
      </c>
      <c r="P884" s="27">
        <f>IF(AND(ISBLANK(TableauCB[[#This Row],[Débit]]),ISBLANK(TableauCB[[#This Row],[Crédit]])),"",P883+TableauCB[[#This Row],[Crédit]]-TableauCB[[#This Row],[Débit]])</f>
        <v>11049.596000000005</v>
      </c>
      <c r="Q884" s="26"/>
      <c r="R884" s="25"/>
      <c r="S884" s="25"/>
      <c r="T884" s="24"/>
      <c r="U884" s="24"/>
      <c r="V884" s="9"/>
      <c r="W884" s="2"/>
      <c r="X884" s="9"/>
      <c r="Y884" s="8"/>
      <c r="Z884" s="7"/>
      <c r="AA884" s="7"/>
      <c r="AB884" s="6"/>
    </row>
    <row r="885" spans="2:28" ht="30" hidden="1" customHeight="1">
      <c r="B885" s="35" t="str">
        <f>IF(MONTH(F884)&lt;&gt;MONTH(TableauCB[[#This Row],[Date d''éxigibilité]]),(TableauCB[[#This Row],[Date d''éxigibilité]]),"")</f>
        <v/>
      </c>
      <c r="C885" s="11" t="s">
        <v>33</v>
      </c>
      <c r="D885" s="11" t="s">
        <v>45</v>
      </c>
      <c r="E885" s="11" t="s">
        <v>49</v>
      </c>
      <c r="F885" s="34">
        <v>42678</v>
      </c>
      <c r="G885"/>
      <c r="H885"/>
      <c r="I885" s="32">
        <v>42684</v>
      </c>
      <c r="J885"/>
      <c r="K885" s="31">
        <v>42693</v>
      </c>
      <c r="L885" s="30"/>
      <c r="M885" s="29">
        <v>72</v>
      </c>
      <c r="N885" s="28">
        <f>IF(OR(TableauCB[[#This Row],[Etat]]="",TableauCB[[#This Row],[Etat]]="c"),IF(TableauCB[[#This Row],[Solde]]="","",N884),N884-TableauCB[[#This Row],[Débit]]+TableauCB[[#This Row],[Crédit]])</f>
        <v>11889.596000000005</v>
      </c>
      <c r="O885" s="27">
        <f>IF(TableauCB[[#This Row],[Etat]]&lt;&gt;"",O884-TableauCB[[#This Row],[Débit]]+TableauCB[[#This Row],[Crédit]],O884-TableauCB[[#This Row],[Débit]])</f>
        <v>11769.599999999995</v>
      </c>
      <c r="P885" s="27">
        <f>IF(AND(ISBLANK(TableauCB[[#This Row],[Débit]]),ISBLANK(TableauCB[[#This Row],[Crédit]])),"",P884+TableauCB[[#This Row],[Crédit]]-TableauCB[[#This Row],[Débit]])</f>
        <v>11121.596000000005</v>
      </c>
      <c r="Q885" s="26"/>
      <c r="R885" s="25"/>
      <c r="S885" s="25"/>
      <c r="T885" s="24"/>
      <c r="U885" s="24"/>
      <c r="V885" s="9"/>
      <c r="W885" s="2"/>
      <c r="X885" s="9"/>
      <c r="Y885" s="8"/>
      <c r="Z885" s="7"/>
      <c r="AA885" s="7"/>
      <c r="AB885" s="6"/>
    </row>
    <row r="886" spans="2:28" ht="30" hidden="1" customHeight="1">
      <c r="B886" s="35" t="str">
        <f>IF(MONTH(F885)&lt;&gt;MONTH(TableauCB[[#This Row],[Date d''éxigibilité]]),(TableauCB[[#This Row],[Date d''éxigibilité]]),"")</f>
        <v/>
      </c>
      <c r="C886" s="11" t="s">
        <v>33</v>
      </c>
      <c r="D886" s="11" t="s">
        <v>48</v>
      </c>
      <c r="E886" s="11" t="s">
        <v>47</v>
      </c>
      <c r="F886" s="34">
        <v>42678</v>
      </c>
      <c r="G886"/>
      <c r="H886"/>
      <c r="I886" s="32">
        <v>42684</v>
      </c>
      <c r="J886"/>
      <c r="K886" s="31">
        <v>42684</v>
      </c>
      <c r="L886" s="30"/>
      <c r="M886" s="29">
        <v>135</v>
      </c>
      <c r="N886" s="28">
        <f>IF(OR(TableauCB[[#This Row],[Etat]]="",TableauCB[[#This Row],[Etat]]="c"),IF(TableauCB[[#This Row],[Solde]]="","",N885),N885-TableauCB[[#This Row],[Débit]]+TableauCB[[#This Row],[Crédit]])</f>
        <v>12024.596000000005</v>
      </c>
      <c r="O886" s="27">
        <f>IF(TableauCB[[#This Row],[Etat]]&lt;&gt;"",O885-TableauCB[[#This Row],[Débit]]+TableauCB[[#This Row],[Crédit]],O885-TableauCB[[#This Row],[Débit]])</f>
        <v>11904.599999999995</v>
      </c>
      <c r="P886" s="27">
        <f>IF(AND(ISBLANK(TableauCB[[#This Row],[Débit]]),ISBLANK(TableauCB[[#This Row],[Crédit]])),"",P885+TableauCB[[#This Row],[Crédit]]-TableauCB[[#This Row],[Débit]])</f>
        <v>11256.596000000005</v>
      </c>
      <c r="Q886" s="26"/>
      <c r="R886" s="25"/>
      <c r="S886" s="25"/>
      <c r="T886" s="24"/>
      <c r="U886" s="24"/>
      <c r="V886" s="9"/>
      <c r="W886" s="2"/>
      <c r="X886" s="9"/>
      <c r="Y886" s="8"/>
      <c r="Z886" s="7"/>
      <c r="AA886" s="7"/>
      <c r="AB886" s="6"/>
    </row>
    <row r="887" spans="2:28" ht="30" hidden="1" customHeight="1">
      <c r="B887" s="35" t="str">
        <f>IF(MONTH(F886)&lt;&gt;MONTH(TableauCB[[#This Row],[Date d''éxigibilité]]),(TableauCB[[#This Row],[Date d''éxigibilité]]),"")</f>
        <v/>
      </c>
      <c r="C887" s="11" t="s">
        <v>33</v>
      </c>
      <c r="D887" s="11" t="s">
        <v>22</v>
      </c>
      <c r="E887" s="11" t="s">
        <v>21</v>
      </c>
      <c r="F887" s="34">
        <v>42683</v>
      </c>
      <c r="G887"/>
      <c r="H887"/>
      <c r="I887" s="32">
        <v>42683</v>
      </c>
      <c r="J887"/>
      <c r="K887" s="31">
        <v>42683</v>
      </c>
      <c r="L887" s="30">
        <v>22.4</v>
      </c>
      <c r="M887" s="29"/>
      <c r="N887" s="28">
        <f>IF(OR(TableauCB[[#This Row],[Etat]]="",TableauCB[[#This Row],[Etat]]="c"),IF(TableauCB[[#This Row],[Solde]]="","",N886),N886-TableauCB[[#This Row],[Débit]]+TableauCB[[#This Row],[Crédit]])</f>
        <v>12002.196000000005</v>
      </c>
      <c r="O887" s="27">
        <f>IF(TableauCB[[#This Row],[Etat]]&lt;&gt;"",O886-TableauCB[[#This Row],[Débit]]+TableauCB[[#This Row],[Crédit]],O886-TableauCB[[#This Row],[Débit]])</f>
        <v>11882.199999999995</v>
      </c>
      <c r="P887" s="27">
        <f>IF(AND(ISBLANK(TableauCB[[#This Row],[Débit]]),ISBLANK(TableauCB[[#This Row],[Crédit]])),"",P886+TableauCB[[#This Row],[Crédit]]-TableauCB[[#This Row],[Débit]])</f>
        <v>11234.196000000005</v>
      </c>
      <c r="Q887" s="26"/>
      <c r="R887" s="25"/>
      <c r="S887" s="25"/>
      <c r="T887" s="24"/>
      <c r="U887" s="24"/>
      <c r="V887" s="9"/>
      <c r="W887" s="2"/>
      <c r="X887" s="9"/>
      <c r="Y887" s="8"/>
      <c r="Z887" s="7"/>
      <c r="AA887" s="7"/>
      <c r="AB887" s="6"/>
    </row>
    <row r="888" spans="2:28" ht="30" hidden="1" customHeight="1">
      <c r="B888" s="35" t="str">
        <f>IF(MONTH(F887)&lt;&gt;MONTH(TableauCB[[#This Row],[Date d''éxigibilité]]),(TableauCB[[#This Row],[Date d''éxigibilité]]),"")</f>
        <v/>
      </c>
      <c r="C888" s="11" t="s">
        <v>33</v>
      </c>
      <c r="D888" s="11" t="s">
        <v>22</v>
      </c>
      <c r="E888" s="11" t="s">
        <v>17</v>
      </c>
      <c r="F888" s="34">
        <v>42689</v>
      </c>
      <c r="G888"/>
      <c r="H888"/>
      <c r="I888" s="32">
        <v>42689</v>
      </c>
      <c r="J888"/>
      <c r="K888" s="31">
        <v>42689</v>
      </c>
      <c r="L888" s="30">
        <v>45.6</v>
      </c>
      <c r="M888" s="29"/>
      <c r="N888" s="28">
        <f>IF(OR(TableauCB[[#This Row],[Etat]]="",TableauCB[[#This Row],[Etat]]="c"),IF(TableauCB[[#This Row],[Solde]]="","",N887),N887-TableauCB[[#This Row],[Débit]]+TableauCB[[#This Row],[Crédit]])</f>
        <v>11956.596000000005</v>
      </c>
      <c r="O888" s="27">
        <f>IF(TableauCB[[#This Row],[Etat]]&lt;&gt;"",O887-TableauCB[[#This Row],[Débit]]+TableauCB[[#This Row],[Crédit]],O887-TableauCB[[#This Row],[Débit]])</f>
        <v>11836.599999999995</v>
      </c>
      <c r="P888" s="27">
        <f>IF(AND(ISBLANK(TableauCB[[#This Row],[Débit]]),ISBLANK(TableauCB[[#This Row],[Crédit]])),"",P887+TableauCB[[#This Row],[Crédit]]-TableauCB[[#This Row],[Débit]])</f>
        <v>11188.596000000005</v>
      </c>
      <c r="Q888" s="26"/>
      <c r="R888" s="25"/>
      <c r="S888" s="25"/>
      <c r="T888" s="24"/>
      <c r="U888" s="24"/>
      <c r="V888" s="9"/>
      <c r="W888" s="2"/>
      <c r="X888" s="9"/>
      <c r="Y888" s="8"/>
      <c r="Z888" s="7"/>
      <c r="AA888" s="7"/>
      <c r="AB888" s="6"/>
    </row>
    <row r="889" spans="2:28" ht="30" hidden="1" customHeight="1">
      <c r="B889" s="35" t="str">
        <f>IF(MONTH(F888)&lt;&gt;MONTH(TableauCB[[#This Row],[Date d''éxigibilité]]),(TableauCB[[#This Row],[Date d''éxigibilité]]),"")</f>
        <v/>
      </c>
      <c r="C889" s="11" t="s">
        <v>33</v>
      </c>
      <c r="D889" s="11" t="s">
        <v>22</v>
      </c>
      <c r="E889" s="11" t="s">
        <v>46</v>
      </c>
      <c r="F889" s="34">
        <v>42690</v>
      </c>
      <c r="G889"/>
      <c r="H889"/>
      <c r="I889" s="32">
        <v>42690</v>
      </c>
      <c r="J889"/>
      <c r="K889" s="31">
        <v>42692</v>
      </c>
      <c r="L889" s="30">
        <v>52</v>
      </c>
      <c r="M889" s="29"/>
      <c r="N889" s="28">
        <f>IF(OR(TableauCB[[#This Row],[Etat]]="",TableauCB[[#This Row],[Etat]]="c"),IF(TableauCB[[#This Row],[Solde]]="","",N888),N888-TableauCB[[#This Row],[Débit]]+TableauCB[[#This Row],[Crédit]])</f>
        <v>11904.596000000005</v>
      </c>
      <c r="O889" s="27">
        <f>IF(TableauCB[[#This Row],[Etat]]&lt;&gt;"",O888-TableauCB[[#This Row],[Débit]]+TableauCB[[#This Row],[Crédit]],O888-TableauCB[[#This Row],[Débit]])</f>
        <v>11784.599999999995</v>
      </c>
      <c r="P889" s="27">
        <f>IF(AND(ISBLANK(TableauCB[[#This Row],[Débit]]),ISBLANK(TableauCB[[#This Row],[Crédit]])),"",P888+TableauCB[[#This Row],[Crédit]]-TableauCB[[#This Row],[Débit]])</f>
        <v>11136.596000000005</v>
      </c>
      <c r="Q889" s="26"/>
      <c r="T889" s="24"/>
      <c r="U889" s="24"/>
      <c r="V889" s="9"/>
      <c r="W889" s="2"/>
      <c r="X889" s="9"/>
      <c r="Y889" s="8"/>
      <c r="Z889" s="7"/>
      <c r="AA889" s="7"/>
      <c r="AB889" s="6"/>
    </row>
    <row r="890" spans="2:28" ht="30" hidden="1" customHeight="1">
      <c r="B890" s="35" t="str">
        <f>IF(MONTH(F889)&lt;&gt;MONTH(TableauCB[[#This Row],[Date d''éxigibilité]]),(TableauCB[[#This Row],[Date d''éxigibilité]]),"")</f>
        <v/>
      </c>
      <c r="C890" s="11" t="s">
        <v>33</v>
      </c>
      <c r="D890" s="11" t="s">
        <v>22</v>
      </c>
      <c r="E890" s="11" t="s">
        <v>17</v>
      </c>
      <c r="F890" s="34">
        <v>42694</v>
      </c>
      <c r="G890"/>
      <c r="H890"/>
      <c r="I890" s="32"/>
      <c r="J890"/>
      <c r="K890" s="31"/>
      <c r="L890" s="30">
        <v>3.59</v>
      </c>
      <c r="M890" s="29"/>
      <c r="N890" s="28">
        <f>IF(OR(TableauCB[[#This Row],[Etat]]="",TableauCB[[#This Row],[Etat]]="c"),IF(TableauCB[[#This Row],[Solde]]="","",N889),N889-TableauCB[[#This Row],[Débit]]+TableauCB[[#This Row],[Crédit]])</f>
        <v>11901.006000000005</v>
      </c>
      <c r="O890" s="27">
        <f>IF(TableauCB[[#This Row],[Etat]]&lt;&gt;"",O889-TableauCB[[#This Row],[Débit]]+TableauCB[[#This Row],[Crédit]],O889-TableauCB[[#This Row],[Débit]])</f>
        <v>11781.009999999995</v>
      </c>
      <c r="P890" s="27">
        <f>IF(AND(ISBLANK(TableauCB[[#This Row],[Débit]]),ISBLANK(TableauCB[[#This Row],[Crédit]])),"",P889+TableauCB[[#This Row],[Crédit]]-TableauCB[[#This Row],[Débit]])</f>
        <v>11133.006000000005</v>
      </c>
      <c r="Q890" s="26"/>
      <c r="T890" s="24"/>
      <c r="U890" s="24"/>
      <c r="V890" s="9"/>
      <c r="W890" s="2"/>
      <c r="X890" s="9"/>
      <c r="Y890" s="8"/>
      <c r="Z890" s="7"/>
      <c r="AA890" s="7"/>
      <c r="AB890" s="6"/>
    </row>
    <row r="891" spans="2:28" ht="30" hidden="1" customHeight="1">
      <c r="B891" s="35" t="str">
        <f>IF(MONTH(F890)&lt;&gt;MONTH(TableauCB[[#This Row],[Date d''éxigibilité]]),(TableauCB[[#This Row],[Date d''éxigibilité]]),"")</f>
        <v/>
      </c>
      <c r="C891" s="11" t="s">
        <v>33</v>
      </c>
      <c r="D891" s="11" t="s">
        <v>30</v>
      </c>
      <c r="E891" s="11" t="s">
        <v>41</v>
      </c>
      <c r="F891" s="34">
        <v>42695</v>
      </c>
      <c r="G891"/>
      <c r="H891"/>
      <c r="I891" s="32">
        <v>42695</v>
      </c>
      <c r="J891"/>
      <c r="K891" s="31">
        <v>42696</v>
      </c>
      <c r="L891" s="30">
        <v>599</v>
      </c>
      <c r="M891" s="29"/>
      <c r="N891" s="28">
        <f>IF(OR(TableauCB[[#This Row],[Etat]]="",TableauCB[[#This Row],[Etat]]="c"),IF(TableauCB[[#This Row],[Solde]]="","",N890),N890-TableauCB[[#This Row],[Débit]]+TableauCB[[#This Row],[Crédit]])</f>
        <v>11302.006000000005</v>
      </c>
      <c r="O891" s="27">
        <f>IF(TableauCB[[#This Row],[Etat]]&lt;&gt;"",O890-TableauCB[[#This Row],[Débit]]+TableauCB[[#This Row],[Crédit]],O890-TableauCB[[#This Row],[Débit]])</f>
        <v>11182.009999999995</v>
      </c>
      <c r="P891" s="27">
        <f>IF(AND(ISBLANK(TableauCB[[#This Row],[Débit]]),ISBLANK(TableauCB[[#This Row],[Crédit]])),"",P890+TableauCB[[#This Row],[Crédit]]-TableauCB[[#This Row],[Débit]])</f>
        <v>10534.006000000005</v>
      </c>
      <c r="Q891" s="26"/>
      <c r="T891" s="24"/>
      <c r="U891" s="24"/>
      <c r="V891" s="9"/>
      <c r="W891" s="2"/>
      <c r="X891" s="9"/>
      <c r="Y891" s="8"/>
      <c r="Z891" s="7"/>
      <c r="AA891" s="7"/>
      <c r="AB891" s="6"/>
    </row>
    <row r="892" spans="2:28" ht="30" hidden="1" customHeight="1">
      <c r="B892" s="35" t="str">
        <f>IF(MONTH(F891)&lt;&gt;MONTH(TableauCB[[#This Row],[Date d''éxigibilité]]),(TableauCB[[#This Row],[Date d''éxigibilité]]),"")</f>
        <v/>
      </c>
      <c r="C892" s="11" t="s">
        <v>33</v>
      </c>
      <c r="D892" s="11" t="s">
        <v>30</v>
      </c>
      <c r="E892" s="11" t="s">
        <v>41</v>
      </c>
      <c r="F892" s="34">
        <v>42696</v>
      </c>
      <c r="G892"/>
      <c r="H892"/>
      <c r="I892" s="32">
        <v>42696</v>
      </c>
      <c r="J892"/>
      <c r="K892" s="31">
        <v>42698</v>
      </c>
      <c r="L892" s="30">
        <v>368.4</v>
      </c>
      <c r="M892" s="29"/>
      <c r="N892" s="28">
        <f>IF(OR(TableauCB[[#This Row],[Etat]]="",TableauCB[[#This Row],[Etat]]="c"),IF(TableauCB[[#This Row],[Solde]]="","",N891),N891-TableauCB[[#This Row],[Débit]]+TableauCB[[#This Row],[Crédit]])</f>
        <v>10933.606000000005</v>
      </c>
      <c r="O892" s="27">
        <f>IF(TableauCB[[#This Row],[Etat]]&lt;&gt;"",O891-TableauCB[[#This Row],[Débit]]+TableauCB[[#This Row],[Crédit]],O891-TableauCB[[#This Row],[Débit]])</f>
        <v>10813.609999999995</v>
      </c>
      <c r="P892" s="27">
        <f>IF(AND(ISBLANK(TableauCB[[#This Row],[Débit]]),ISBLANK(TableauCB[[#This Row],[Crédit]])),"",P891+TableauCB[[#This Row],[Crédit]]-TableauCB[[#This Row],[Débit]])</f>
        <v>10165.606000000005</v>
      </c>
      <c r="Q892" s="26"/>
      <c r="T892" s="24"/>
      <c r="U892" s="24"/>
      <c r="V892" s="9"/>
      <c r="W892" s="2"/>
      <c r="X892" s="9"/>
      <c r="Y892" s="8"/>
      <c r="Z892" s="7"/>
      <c r="AA892" s="7"/>
      <c r="AB892" s="6"/>
    </row>
    <row r="893" spans="2:28" ht="30" hidden="1" customHeight="1">
      <c r="B893" s="35" t="str">
        <f>IF(MONTH(F892)&lt;&gt;MONTH(TableauCB[[#This Row],[Date d''éxigibilité]]),(TableauCB[[#This Row],[Date d''éxigibilité]]),"")</f>
        <v/>
      </c>
      <c r="C893" s="11" t="s">
        <v>33</v>
      </c>
      <c r="D893" s="11" t="s">
        <v>22</v>
      </c>
      <c r="E893" s="11" t="s">
        <v>28</v>
      </c>
      <c r="F893" s="34">
        <v>42697</v>
      </c>
      <c r="G893"/>
      <c r="H893"/>
      <c r="I893" s="32">
        <v>42697</v>
      </c>
      <c r="J893"/>
      <c r="K893" s="31">
        <v>42711</v>
      </c>
      <c r="L893" s="30">
        <v>168.63</v>
      </c>
      <c r="M893" s="29"/>
      <c r="N893" s="28">
        <f>IF(OR(TableauCB[[#This Row],[Etat]]="",TableauCB[[#This Row],[Etat]]="c"),IF(TableauCB[[#This Row],[Solde]]="","",N892),N892-TableauCB[[#This Row],[Débit]]+TableauCB[[#This Row],[Crédit]])</f>
        <v>10764.976000000006</v>
      </c>
      <c r="O893" s="27">
        <f>IF(TableauCB[[#This Row],[Etat]]&lt;&gt;"",O892-TableauCB[[#This Row],[Débit]]+TableauCB[[#This Row],[Crédit]],O892-TableauCB[[#This Row],[Débit]])</f>
        <v>10644.979999999996</v>
      </c>
      <c r="P893" s="27">
        <f>IF(AND(ISBLANK(TableauCB[[#This Row],[Débit]]),ISBLANK(TableauCB[[#This Row],[Crédit]])),"",P892+TableauCB[[#This Row],[Crédit]]-TableauCB[[#This Row],[Débit]])</f>
        <v>9996.976000000006</v>
      </c>
      <c r="Q893" s="26"/>
      <c r="T893" s="24"/>
      <c r="U893" s="24"/>
      <c r="V893" s="9"/>
      <c r="W893" s="2"/>
      <c r="X893" s="9"/>
      <c r="Y893" s="8"/>
      <c r="Z893" s="7"/>
      <c r="AA893" s="7"/>
      <c r="AB893" s="6"/>
    </row>
    <row r="894" spans="2:28" ht="30" hidden="1" customHeight="1">
      <c r="B894" s="35" t="str">
        <f>IF(MONTH(F893)&lt;&gt;MONTH(TableauCB[[#This Row],[Date d''éxigibilité]]),(TableauCB[[#This Row],[Date d''éxigibilité]]),"")</f>
        <v/>
      </c>
      <c r="C894" s="11" t="s">
        <v>33</v>
      </c>
      <c r="D894" s="11" t="s">
        <v>22</v>
      </c>
      <c r="E894" s="11" t="s">
        <v>17</v>
      </c>
      <c r="F894" s="34">
        <v>42697</v>
      </c>
      <c r="G894"/>
      <c r="H894"/>
      <c r="I894" s="32">
        <v>42697</v>
      </c>
      <c r="J894"/>
      <c r="K894" s="31">
        <v>42697</v>
      </c>
      <c r="L894" s="30">
        <v>11.06</v>
      </c>
      <c r="M894" s="29"/>
      <c r="N894" s="28">
        <f>IF(OR(TableauCB[[#This Row],[Etat]]="",TableauCB[[#This Row],[Etat]]="c"),IF(TableauCB[[#This Row],[Solde]]="","",N893),N893-TableauCB[[#This Row],[Débit]]+TableauCB[[#This Row],[Crédit]])</f>
        <v>10753.916000000007</v>
      </c>
      <c r="O894" s="27">
        <f>IF(TableauCB[[#This Row],[Etat]]&lt;&gt;"",O893-TableauCB[[#This Row],[Débit]]+TableauCB[[#This Row],[Crédit]],O893-TableauCB[[#This Row],[Débit]])</f>
        <v>10633.919999999996</v>
      </c>
      <c r="P894" s="27">
        <f>IF(AND(ISBLANK(TableauCB[[#This Row],[Débit]]),ISBLANK(TableauCB[[#This Row],[Crédit]])),"",P893+TableauCB[[#This Row],[Crédit]]-TableauCB[[#This Row],[Débit]])</f>
        <v>9985.9160000000065</v>
      </c>
      <c r="Q894" s="26"/>
      <c r="T894" s="24"/>
      <c r="U894" s="24"/>
      <c r="V894" s="9"/>
      <c r="W894" s="2"/>
      <c r="X894" s="9"/>
      <c r="Y894" s="8"/>
      <c r="Z894" s="7"/>
      <c r="AA894" s="7"/>
      <c r="AB894" s="6"/>
    </row>
    <row r="895" spans="2:28" ht="30" hidden="1" customHeight="1">
      <c r="B895" s="35" t="str">
        <f>IF(MONTH(F894)&lt;&gt;MONTH(TableauCB[[#This Row],[Date d''éxigibilité]]),(TableauCB[[#This Row],[Date d''éxigibilité]]),"")</f>
        <v/>
      </c>
      <c r="C895" s="11" t="s">
        <v>33</v>
      </c>
      <c r="D895" s="11" t="s">
        <v>45</v>
      </c>
      <c r="E895" s="11" t="s">
        <v>10</v>
      </c>
      <c r="F895" s="34">
        <v>42702</v>
      </c>
      <c r="G895"/>
      <c r="H895"/>
      <c r="I895" s="32">
        <v>42737</v>
      </c>
      <c r="J895"/>
      <c r="K895" s="31">
        <v>42737</v>
      </c>
      <c r="L895" s="30"/>
      <c r="M895" s="29">
        <f>120*1.2</f>
        <v>144</v>
      </c>
      <c r="N895" s="28">
        <f>IF(OR(TableauCB[[#This Row],[Etat]]="",TableauCB[[#This Row],[Etat]]="c"),IF(TableauCB[[#This Row],[Solde]]="","",N894),N894-TableauCB[[#This Row],[Débit]]+TableauCB[[#This Row],[Crédit]])</f>
        <v>10897.916000000007</v>
      </c>
      <c r="O895" s="27">
        <f>IF(TableauCB[[#This Row],[Etat]]&lt;&gt;"",O894-TableauCB[[#This Row],[Débit]]+TableauCB[[#This Row],[Crédit]],O894-TableauCB[[#This Row],[Débit]])</f>
        <v>10777.919999999996</v>
      </c>
      <c r="P895" s="27">
        <f>IF(AND(ISBLANK(TableauCB[[#This Row],[Débit]]),ISBLANK(TableauCB[[#This Row],[Crédit]])),"",P894+TableauCB[[#This Row],[Crédit]]-TableauCB[[#This Row],[Débit]])</f>
        <v>10129.916000000007</v>
      </c>
      <c r="Q895" s="26"/>
      <c r="T895" s="24"/>
      <c r="U895" s="24"/>
      <c r="V895" s="9"/>
      <c r="W895" s="2"/>
      <c r="X895" s="9"/>
      <c r="Y895" s="8"/>
      <c r="Z895" s="7"/>
      <c r="AA895" s="7"/>
      <c r="AB895" s="6"/>
    </row>
    <row r="896" spans="2:28" ht="30" hidden="1" customHeight="1">
      <c r="B896" s="35" t="str">
        <f>IF(MONTH(F895)&lt;&gt;MONTH(TableauCB[[#This Row],[Date d''éxigibilité]]),(TableauCB[[#This Row],[Date d''éxigibilité]]),"")</f>
        <v/>
      </c>
      <c r="C896" s="11" t="s">
        <v>33</v>
      </c>
      <c r="D896" s="11" t="s">
        <v>11</v>
      </c>
      <c r="E896" s="11" t="s">
        <v>10</v>
      </c>
      <c r="F896" s="34">
        <v>42704</v>
      </c>
      <c r="G896"/>
      <c r="H896"/>
      <c r="I896" s="32">
        <v>42746</v>
      </c>
      <c r="J896"/>
      <c r="K896" s="31">
        <v>42755</v>
      </c>
      <c r="L896" s="30"/>
      <c r="M896" s="29">
        <v>108</v>
      </c>
      <c r="N896" s="28">
        <f>IF(OR(TableauCB[[#This Row],[Etat]]="",TableauCB[[#This Row],[Etat]]="c"),IF(TableauCB[[#This Row],[Solde]]="","",N895),N895-TableauCB[[#This Row],[Débit]]+TableauCB[[#This Row],[Crédit]])</f>
        <v>11005.916000000007</v>
      </c>
      <c r="O896" s="27">
        <f>IF(TableauCB[[#This Row],[Etat]]&lt;&gt;"",O895-TableauCB[[#This Row],[Débit]]+TableauCB[[#This Row],[Crédit]],O895-TableauCB[[#This Row],[Débit]])</f>
        <v>10885.919999999996</v>
      </c>
      <c r="P896" s="27">
        <f>IF(AND(ISBLANK(TableauCB[[#This Row],[Débit]]),ISBLANK(TableauCB[[#This Row],[Crédit]])),"",P895+TableauCB[[#This Row],[Crédit]]-TableauCB[[#This Row],[Débit]])</f>
        <v>10237.916000000007</v>
      </c>
      <c r="Q896" s="26"/>
      <c r="T896" s="24"/>
      <c r="U896" s="24"/>
      <c r="V896" s="9"/>
      <c r="W896" s="2"/>
      <c r="X896" s="9"/>
      <c r="Y896" s="8"/>
      <c r="Z896" s="7"/>
      <c r="AA896" s="7"/>
      <c r="AB896" s="6"/>
    </row>
    <row r="897" spans="2:28" ht="30" hidden="1" customHeight="1">
      <c r="B897" s="35" t="str">
        <f>IF(MONTH(F896)&lt;&gt;MONTH(TableauCB[[#This Row],[Date d''éxigibilité]]),(TableauCB[[#This Row],[Date d''éxigibilité]]),"")</f>
        <v/>
      </c>
      <c r="C897" s="11"/>
      <c r="D897" s="11" t="s">
        <v>11</v>
      </c>
      <c r="E897" s="11" t="s">
        <v>10</v>
      </c>
      <c r="F897" s="34">
        <v>42704</v>
      </c>
      <c r="G897"/>
      <c r="H897"/>
      <c r="I897" s="32"/>
      <c r="J897"/>
      <c r="K897" s="31"/>
      <c r="L897" s="30"/>
      <c r="M897" s="29">
        <v>198</v>
      </c>
      <c r="N897" s="28">
        <f>IF(OR(TableauCB[[#This Row],[Etat]]="",TableauCB[[#This Row],[Etat]]="c"),IF(TableauCB[[#This Row],[Solde]]="","",N896),N896-TableauCB[[#This Row],[Débit]]+TableauCB[[#This Row],[Crédit]])</f>
        <v>11005.916000000007</v>
      </c>
      <c r="O897" s="27">
        <f>IF(TableauCB[[#This Row],[Etat]]&lt;&gt;"",O896-TableauCB[[#This Row],[Débit]]+TableauCB[[#This Row],[Crédit]],O896-TableauCB[[#This Row],[Débit]])</f>
        <v>10885.919999999996</v>
      </c>
      <c r="P897" s="27">
        <f>IF(AND(ISBLANK(TableauCB[[#This Row],[Débit]]),ISBLANK(TableauCB[[#This Row],[Crédit]])),"",P896+TableauCB[[#This Row],[Crédit]]-TableauCB[[#This Row],[Débit]])</f>
        <v>10435.916000000007</v>
      </c>
      <c r="Q897" s="26"/>
      <c r="T897" s="24"/>
      <c r="U897" s="24"/>
      <c r="V897" s="9"/>
      <c r="W897" s="2"/>
      <c r="X897" s="9"/>
      <c r="Y897" s="8"/>
      <c r="Z897" s="7"/>
      <c r="AA897" s="7"/>
      <c r="AB897" s="6"/>
    </row>
    <row r="898" spans="2:28" ht="30" hidden="1" customHeight="1">
      <c r="B898" s="35" t="str">
        <f>IF(MONTH(F897)&lt;&gt;MONTH(TableauCB[[#This Row],[Date d''éxigibilité]]),(TableauCB[[#This Row],[Date d''éxigibilité]]),"")</f>
        <v/>
      </c>
      <c r="C898" s="11" t="s">
        <v>33</v>
      </c>
      <c r="D898" s="11" t="s">
        <v>11</v>
      </c>
      <c r="E898" s="11" t="s">
        <v>10</v>
      </c>
      <c r="F898" s="34">
        <v>42704</v>
      </c>
      <c r="G898"/>
      <c r="H898"/>
      <c r="I898" s="32">
        <v>42782</v>
      </c>
      <c r="J898"/>
      <c r="K898" s="31">
        <v>42784</v>
      </c>
      <c r="L898" s="30"/>
      <c r="M898" s="29">
        <v>151.80000000000001</v>
      </c>
      <c r="N898" s="28">
        <f>IF(OR(TableauCB[[#This Row],[Etat]]="",TableauCB[[#This Row],[Etat]]="c"),IF(TableauCB[[#This Row],[Solde]]="","",N897),N897-TableauCB[[#This Row],[Débit]]+TableauCB[[#This Row],[Crédit]])</f>
        <v>11157.716000000006</v>
      </c>
      <c r="O898" s="27">
        <f>IF(TableauCB[[#This Row],[Etat]]&lt;&gt;"",O897-TableauCB[[#This Row],[Débit]]+TableauCB[[#This Row],[Crédit]],O897-TableauCB[[#This Row],[Débit]])</f>
        <v>11037.719999999996</v>
      </c>
      <c r="P898" s="27">
        <f>IF(AND(ISBLANK(TableauCB[[#This Row],[Débit]]),ISBLANK(TableauCB[[#This Row],[Crédit]])),"",P897+TableauCB[[#This Row],[Crédit]]-TableauCB[[#This Row],[Débit]])</f>
        <v>10587.716000000006</v>
      </c>
      <c r="Q898" s="26"/>
      <c r="T898" s="24"/>
      <c r="U898" s="24"/>
      <c r="V898" s="9"/>
      <c r="W898" s="2"/>
      <c r="X898" s="9"/>
      <c r="Y898" s="8"/>
      <c r="Z898" s="7"/>
      <c r="AA898" s="7"/>
      <c r="AB898" s="6"/>
    </row>
    <row r="899" spans="2:28" ht="30" hidden="1" customHeight="1">
      <c r="B899" s="35" t="str">
        <f>IF(MONTH(F898)&lt;&gt;MONTH(TableauCB[[#This Row],[Date d''éxigibilité]]),(TableauCB[[#This Row],[Date d''éxigibilité]]),"")</f>
        <v/>
      </c>
      <c r="C899" s="11" t="s">
        <v>33</v>
      </c>
      <c r="D899" s="11" t="s">
        <v>11</v>
      </c>
      <c r="E899" s="11" t="s">
        <v>12</v>
      </c>
      <c r="F899" s="34">
        <v>42704</v>
      </c>
      <c r="G899"/>
      <c r="H899"/>
      <c r="I899" s="32">
        <v>42710</v>
      </c>
      <c r="J899"/>
      <c r="K899" s="31">
        <v>42712</v>
      </c>
      <c r="L899" s="30"/>
      <c r="M899" s="29">
        <v>522</v>
      </c>
      <c r="N899" s="28">
        <f>IF(OR(TableauCB[[#This Row],[Etat]]="",TableauCB[[#This Row],[Etat]]="c"),IF(TableauCB[[#This Row],[Solde]]="","",N898),N898-TableauCB[[#This Row],[Débit]]+TableauCB[[#This Row],[Crédit]])</f>
        <v>11679.716000000006</v>
      </c>
      <c r="O899" s="27">
        <f>IF(TableauCB[[#This Row],[Etat]]&lt;&gt;"",O898-TableauCB[[#This Row],[Débit]]+TableauCB[[#This Row],[Crédit]],O898-TableauCB[[#This Row],[Débit]])</f>
        <v>11559.719999999996</v>
      </c>
      <c r="P899" s="27">
        <f>IF(AND(ISBLANK(TableauCB[[#This Row],[Débit]]),ISBLANK(TableauCB[[#This Row],[Crédit]])),"",P898+TableauCB[[#This Row],[Crédit]]-TableauCB[[#This Row],[Débit]])</f>
        <v>11109.716000000006</v>
      </c>
      <c r="Q899" s="26"/>
      <c r="T899" s="24"/>
      <c r="U899" s="24"/>
      <c r="V899" s="9"/>
      <c r="W899" s="2"/>
      <c r="X899" s="9"/>
      <c r="Y899" s="8"/>
      <c r="Z899" s="7"/>
      <c r="AA899" s="7"/>
      <c r="AB899" s="6"/>
    </row>
    <row r="900" spans="2:28" ht="30" hidden="1" customHeight="1">
      <c r="B900" s="35" t="str">
        <f>IF(MONTH(F899)&lt;&gt;MONTH(TableauCB[[#This Row],[Date d''éxigibilité]]),(TableauCB[[#This Row],[Date d''éxigibilité]]),"")</f>
        <v/>
      </c>
      <c r="C900" s="11" t="s">
        <v>33</v>
      </c>
      <c r="D900" s="11" t="s">
        <v>11</v>
      </c>
      <c r="E900" s="11" t="s">
        <v>10</v>
      </c>
      <c r="F900" s="34">
        <v>42704</v>
      </c>
      <c r="G900"/>
      <c r="H900"/>
      <c r="I900" s="32">
        <v>42774</v>
      </c>
      <c r="J900"/>
      <c r="K900" s="31">
        <v>42774</v>
      </c>
      <c r="L900" s="30"/>
      <c r="M900" s="29">
        <v>240</v>
      </c>
      <c r="N900" s="28">
        <f>IF(OR(TableauCB[[#This Row],[Etat]]="",TableauCB[[#This Row],[Etat]]="c"),IF(TableauCB[[#This Row],[Solde]]="","",N899),N899-TableauCB[[#This Row],[Débit]]+TableauCB[[#This Row],[Crédit]])</f>
        <v>11919.716000000006</v>
      </c>
      <c r="O900" s="27">
        <f>IF(TableauCB[[#This Row],[Etat]]&lt;&gt;"",O899-TableauCB[[#This Row],[Débit]]+TableauCB[[#This Row],[Crédit]],O899-TableauCB[[#This Row],[Débit]])</f>
        <v>11799.719999999996</v>
      </c>
      <c r="P900" s="27">
        <f>IF(AND(ISBLANK(TableauCB[[#This Row],[Débit]]),ISBLANK(TableauCB[[#This Row],[Crédit]])),"",P899+TableauCB[[#This Row],[Crédit]]-TableauCB[[#This Row],[Débit]])</f>
        <v>11349.716000000006</v>
      </c>
      <c r="Q900" s="26"/>
      <c r="T900" s="24"/>
      <c r="U900" s="24"/>
      <c r="V900" s="9"/>
      <c r="W900" s="2"/>
      <c r="X900" s="9"/>
      <c r="Y900" s="8"/>
      <c r="Z900" s="7"/>
      <c r="AA900" s="7"/>
      <c r="AB900" s="6"/>
    </row>
    <row r="901" spans="2:28" ht="30" hidden="1" customHeight="1">
      <c r="B901" s="35" t="str">
        <f>IF(MONTH(F900)&lt;&gt;MONTH(TableauCB[[#This Row],[Date d''éxigibilité]]),(TableauCB[[#This Row],[Date d''éxigibilité]]),"")</f>
        <v/>
      </c>
      <c r="C901" s="11" t="s">
        <v>33</v>
      </c>
      <c r="D901" s="11" t="s">
        <v>11</v>
      </c>
      <c r="E901" s="11" t="s">
        <v>10</v>
      </c>
      <c r="F901" s="34">
        <v>42704</v>
      </c>
      <c r="G901"/>
      <c r="H901"/>
      <c r="I901" s="32">
        <v>42737</v>
      </c>
      <c r="J901"/>
      <c r="K901" s="31">
        <v>42737</v>
      </c>
      <c r="L901" s="30"/>
      <c r="M901" s="29">
        <v>624</v>
      </c>
      <c r="N901" s="28">
        <f>IF(OR(TableauCB[[#This Row],[Etat]]="",TableauCB[[#This Row],[Etat]]="c"),IF(TableauCB[[#This Row],[Solde]]="","",N900),N900-TableauCB[[#This Row],[Débit]]+TableauCB[[#This Row],[Crédit]])</f>
        <v>12543.716000000006</v>
      </c>
      <c r="O901" s="27">
        <f>IF(TableauCB[[#This Row],[Etat]]&lt;&gt;"",O900-TableauCB[[#This Row],[Débit]]+TableauCB[[#This Row],[Crédit]],O900-TableauCB[[#This Row],[Débit]])</f>
        <v>12423.719999999996</v>
      </c>
      <c r="P901" s="27">
        <f>IF(AND(ISBLANK(TableauCB[[#This Row],[Débit]]),ISBLANK(TableauCB[[#This Row],[Crédit]])),"",P900+TableauCB[[#This Row],[Crédit]]-TableauCB[[#This Row],[Débit]])</f>
        <v>11973.716000000006</v>
      </c>
      <c r="Q901" s="26"/>
      <c r="T901" s="24"/>
      <c r="U901" s="24"/>
      <c r="V901" s="9"/>
      <c r="W901" s="2"/>
      <c r="X901" s="9"/>
      <c r="Y901" s="8"/>
      <c r="Z901" s="7"/>
      <c r="AA901" s="7"/>
      <c r="AB901" s="6"/>
    </row>
    <row r="902" spans="2:28" ht="30" hidden="1" customHeight="1">
      <c r="B902" s="35" t="str">
        <f>IF(MONTH(F901)&lt;&gt;MONTH(TableauCB[[#This Row],[Date d''éxigibilité]]),(TableauCB[[#This Row],[Date d''éxigibilité]]),"")</f>
        <v/>
      </c>
      <c r="C902" s="11"/>
      <c r="D902" s="11" t="s">
        <v>11</v>
      </c>
      <c r="E902" s="11" t="s">
        <v>12</v>
      </c>
      <c r="F902" s="34">
        <v>42704</v>
      </c>
      <c r="G902"/>
      <c r="H902"/>
      <c r="I902" s="32"/>
      <c r="J902"/>
      <c r="K902" s="31"/>
      <c r="L902" s="30"/>
      <c r="M902" s="29">
        <v>115.2</v>
      </c>
      <c r="N902" s="28">
        <f>IF(OR(TableauCB[[#This Row],[Etat]]="",TableauCB[[#This Row],[Etat]]="c"),IF(TableauCB[[#This Row],[Solde]]="","",N901),N901-TableauCB[[#This Row],[Débit]]+TableauCB[[#This Row],[Crédit]])</f>
        <v>12543.716000000006</v>
      </c>
      <c r="O902" s="27">
        <f>IF(TableauCB[[#This Row],[Etat]]&lt;&gt;"",O901-TableauCB[[#This Row],[Débit]]+TableauCB[[#This Row],[Crédit]],O901-TableauCB[[#This Row],[Débit]])</f>
        <v>12423.719999999996</v>
      </c>
      <c r="P902" s="27">
        <f>IF(AND(ISBLANK(TableauCB[[#This Row],[Débit]]),ISBLANK(TableauCB[[#This Row],[Crédit]])),"",P901+TableauCB[[#This Row],[Crédit]]-TableauCB[[#This Row],[Débit]])</f>
        <v>12088.916000000007</v>
      </c>
      <c r="Q902" s="26"/>
      <c r="T902" s="24"/>
      <c r="U902" s="24"/>
      <c r="V902" s="9"/>
      <c r="W902" s="2"/>
      <c r="X902" s="9"/>
      <c r="Y902" s="8"/>
      <c r="Z902" s="7"/>
      <c r="AA902" s="7"/>
      <c r="AB902" s="6"/>
    </row>
    <row r="903" spans="2:28" ht="30" hidden="1" customHeight="1">
      <c r="B903" s="35" t="str">
        <f>IF(MONTH(F902)&lt;&gt;MONTH(TableauCB[[#This Row],[Date d''éxigibilité]]),(TableauCB[[#This Row],[Date d''éxigibilité]]),"")</f>
        <v/>
      </c>
      <c r="C903" s="11"/>
      <c r="D903" s="11" t="s">
        <v>11</v>
      </c>
      <c r="E903" s="11" t="s">
        <v>10</v>
      </c>
      <c r="F903" s="34">
        <v>42704</v>
      </c>
      <c r="G903"/>
      <c r="H903"/>
      <c r="I903" s="32"/>
      <c r="J903"/>
      <c r="K903" s="31"/>
      <c r="L903" s="30"/>
      <c r="M903" s="29">
        <v>96</v>
      </c>
      <c r="N903" s="28">
        <f>IF(OR(TableauCB[[#This Row],[Etat]]="",TableauCB[[#This Row],[Etat]]="c"),IF(TableauCB[[#This Row],[Solde]]="","",N902),N902-TableauCB[[#This Row],[Débit]]+TableauCB[[#This Row],[Crédit]])</f>
        <v>12543.716000000006</v>
      </c>
      <c r="O903" s="27">
        <f>IF(TableauCB[[#This Row],[Etat]]&lt;&gt;"",O902-TableauCB[[#This Row],[Débit]]+TableauCB[[#This Row],[Crédit]],O902-TableauCB[[#This Row],[Débit]])</f>
        <v>12423.719999999996</v>
      </c>
      <c r="P903" s="27">
        <f>IF(AND(ISBLANK(TableauCB[[#This Row],[Débit]]),ISBLANK(TableauCB[[#This Row],[Crédit]])),"",P902+TableauCB[[#This Row],[Crédit]]-TableauCB[[#This Row],[Débit]])</f>
        <v>12184.916000000007</v>
      </c>
      <c r="Q903" s="26"/>
      <c r="R903" s="25"/>
      <c r="S903" s="25"/>
      <c r="T903" s="24"/>
      <c r="U903" s="24"/>
      <c r="V903" s="9"/>
      <c r="W903" s="2"/>
      <c r="X903" s="9"/>
      <c r="Y903" s="8"/>
      <c r="Z903" s="7"/>
      <c r="AA903" s="7"/>
      <c r="AB903" s="6"/>
    </row>
    <row r="904" spans="2:28" ht="30" hidden="1" customHeight="1">
      <c r="B904" s="35" t="str">
        <f>IF(MONTH(F903)&lt;&gt;MONTH(TableauCB[[#This Row],[Date d''éxigibilité]]),(TableauCB[[#This Row],[Date d''éxigibilité]]),"")</f>
        <v/>
      </c>
      <c r="C904" s="11" t="s">
        <v>33</v>
      </c>
      <c r="D904" s="11" t="s">
        <v>11</v>
      </c>
      <c r="E904" s="11" t="s">
        <v>10</v>
      </c>
      <c r="F904" s="34">
        <v>42704</v>
      </c>
      <c r="G904"/>
      <c r="H904"/>
      <c r="I904" s="32">
        <v>42713</v>
      </c>
      <c r="J904"/>
      <c r="K904" s="31">
        <v>42713</v>
      </c>
      <c r="L904" s="30"/>
      <c r="M904" s="29">
        <v>510</v>
      </c>
      <c r="N904" s="28">
        <f>IF(OR(TableauCB[[#This Row],[Etat]]="",TableauCB[[#This Row],[Etat]]="c"),IF(TableauCB[[#This Row],[Solde]]="","",N903),N903-TableauCB[[#This Row],[Débit]]+TableauCB[[#This Row],[Crédit]])</f>
        <v>13053.716000000006</v>
      </c>
      <c r="O904" s="27">
        <f>IF(TableauCB[[#This Row],[Etat]]&lt;&gt;"",O903-TableauCB[[#This Row],[Débit]]+TableauCB[[#This Row],[Crédit]],O903-TableauCB[[#This Row],[Débit]])</f>
        <v>12933.719999999996</v>
      </c>
      <c r="P904" s="27">
        <f>IF(AND(ISBLANK(TableauCB[[#This Row],[Débit]]),ISBLANK(TableauCB[[#This Row],[Crédit]])),"",P903+TableauCB[[#This Row],[Crédit]]-TableauCB[[#This Row],[Débit]])</f>
        <v>12694.916000000007</v>
      </c>
      <c r="Q904" s="26"/>
      <c r="R904" s="25"/>
      <c r="S904" s="25"/>
      <c r="T904" s="24"/>
      <c r="U904" s="24"/>
      <c r="V904" s="9"/>
      <c r="W904" s="2"/>
      <c r="X904" s="9"/>
      <c r="Y904" s="8"/>
      <c r="Z904" s="7"/>
      <c r="AA904" s="7"/>
      <c r="AB904" s="6"/>
    </row>
    <row r="905" spans="2:28" ht="30" hidden="1" customHeight="1">
      <c r="B905" s="35" t="str">
        <f>IF(MONTH(F904)&lt;&gt;MONTH(TableauCB[[#This Row],[Date d''éxigibilité]]),(TableauCB[[#This Row],[Date d''éxigibilité]]),"")</f>
        <v/>
      </c>
      <c r="C905" s="11" t="s">
        <v>33</v>
      </c>
      <c r="D905" s="11" t="s">
        <v>11</v>
      </c>
      <c r="E905" s="11" t="s">
        <v>10</v>
      </c>
      <c r="F905" s="34">
        <v>42704</v>
      </c>
      <c r="G905"/>
      <c r="H905"/>
      <c r="I905" s="32">
        <v>42745</v>
      </c>
      <c r="J905"/>
      <c r="K905" s="31">
        <v>42745</v>
      </c>
      <c r="L905" s="30"/>
      <c r="M905" s="29">
        <v>228</v>
      </c>
      <c r="N905" s="28">
        <f>IF(OR(TableauCB[[#This Row],[Etat]]="",TableauCB[[#This Row],[Etat]]="c"),IF(TableauCB[[#This Row],[Solde]]="","",N904),N904-TableauCB[[#This Row],[Débit]]+TableauCB[[#This Row],[Crédit]])</f>
        <v>13281.716000000006</v>
      </c>
      <c r="O905" s="27">
        <f>IF(TableauCB[[#This Row],[Etat]]&lt;&gt;"",O904-TableauCB[[#This Row],[Débit]]+TableauCB[[#This Row],[Crédit]],O904-TableauCB[[#This Row],[Débit]])</f>
        <v>13161.719999999996</v>
      </c>
      <c r="P905" s="27">
        <f>IF(AND(ISBLANK(TableauCB[[#This Row],[Débit]]),ISBLANK(TableauCB[[#This Row],[Crédit]])),"",P904+TableauCB[[#This Row],[Crédit]]-TableauCB[[#This Row],[Débit]])</f>
        <v>12922.916000000007</v>
      </c>
      <c r="Q905" s="26"/>
      <c r="R905" s="25"/>
      <c r="S905" s="25"/>
      <c r="T905" s="24"/>
      <c r="U905" s="24"/>
      <c r="V905" s="9"/>
      <c r="W905" s="2"/>
      <c r="X905" s="9"/>
      <c r="Y905" s="8"/>
      <c r="Z905" s="7"/>
      <c r="AA905" s="7"/>
      <c r="AB905" s="6"/>
    </row>
    <row r="906" spans="2:28" ht="30" hidden="1" customHeight="1">
      <c r="B906" s="35" t="str">
        <f>IF(MONTH(F905)&lt;&gt;MONTH(TableauCB[[#This Row],[Date d''éxigibilité]]),(TableauCB[[#This Row],[Date d''éxigibilité]]),"")</f>
        <v/>
      </c>
      <c r="C906" s="11" t="s">
        <v>33</v>
      </c>
      <c r="D906" s="11" t="s">
        <v>11</v>
      </c>
      <c r="E906" s="11" t="s">
        <v>12</v>
      </c>
      <c r="F906" s="34">
        <v>42704</v>
      </c>
      <c r="G906"/>
      <c r="H906"/>
      <c r="I906" s="32">
        <v>42760</v>
      </c>
      <c r="J906"/>
      <c r="K906" s="31">
        <v>42763</v>
      </c>
      <c r="L906" s="30"/>
      <c r="M906" s="29">
        <v>180</v>
      </c>
      <c r="N906" s="28">
        <f>IF(OR(TableauCB[[#This Row],[Etat]]="",TableauCB[[#This Row],[Etat]]="c"),IF(TableauCB[[#This Row],[Solde]]="","",N905),N905-TableauCB[[#This Row],[Débit]]+TableauCB[[#This Row],[Crédit]])</f>
        <v>13461.716000000006</v>
      </c>
      <c r="O906" s="27">
        <f>IF(TableauCB[[#This Row],[Etat]]&lt;&gt;"",O905-TableauCB[[#This Row],[Débit]]+TableauCB[[#This Row],[Crédit]],O905-TableauCB[[#This Row],[Débit]])</f>
        <v>13341.719999999996</v>
      </c>
      <c r="P906" s="27">
        <f>IF(AND(ISBLANK(TableauCB[[#This Row],[Débit]]),ISBLANK(TableauCB[[#This Row],[Crédit]])),"",P905+TableauCB[[#This Row],[Crédit]]-TableauCB[[#This Row],[Débit]])</f>
        <v>13102.916000000007</v>
      </c>
      <c r="Q906" s="26"/>
      <c r="R906" s="25"/>
      <c r="S906" s="25"/>
      <c r="T906" s="24"/>
      <c r="U906" s="24"/>
      <c r="V906" s="9"/>
      <c r="W906" s="2"/>
      <c r="X906" s="9"/>
      <c r="Y906" s="8"/>
      <c r="Z906" s="7"/>
      <c r="AA906" s="7"/>
      <c r="AB906" s="6"/>
    </row>
    <row r="907" spans="2:28" ht="30" hidden="1" customHeight="1">
      <c r="B907" s="35" t="str">
        <f>IF(MONTH(F906)&lt;&gt;MONTH(TableauCB[[#This Row],[Date d''éxigibilité]]),(TableauCB[[#This Row],[Date d''éxigibilité]]),"")</f>
        <v/>
      </c>
      <c r="C907" s="11" t="s">
        <v>33</v>
      </c>
      <c r="D907" s="11" t="s">
        <v>22</v>
      </c>
      <c r="E907" s="11" t="s">
        <v>43</v>
      </c>
      <c r="F907" s="34">
        <v>42704</v>
      </c>
      <c r="G907"/>
      <c r="H907"/>
      <c r="I907" s="32">
        <v>42705</v>
      </c>
      <c r="J907"/>
      <c r="K907" s="31">
        <v>42711</v>
      </c>
      <c r="L907" s="30">
        <v>240</v>
      </c>
      <c r="M907" s="29"/>
      <c r="N907" s="28">
        <f>IF(OR(TableauCB[[#This Row],[Etat]]="",TableauCB[[#This Row],[Etat]]="c"),IF(TableauCB[[#This Row],[Solde]]="","",N906),N906-TableauCB[[#This Row],[Débit]]+TableauCB[[#This Row],[Crédit]])</f>
        <v>13221.716000000006</v>
      </c>
      <c r="O907" s="27">
        <f>IF(TableauCB[[#This Row],[Etat]]&lt;&gt;"",O906-TableauCB[[#This Row],[Débit]]+TableauCB[[#This Row],[Crédit]],O906-TableauCB[[#This Row],[Débit]])</f>
        <v>13101.719999999996</v>
      </c>
      <c r="P907" s="27">
        <f>IF(AND(ISBLANK(TableauCB[[#This Row],[Débit]]),ISBLANK(TableauCB[[#This Row],[Crédit]])),"",P906+TableauCB[[#This Row],[Crédit]]-TableauCB[[#This Row],[Débit]])</f>
        <v>12862.916000000007</v>
      </c>
      <c r="Q907" s="26"/>
      <c r="R907" s="25"/>
      <c r="S907" s="25"/>
      <c r="T907" s="24"/>
      <c r="U907" s="24"/>
      <c r="V907" s="9"/>
      <c r="W907" s="2"/>
      <c r="X907" s="9"/>
      <c r="Y907" s="8"/>
      <c r="Z907" s="7"/>
      <c r="AA907" s="7"/>
      <c r="AB907" s="6"/>
    </row>
    <row r="908" spans="2:28" ht="30" hidden="1" customHeight="1">
      <c r="B908" s="35" t="str">
        <f>IF(MONTH(F907)&lt;&gt;MONTH(TableauCB[[#This Row],[Date d''éxigibilité]]),(TableauCB[[#This Row],[Date d''éxigibilité]]),"")</f>
        <v/>
      </c>
      <c r="C908" s="11" t="s">
        <v>33</v>
      </c>
      <c r="D908" s="11" t="s">
        <v>5</v>
      </c>
      <c r="E908" s="11" t="s">
        <v>7</v>
      </c>
      <c r="F908" s="34">
        <v>42704</v>
      </c>
      <c r="G908"/>
      <c r="H908"/>
      <c r="I908" s="32">
        <v>42706</v>
      </c>
      <c r="J908"/>
      <c r="K908" s="31">
        <v>42710</v>
      </c>
      <c r="L908" s="30">
        <v>500</v>
      </c>
      <c r="M908" s="29"/>
      <c r="N908" s="28">
        <f>IF(OR(TableauCB[[#This Row],[Etat]]="",TableauCB[[#This Row],[Etat]]="c"),IF(TableauCB[[#This Row],[Solde]]="","",N907),N907-TableauCB[[#This Row],[Débit]]+TableauCB[[#This Row],[Crédit]])</f>
        <v>12721.716000000006</v>
      </c>
      <c r="O908" s="27">
        <f>IF(TableauCB[[#This Row],[Etat]]&lt;&gt;"",O907-TableauCB[[#This Row],[Débit]]+TableauCB[[#This Row],[Crédit]],O907-TableauCB[[#This Row],[Débit]])</f>
        <v>12601.719999999996</v>
      </c>
      <c r="P908" s="27">
        <f>IF(AND(ISBLANK(TableauCB[[#This Row],[Débit]]),ISBLANK(TableauCB[[#This Row],[Crédit]])),"",P907+TableauCB[[#This Row],[Crédit]]-TableauCB[[#This Row],[Débit]])</f>
        <v>12362.916000000007</v>
      </c>
      <c r="Q908" s="26"/>
      <c r="R908" s="25"/>
      <c r="S908" s="25"/>
      <c r="T908" s="24"/>
      <c r="U908" s="24"/>
      <c r="V908" s="9"/>
      <c r="W908" s="2"/>
      <c r="X908" s="9"/>
      <c r="Y908" s="8"/>
      <c r="Z908" s="7"/>
      <c r="AA908" s="7"/>
      <c r="AB908" s="6"/>
    </row>
    <row r="909" spans="2:28" ht="30" hidden="1" customHeight="1">
      <c r="B909" s="35" t="str">
        <f>IF(MONTH(F908)&lt;&gt;MONTH(TableauCB[[#This Row],[Date d''éxigibilité]]),(TableauCB[[#This Row],[Date d''éxigibilité]]),"")</f>
        <v/>
      </c>
      <c r="C909" s="11" t="s">
        <v>33</v>
      </c>
      <c r="D909" s="11" t="s">
        <v>5</v>
      </c>
      <c r="E909" s="11" t="s">
        <v>6</v>
      </c>
      <c r="F909" s="34">
        <v>42704</v>
      </c>
      <c r="G909"/>
      <c r="H909"/>
      <c r="I909" s="32">
        <v>42721</v>
      </c>
      <c r="J909"/>
      <c r="K909" s="31">
        <v>42724</v>
      </c>
      <c r="L909" s="30">
        <v>282.43</v>
      </c>
      <c r="M909" s="29"/>
      <c r="N909" s="28">
        <f>IF(OR(TableauCB[[#This Row],[Etat]]="",TableauCB[[#This Row],[Etat]]="c"),IF(TableauCB[[#This Row],[Solde]]="","",N908),N908-TableauCB[[#This Row],[Débit]]+TableauCB[[#This Row],[Crédit]])</f>
        <v>12439.286000000006</v>
      </c>
      <c r="O909" s="27">
        <f>IF(TableauCB[[#This Row],[Etat]]&lt;&gt;"",O908-TableauCB[[#This Row],[Débit]]+TableauCB[[#This Row],[Crédit]],O908-TableauCB[[#This Row],[Débit]])</f>
        <v>12319.289999999995</v>
      </c>
      <c r="P909" s="27">
        <f>IF(AND(ISBLANK(TableauCB[[#This Row],[Débit]]),ISBLANK(TableauCB[[#This Row],[Crédit]])),"",P908+TableauCB[[#This Row],[Crédit]]-TableauCB[[#This Row],[Débit]])</f>
        <v>12080.486000000006</v>
      </c>
      <c r="Q909" s="26"/>
      <c r="R909" s="42">
        <v>703.91</v>
      </c>
      <c r="S909" s="36"/>
      <c r="T909" s="24"/>
      <c r="U909" s="24"/>
      <c r="V909" s="9"/>
      <c r="W909" s="2"/>
      <c r="X909" s="9"/>
      <c r="Y909" s="8"/>
      <c r="Z909" s="7"/>
      <c r="AA909" s="7"/>
      <c r="AB909" s="6"/>
    </row>
    <row r="910" spans="2:28" ht="30" hidden="1" customHeight="1">
      <c r="B910" s="35">
        <f>IF(MONTH(F909)&lt;&gt;MONTH(TableauCB[[#This Row],[Date d''éxigibilité]]),(TableauCB[[#This Row],[Date d''éxigibilité]]),"")</f>
        <v>42710</v>
      </c>
      <c r="C910" s="11" t="s">
        <v>33</v>
      </c>
      <c r="D910" s="11" t="s">
        <v>22</v>
      </c>
      <c r="E910" s="11" t="s">
        <v>44</v>
      </c>
      <c r="F910" s="34">
        <v>42710</v>
      </c>
      <c r="G910"/>
      <c r="H910"/>
      <c r="I910" s="32">
        <v>42710</v>
      </c>
      <c r="J910"/>
      <c r="K910" s="31">
        <v>42711</v>
      </c>
      <c r="L910" s="30">
        <v>596</v>
      </c>
      <c r="M910" s="29"/>
      <c r="N910" s="28">
        <f>IF(OR(TableauCB[[#This Row],[Etat]]="",TableauCB[[#This Row],[Etat]]="c"),IF(TableauCB[[#This Row],[Solde]]="","",N909),N909-TableauCB[[#This Row],[Débit]]+TableauCB[[#This Row],[Crédit]])</f>
        <v>11843.286000000006</v>
      </c>
      <c r="O910" s="27">
        <f>IF(TableauCB[[#This Row],[Etat]]&lt;&gt;"",O909-TableauCB[[#This Row],[Débit]]+TableauCB[[#This Row],[Crédit]],O909-TableauCB[[#This Row],[Débit]])</f>
        <v>11723.289999999995</v>
      </c>
      <c r="P910" s="27">
        <f>IF(AND(ISBLANK(TableauCB[[#This Row],[Débit]]),ISBLANK(TableauCB[[#This Row],[Crédit]])),"",P909+TableauCB[[#This Row],[Crédit]]-TableauCB[[#This Row],[Débit]])</f>
        <v>11484.486000000006</v>
      </c>
      <c r="Q910" s="26"/>
      <c r="R910" s="25"/>
      <c r="S910" s="25"/>
      <c r="T910" s="24"/>
      <c r="U910" s="24"/>
      <c r="V910" s="9"/>
      <c r="W910" s="2"/>
      <c r="X910" s="9"/>
      <c r="Y910" s="8"/>
      <c r="Z910" s="7"/>
      <c r="AA910" s="7"/>
      <c r="AB910" s="6"/>
    </row>
    <row r="911" spans="2:28" ht="30" hidden="1" customHeight="1">
      <c r="B911" s="35" t="str">
        <f>IF(MONTH(F910)&lt;&gt;MONTH(TableauCB[[#This Row],[Date d''éxigibilité]]),(TableauCB[[#This Row],[Date d''éxigibilité]]),"")</f>
        <v/>
      </c>
      <c r="C911" s="11" t="s">
        <v>33</v>
      </c>
      <c r="D911" s="11" t="s">
        <v>22</v>
      </c>
      <c r="E911" s="11" t="s">
        <v>21</v>
      </c>
      <c r="F911" s="34">
        <v>42711</v>
      </c>
      <c r="G911"/>
      <c r="H911"/>
      <c r="I911" s="32">
        <v>42711</v>
      </c>
      <c r="J911"/>
      <c r="K911" s="31">
        <v>42711</v>
      </c>
      <c r="L911" s="30">
        <v>22.4</v>
      </c>
      <c r="M911" s="29"/>
      <c r="N911" s="28">
        <f>IF(OR(TableauCB[[#This Row],[Etat]]="",TableauCB[[#This Row],[Etat]]="c"),IF(TableauCB[[#This Row],[Solde]]="","",N910),N910-TableauCB[[#This Row],[Débit]]+TableauCB[[#This Row],[Crédit]])</f>
        <v>11820.886000000006</v>
      </c>
      <c r="O911" s="27">
        <f>IF(TableauCB[[#This Row],[Etat]]&lt;&gt;"",O910-TableauCB[[#This Row],[Débit]]+TableauCB[[#This Row],[Crédit]],O910-TableauCB[[#This Row],[Débit]])</f>
        <v>11700.889999999996</v>
      </c>
      <c r="P911" s="27">
        <f>IF(AND(ISBLANK(TableauCB[[#This Row],[Débit]]),ISBLANK(TableauCB[[#This Row],[Crédit]])),"",P910+TableauCB[[#This Row],[Crédit]]-TableauCB[[#This Row],[Débit]])</f>
        <v>11462.086000000007</v>
      </c>
      <c r="Q911" s="26"/>
      <c r="R911" s="25"/>
      <c r="S911" s="25"/>
      <c r="T911" s="24"/>
      <c r="U911" s="24"/>
      <c r="V911" s="9"/>
      <c r="W911" s="2"/>
      <c r="X911" s="9"/>
      <c r="Y911" s="8"/>
      <c r="Z911" s="7"/>
      <c r="AA911" s="7"/>
      <c r="AB911" s="6"/>
    </row>
    <row r="912" spans="2:28" ht="30" hidden="1" customHeight="1">
      <c r="B912" s="35" t="str">
        <f>IF(MONTH(F911)&lt;&gt;MONTH(TableauCB[[#This Row],[Date d''éxigibilité]]),(TableauCB[[#This Row],[Date d''éxigibilité]]),"")</f>
        <v/>
      </c>
      <c r="C912" s="11" t="s">
        <v>33</v>
      </c>
      <c r="D912" s="11" t="s">
        <v>15</v>
      </c>
      <c r="E912" s="11" t="s">
        <v>14</v>
      </c>
      <c r="F912" s="34">
        <v>42712</v>
      </c>
      <c r="G912"/>
      <c r="H912"/>
      <c r="I912" s="32">
        <v>42712</v>
      </c>
      <c r="J912"/>
      <c r="K912" s="31">
        <v>42716</v>
      </c>
      <c r="L912" s="30">
        <v>1460</v>
      </c>
      <c r="M912" s="29"/>
      <c r="N912" s="28">
        <f>IF(OR(TableauCB[[#This Row],[Etat]]="",TableauCB[[#This Row],[Etat]]="c"),IF(TableauCB[[#This Row],[Solde]]="","",N911),N911-TableauCB[[#This Row],[Débit]]+TableauCB[[#This Row],[Crédit]])</f>
        <v>10360.886000000006</v>
      </c>
      <c r="O912" s="27">
        <f>IF(TableauCB[[#This Row],[Etat]]&lt;&gt;"",O911-TableauCB[[#This Row],[Débit]]+TableauCB[[#This Row],[Crédit]],O911-TableauCB[[#This Row],[Débit]])</f>
        <v>10240.889999999996</v>
      </c>
      <c r="P912" s="27">
        <f>IF(AND(ISBLANK(TableauCB[[#This Row],[Débit]]),ISBLANK(TableauCB[[#This Row],[Crédit]])),"",P911+TableauCB[[#This Row],[Crédit]]-TableauCB[[#This Row],[Débit]])</f>
        <v>10002.086000000007</v>
      </c>
      <c r="Q912" s="26"/>
      <c r="R912" s="25"/>
      <c r="S912" s="25"/>
      <c r="T912" s="24"/>
      <c r="U912" s="24"/>
      <c r="V912" s="9"/>
      <c r="W912" s="2"/>
      <c r="X912" s="9"/>
      <c r="Y912" s="8"/>
      <c r="Z912" s="7"/>
      <c r="AA912" s="7"/>
      <c r="AB912" s="6"/>
    </row>
    <row r="913" spans="2:28" ht="30" hidden="1" customHeight="1">
      <c r="B913" s="35" t="str">
        <f>IF(MONTH(F912)&lt;&gt;MONTH(TableauCB[[#This Row],[Date d''éxigibilité]]),(TableauCB[[#This Row],[Date d''éxigibilité]]),"")</f>
        <v/>
      </c>
      <c r="C913" s="11" t="s">
        <v>33</v>
      </c>
      <c r="D913" s="11" t="s">
        <v>5</v>
      </c>
      <c r="E913" s="11" t="s">
        <v>7</v>
      </c>
      <c r="F913" s="34">
        <v>42712</v>
      </c>
      <c r="G913"/>
      <c r="H913"/>
      <c r="I913" s="32">
        <v>42712</v>
      </c>
      <c r="J913"/>
      <c r="K913" s="31">
        <v>42716</v>
      </c>
      <c r="L913" s="30">
        <v>350</v>
      </c>
      <c r="M913" s="29"/>
      <c r="N913" s="28">
        <f>IF(OR(TableauCB[[#This Row],[Etat]]="",TableauCB[[#This Row],[Etat]]="c"),IF(TableauCB[[#This Row],[Solde]]="","",N912),N912-TableauCB[[#This Row],[Débit]]+TableauCB[[#This Row],[Crédit]])</f>
        <v>10010.886000000006</v>
      </c>
      <c r="O913" s="27">
        <f>IF(TableauCB[[#This Row],[Etat]]&lt;&gt;"",O912-TableauCB[[#This Row],[Débit]]+TableauCB[[#This Row],[Crédit]],O912-TableauCB[[#This Row],[Débit]])</f>
        <v>9890.8899999999958</v>
      </c>
      <c r="P913" s="27">
        <f>IF(AND(ISBLANK(TableauCB[[#This Row],[Débit]]),ISBLANK(TableauCB[[#This Row],[Crédit]])),"",P912+TableauCB[[#This Row],[Crédit]]-TableauCB[[#This Row],[Débit]])</f>
        <v>9652.0860000000066</v>
      </c>
      <c r="Q913" s="26"/>
      <c r="R913" s="25"/>
      <c r="S913" s="25"/>
      <c r="T913" s="24"/>
      <c r="U913" s="24"/>
      <c r="V913" s="9"/>
      <c r="W913" s="2"/>
      <c r="X913" s="9"/>
      <c r="Y913" s="8"/>
      <c r="Z913" s="7"/>
      <c r="AA913" s="7"/>
      <c r="AB913" s="6"/>
    </row>
    <row r="914" spans="2:28" ht="30" hidden="1" customHeight="1">
      <c r="B914" s="35" t="str">
        <f>IF(MONTH(F913)&lt;&gt;MONTH(TableauCB[[#This Row],[Date d''éxigibilité]]),(TableauCB[[#This Row],[Date d''éxigibilité]]),"")</f>
        <v/>
      </c>
      <c r="C914" s="11" t="s">
        <v>33</v>
      </c>
      <c r="D914" s="11" t="s">
        <v>15</v>
      </c>
      <c r="E914" s="11" t="s">
        <v>23</v>
      </c>
      <c r="F914" s="34">
        <v>42712</v>
      </c>
      <c r="G914"/>
      <c r="H914"/>
      <c r="I914" s="32">
        <v>42712</v>
      </c>
      <c r="J914"/>
      <c r="K914" s="31">
        <v>42725</v>
      </c>
      <c r="L914" s="30">
        <v>1469</v>
      </c>
      <c r="M914" s="29"/>
      <c r="N914" s="28">
        <f>IF(OR(TableauCB[[#This Row],[Etat]]="",TableauCB[[#This Row],[Etat]]="c"),IF(TableauCB[[#This Row],[Solde]]="","",N913),N913-TableauCB[[#This Row],[Débit]]+TableauCB[[#This Row],[Crédit]])</f>
        <v>8541.8860000000059</v>
      </c>
      <c r="O914" s="27">
        <f>IF(TableauCB[[#This Row],[Etat]]&lt;&gt;"",O913-TableauCB[[#This Row],[Débit]]+TableauCB[[#This Row],[Crédit]],O913-TableauCB[[#This Row],[Débit]])</f>
        <v>8421.8899999999958</v>
      </c>
      <c r="P914" s="27">
        <f>IF(AND(ISBLANK(TableauCB[[#This Row],[Débit]]),ISBLANK(TableauCB[[#This Row],[Crédit]])),"",P913+TableauCB[[#This Row],[Crédit]]-TableauCB[[#This Row],[Débit]])</f>
        <v>8183.0860000000066</v>
      </c>
      <c r="Q914" s="26"/>
      <c r="R914" s="25"/>
      <c r="S914" s="25"/>
      <c r="T914" s="24"/>
      <c r="U914" s="24"/>
      <c r="V914" s="9"/>
      <c r="W914" s="2"/>
      <c r="X914" s="9"/>
      <c r="Y914" s="8"/>
      <c r="Z914" s="7"/>
      <c r="AA914" s="7"/>
      <c r="AB914" s="6"/>
    </row>
    <row r="915" spans="2:28" ht="30" hidden="1" customHeight="1">
      <c r="B915" s="35" t="str">
        <f>IF(MONTH(F914)&lt;&gt;MONTH(TableauCB[[#This Row],[Date d''éxigibilité]]),(TableauCB[[#This Row],[Date d''éxigibilité]]),"")</f>
        <v/>
      </c>
      <c r="C915" s="11" t="s">
        <v>33</v>
      </c>
      <c r="D915" s="11" t="s">
        <v>15</v>
      </c>
      <c r="E915" s="11" t="s">
        <v>19</v>
      </c>
      <c r="F915" s="34">
        <v>42719</v>
      </c>
      <c r="G915"/>
      <c r="H915"/>
      <c r="I915" s="32">
        <v>42712</v>
      </c>
      <c r="J915"/>
      <c r="K915" s="31">
        <v>42720</v>
      </c>
      <c r="L915" s="30">
        <v>141</v>
      </c>
      <c r="M915" s="29"/>
      <c r="N915" s="28">
        <f>IF(OR(TableauCB[[#This Row],[Etat]]="",TableauCB[[#This Row],[Etat]]="c"),IF(TableauCB[[#This Row],[Solde]]="","",N914),N914-TableauCB[[#This Row],[Débit]]+TableauCB[[#This Row],[Crédit]])</f>
        <v>8400.8860000000059</v>
      </c>
      <c r="O915" s="27">
        <f>IF(TableauCB[[#This Row],[Etat]]&lt;&gt;"",O914-TableauCB[[#This Row],[Débit]]+TableauCB[[#This Row],[Crédit]],O914-TableauCB[[#This Row],[Débit]])</f>
        <v>8280.8899999999958</v>
      </c>
      <c r="P915" s="27">
        <f>IF(AND(ISBLANK(TableauCB[[#This Row],[Débit]]),ISBLANK(TableauCB[[#This Row],[Crédit]])),"",P914+TableauCB[[#This Row],[Crédit]]-TableauCB[[#This Row],[Débit]])</f>
        <v>8042.0860000000066</v>
      </c>
      <c r="Q915" s="26"/>
      <c r="R915" s="25"/>
      <c r="S915" s="25"/>
      <c r="T915" s="24"/>
      <c r="U915" s="24"/>
      <c r="V915" s="9"/>
      <c r="W915" s="2"/>
      <c r="X915" s="9"/>
      <c r="Y915" s="8"/>
      <c r="Z915" s="7"/>
      <c r="AA915" s="7"/>
      <c r="AB915" s="6"/>
    </row>
    <row r="916" spans="2:28" ht="30" hidden="1" customHeight="1">
      <c r="B916" s="35" t="str">
        <f>IF(MONTH(F915)&lt;&gt;MONTH(TableauCB[[#This Row],[Date d''éxigibilité]]),(TableauCB[[#This Row],[Date d''éxigibilité]]),"")</f>
        <v/>
      </c>
      <c r="C916" s="11" t="s">
        <v>33</v>
      </c>
      <c r="D916" s="11" t="s">
        <v>22</v>
      </c>
      <c r="E916" s="11" t="s">
        <v>17</v>
      </c>
      <c r="F916" s="34">
        <v>42719</v>
      </c>
      <c r="G916"/>
      <c r="H916"/>
      <c r="I916" s="32">
        <v>42719</v>
      </c>
      <c r="J916"/>
      <c r="K916" s="31">
        <v>42719</v>
      </c>
      <c r="L916" s="30">
        <v>45.6</v>
      </c>
      <c r="M916" s="29"/>
      <c r="N916" s="28">
        <f>IF(OR(TableauCB[[#This Row],[Etat]]="",TableauCB[[#This Row],[Etat]]="c"),IF(TableauCB[[#This Row],[Solde]]="","",N915),N915-TableauCB[[#This Row],[Débit]]+TableauCB[[#This Row],[Crédit]])</f>
        <v>8355.2860000000055</v>
      </c>
      <c r="O916" s="27">
        <f>IF(TableauCB[[#This Row],[Etat]]&lt;&gt;"",O915-TableauCB[[#This Row],[Débit]]+TableauCB[[#This Row],[Crédit]],O915-TableauCB[[#This Row],[Débit]])</f>
        <v>8235.2899999999954</v>
      </c>
      <c r="P916" s="27">
        <f>IF(AND(ISBLANK(TableauCB[[#This Row],[Débit]]),ISBLANK(TableauCB[[#This Row],[Crédit]])),"",P915+TableauCB[[#This Row],[Crédit]]-TableauCB[[#This Row],[Débit]])</f>
        <v>7996.4860000000062</v>
      </c>
      <c r="Q916" s="26"/>
      <c r="T916" s="24"/>
      <c r="U916" s="24"/>
      <c r="V916" s="9"/>
      <c r="W916" s="2"/>
      <c r="X916" s="9"/>
      <c r="Y916" s="8"/>
      <c r="Z916" s="7"/>
      <c r="AA916" s="7"/>
      <c r="AB916" s="6"/>
    </row>
    <row r="917" spans="2:28" ht="30" hidden="1" customHeight="1">
      <c r="B917" s="35" t="str">
        <f>IF(MONTH(F916)&lt;&gt;MONTH(TableauCB[[#This Row],[Date d''éxigibilité]]),(TableauCB[[#This Row],[Date d''éxigibilité]]),"")</f>
        <v/>
      </c>
      <c r="C917" s="11" t="s">
        <v>33</v>
      </c>
      <c r="D917" s="11" t="s">
        <v>15</v>
      </c>
      <c r="E917" s="11" t="s">
        <v>14</v>
      </c>
      <c r="F917" s="34">
        <v>42721</v>
      </c>
      <c r="G917"/>
      <c r="H917"/>
      <c r="I917" s="32">
        <v>42721</v>
      </c>
      <c r="J917"/>
      <c r="K917" s="31">
        <v>42724</v>
      </c>
      <c r="L917" s="30">
        <v>1260</v>
      </c>
      <c r="M917" s="29"/>
      <c r="N917" s="28">
        <f>IF(OR(TableauCB[[#This Row],[Etat]]="",TableauCB[[#This Row],[Etat]]="c"),IF(TableauCB[[#This Row],[Solde]]="","",N916),N916-TableauCB[[#This Row],[Débit]]+TableauCB[[#This Row],[Crédit]])</f>
        <v>7095.2860000000055</v>
      </c>
      <c r="O917" s="27">
        <f>IF(TableauCB[[#This Row],[Etat]]&lt;&gt;"",O916-TableauCB[[#This Row],[Débit]]+TableauCB[[#This Row],[Crédit]],O916-TableauCB[[#This Row],[Débit]])</f>
        <v>6975.2899999999954</v>
      </c>
      <c r="P917" s="27">
        <f>IF(AND(ISBLANK(TableauCB[[#This Row],[Débit]]),ISBLANK(TableauCB[[#This Row],[Crédit]])),"",P916+TableauCB[[#This Row],[Crédit]]-TableauCB[[#This Row],[Débit]])</f>
        <v>6736.4860000000062</v>
      </c>
      <c r="Q917" s="26"/>
      <c r="T917" s="24"/>
      <c r="U917" s="24"/>
      <c r="V917" s="9"/>
      <c r="W917" s="2"/>
      <c r="X917" s="9"/>
      <c r="Y917" s="8"/>
      <c r="Z917" s="7"/>
      <c r="AA917" s="7"/>
      <c r="AB917" s="6"/>
    </row>
    <row r="918" spans="2:28" ht="30" hidden="1" customHeight="1">
      <c r="B918" s="35" t="str">
        <f>IF(MONTH(F917)&lt;&gt;MONTH(TableauCB[[#This Row],[Date d''éxigibilité]]),(TableauCB[[#This Row],[Date d''éxigibilité]]),"")</f>
        <v/>
      </c>
      <c r="C918" s="11" t="s">
        <v>33</v>
      </c>
      <c r="D918" s="11" t="s">
        <v>5</v>
      </c>
      <c r="E918" s="11" t="s">
        <v>6</v>
      </c>
      <c r="F918" s="34">
        <v>42721</v>
      </c>
      <c r="G918"/>
      <c r="H918"/>
      <c r="I918" s="32">
        <v>42721</v>
      </c>
      <c r="J918"/>
      <c r="K918" s="31">
        <v>42724</v>
      </c>
      <c r="L918" s="30">
        <f>600-L909</f>
        <v>317.57</v>
      </c>
      <c r="M918" s="29"/>
      <c r="N918" s="28">
        <f>IF(OR(TableauCB[[#This Row],[Etat]]="",TableauCB[[#This Row],[Etat]]="c"),IF(TableauCB[[#This Row],[Solde]]="","",N917),N917-TableauCB[[#This Row],[Débit]]+TableauCB[[#This Row],[Crédit]])</f>
        <v>6777.7160000000058</v>
      </c>
      <c r="O918" s="27">
        <f>IF(TableauCB[[#This Row],[Etat]]&lt;&gt;"",O917-TableauCB[[#This Row],[Débit]]+TableauCB[[#This Row],[Crédit]],O917-TableauCB[[#This Row],[Débit]])</f>
        <v>6657.7199999999957</v>
      </c>
      <c r="P918" s="27">
        <f>IF(AND(ISBLANK(TableauCB[[#This Row],[Débit]]),ISBLANK(TableauCB[[#This Row],[Crédit]])),"",P917+TableauCB[[#This Row],[Crédit]]-TableauCB[[#This Row],[Débit]])</f>
        <v>6418.9160000000065</v>
      </c>
      <c r="Q918" s="26"/>
      <c r="T918" s="24"/>
      <c r="U918" s="24"/>
      <c r="V918" s="9"/>
      <c r="W918" s="2"/>
      <c r="X918" s="9"/>
      <c r="Y918" s="8"/>
      <c r="Z918" s="7"/>
      <c r="AA918" s="7"/>
      <c r="AB918" s="6"/>
    </row>
    <row r="919" spans="2:28" ht="30" hidden="1" customHeight="1">
      <c r="B919" s="35" t="str">
        <f>IF(MONTH(F918)&lt;&gt;MONTH(TableauCB[[#This Row],[Date d''éxigibilité]]),(TableauCB[[#This Row],[Date d''éxigibilité]]),"")</f>
        <v/>
      </c>
      <c r="C919" s="11" t="s">
        <v>33</v>
      </c>
      <c r="D919" s="11" t="s">
        <v>22</v>
      </c>
      <c r="E919" s="11" t="s">
        <v>17</v>
      </c>
      <c r="F919" s="34">
        <v>42724</v>
      </c>
      <c r="G919"/>
      <c r="H919"/>
      <c r="I919" s="32">
        <v>42724</v>
      </c>
      <c r="J919"/>
      <c r="K919" s="31">
        <v>42730</v>
      </c>
      <c r="L919" s="30">
        <v>3.59</v>
      </c>
      <c r="M919" s="29"/>
      <c r="N919" s="28">
        <f>IF(OR(TableauCB[[#This Row],[Etat]]="",TableauCB[[#This Row],[Etat]]="c"),IF(TableauCB[[#This Row],[Solde]]="","",N918),N918-TableauCB[[#This Row],[Débit]]+TableauCB[[#This Row],[Crédit]])</f>
        <v>6774.1260000000057</v>
      </c>
      <c r="O919" s="27">
        <f>IF(TableauCB[[#This Row],[Etat]]&lt;&gt;"",O918-TableauCB[[#This Row],[Débit]]+TableauCB[[#This Row],[Crédit]],O918-TableauCB[[#This Row],[Débit]])</f>
        <v>6654.1299999999956</v>
      </c>
      <c r="P919" s="27">
        <f>IF(AND(ISBLANK(TableauCB[[#This Row],[Débit]]),ISBLANK(TableauCB[[#This Row],[Crédit]])),"",P918+TableauCB[[#This Row],[Crédit]]-TableauCB[[#This Row],[Débit]])</f>
        <v>6415.3260000000064</v>
      </c>
      <c r="Q919" s="26"/>
      <c r="T919" s="24"/>
      <c r="U919" s="24"/>
      <c r="V919" s="9"/>
      <c r="W919" s="2"/>
      <c r="X919" s="9"/>
      <c r="Y919" s="8"/>
      <c r="Z919" s="7"/>
      <c r="AA919" s="7"/>
      <c r="AB919" s="6"/>
    </row>
    <row r="920" spans="2:28" ht="30" hidden="1" customHeight="1">
      <c r="B920" s="35" t="str">
        <f>IF(MONTH(F919)&lt;&gt;MONTH(TableauCB[[#This Row],[Date d''éxigibilité]]),(TableauCB[[#This Row],[Date d''éxigibilité]]),"")</f>
        <v/>
      </c>
      <c r="C920" s="11" t="s">
        <v>33</v>
      </c>
      <c r="D920" s="11" t="s">
        <v>22</v>
      </c>
      <c r="E920" s="11" t="s">
        <v>17</v>
      </c>
      <c r="F920" s="34">
        <v>42727</v>
      </c>
      <c r="G920"/>
      <c r="H920"/>
      <c r="I920" s="32">
        <v>42727</v>
      </c>
      <c r="J920"/>
      <c r="K920" s="31">
        <v>42727</v>
      </c>
      <c r="L920" s="30">
        <v>18.71</v>
      </c>
      <c r="M920" s="29"/>
      <c r="N920" s="28">
        <f>IF(OR(TableauCB[[#This Row],[Etat]]="",TableauCB[[#This Row],[Etat]]="c"),IF(TableauCB[[#This Row],[Solde]]="","",N919),N919-TableauCB[[#This Row],[Débit]]+TableauCB[[#This Row],[Crédit]])</f>
        <v>6755.4160000000056</v>
      </c>
      <c r="O920" s="27">
        <f>IF(TableauCB[[#This Row],[Etat]]="xc",O919-TableauCB[[#This Row],[Débit]]+TableauCB[[#This Row],[Crédit]],O919-TableauCB[[#This Row],[Débit]])</f>
        <v>6635.4199999999955</v>
      </c>
      <c r="P920" s="27">
        <f>IF(AND(ISBLANK(TableauCB[[#This Row],[Débit]]),ISBLANK(TableauCB[[#This Row],[Crédit]])),"",P919+TableauCB[[#This Row],[Crédit]]-TableauCB[[#This Row],[Débit]])</f>
        <v>6396.6160000000064</v>
      </c>
      <c r="Q920" s="26"/>
      <c r="T920" s="24"/>
      <c r="U920" s="24"/>
      <c r="V920" s="9"/>
      <c r="W920" s="2"/>
      <c r="X920" s="9"/>
      <c r="Y920" s="8"/>
      <c r="Z920" s="7"/>
      <c r="AA920" s="7"/>
      <c r="AB920" s="6"/>
    </row>
    <row r="921" spans="2:28" ht="30" hidden="1" customHeight="1">
      <c r="B921" s="35" t="str">
        <f>IF(MONTH(F920)&lt;&gt;MONTH(TableauCB[[#This Row],[Date d''éxigibilité]]),(TableauCB[[#This Row],[Date d''éxigibilité]]),"")</f>
        <v/>
      </c>
      <c r="C921" s="11" t="s">
        <v>33</v>
      </c>
      <c r="D921" s="11" t="s">
        <v>5</v>
      </c>
      <c r="E921" s="11" t="s">
        <v>7</v>
      </c>
      <c r="F921" s="34">
        <v>42732</v>
      </c>
      <c r="G921"/>
      <c r="H921"/>
      <c r="I921" s="32">
        <v>42732</v>
      </c>
      <c r="J921"/>
      <c r="K921" s="31">
        <v>42734</v>
      </c>
      <c r="L921" s="30">
        <v>800</v>
      </c>
      <c r="M921" s="29"/>
      <c r="N921" s="28">
        <f>IF(OR(TableauCB[[#This Row],[Etat]]="",TableauCB[[#This Row],[Etat]]="c"),IF(TableauCB[[#This Row],[Solde]]="","",N920),N920-TableauCB[[#This Row],[Débit]]+TableauCB[[#This Row],[Crédit]])</f>
        <v>5955.4160000000056</v>
      </c>
      <c r="O921" s="27">
        <f>IF(TableauCB[[#This Row],[Etat]]&lt;&gt;"",O920-TableauCB[[#This Row],[Débit]]+TableauCB[[#This Row],[Crédit]],O920-TableauCB[[#This Row],[Débit]])</f>
        <v>5835.4199999999955</v>
      </c>
      <c r="P921" s="27">
        <f>IF(AND(ISBLANK(TableauCB[[#This Row],[Débit]]),ISBLANK(TableauCB[[#This Row],[Crédit]])),"",P920+TableauCB[[#This Row],[Crédit]]-TableauCB[[#This Row],[Débit]])</f>
        <v>5596.6160000000064</v>
      </c>
      <c r="Q921" s="26"/>
      <c r="T921" s="24"/>
      <c r="U921" s="24"/>
      <c r="V921" s="9"/>
      <c r="W921" s="2"/>
      <c r="X921" s="9"/>
      <c r="Y921" s="8"/>
      <c r="Z921" s="7"/>
      <c r="AA921" s="7"/>
      <c r="AB921" s="6"/>
    </row>
    <row r="922" spans="2:28" ht="30" hidden="1" customHeight="1">
      <c r="B922" s="35" t="str">
        <f>IF(MONTH(F921)&lt;&gt;MONTH(TableauCB[[#This Row],[Date d''éxigibilité]]),(TableauCB[[#This Row],[Date d''éxigibilité]]),"")</f>
        <v/>
      </c>
      <c r="C922" s="11"/>
      <c r="D922" s="11" t="s">
        <v>11</v>
      </c>
      <c r="E922" s="11" t="s">
        <v>10</v>
      </c>
      <c r="F922" s="34">
        <v>42734</v>
      </c>
      <c r="G922"/>
      <c r="H922"/>
      <c r="I922" s="32"/>
      <c r="J922"/>
      <c r="K922" s="31"/>
      <c r="L922" s="30"/>
      <c r="M922" s="29">
        <v>108</v>
      </c>
      <c r="N922" s="28">
        <f>IF(OR(TableauCB[[#This Row],[Etat]]="",TableauCB[[#This Row],[Etat]]="c"),IF(TableauCB[[#This Row],[Solde]]="","",N921),N921-TableauCB[[#This Row],[Débit]]+TableauCB[[#This Row],[Crédit]])</f>
        <v>5955.4160000000056</v>
      </c>
      <c r="O922" s="27">
        <f>IF(TableauCB[[#This Row],[Etat]]&lt;&gt;"",O921-TableauCB[[#This Row],[Débit]]+TableauCB[[#This Row],[Crédit]],O921-TableauCB[[#This Row],[Débit]])</f>
        <v>5835.4199999999955</v>
      </c>
      <c r="P922" s="27">
        <f>IF(AND(ISBLANK(TableauCB[[#This Row],[Débit]]),ISBLANK(TableauCB[[#This Row],[Crédit]])),"",P921+TableauCB[[#This Row],[Crédit]]-TableauCB[[#This Row],[Débit]])</f>
        <v>5704.6160000000064</v>
      </c>
      <c r="Q922" s="26"/>
      <c r="T922" s="24"/>
      <c r="U922" s="24"/>
      <c r="V922" s="9"/>
      <c r="W922" s="2"/>
      <c r="X922" s="9"/>
      <c r="Y922" s="8"/>
      <c r="Z922" s="7"/>
      <c r="AA922" s="7"/>
      <c r="AB922" s="6"/>
    </row>
    <row r="923" spans="2:28" ht="30" hidden="1" customHeight="1">
      <c r="B923" s="35" t="str">
        <f>IF(MONTH(F922)&lt;&gt;MONTH(TableauCB[[#This Row],[Date d''éxigibilité]]),(TableauCB[[#This Row],[Date d''éxigibilité]]),"")</f>
        <v/>
      </c>
      <c r="C923" s="11"/>
      <c r="D923" s="11" t="s">
        <v>11</v>
      </c>
      <c r="E923" s="11" t="s">
        <v>10</v>
      </c>
      <c r="F923" s="34">
        <v>42734</v>
      </c>
      <c r="G923"/>
      <c r="H923"/>
      <c r="I923" s="32"/>
      <c r="J923"/>
      <c r="K923" s="31"/>
      <c r="L923" s="30"/>
      <c r="M923" s="29">
        <f>123.75*1.2</f>
        <v>148.5</v>
      </c>
      <c r="N923" s="28">
        <f>IF(OR(TableauCB[[#This Row],[Etat]]="",TableauCB[[#This Row],[Etat]]="c"),IF(TableauCB[[#This Row],[Solde]]="","",N922),N922-TableauCB[[#This Row],[Débit]]+TableauCB[[#This Row],[Crédit]])</f>
        <v>5955.4160000000056</v>
      </c>
      <c r="O923" s="27">
        <f>IF(TableauCB[[#This Row],[Etat]]&lt;&gt;"",O922-TableauCB[[#This Row],[Débit]]+TableauCB[[#This Row],[Crédit]],O922-TableauCB[[#This Row],[Débit]])</f>
        <v>5835.4199999999955</v>
      </c>
      <c r="P923" s="27">
        <f>IF(AND(ISBLANK(TableauCB[[#This Row],[Débit]]),ISBLANK(TableauCB[[#This Row],[Crédit]])),"",P922+TableauCB[[#This Row],[Crédit]]-TableauCB[[#This Row],[Débit]])</f>
        <v>5853.1160000000064</v>
      </c>
      <c r="Q923" s="26"/>
      <c r="T923" s="24"/>
      <c r="U923" s="24"/>
      <c r="V923" s="9"/>
      <c r="W923" s="2"/>
      <c r="X923" s="9"/>
      <c r="Y923" s="8"/>
      <c r="Z923" s="7"/>
      <c r="AA923" s="7"/>
      <c r="AB923" s="6"/>
    </row>
    <row r="924" spans="2:28" ht="30" hidden="1" customHeight="1">
      <c r="B924" s="35" t="str">
        <f>IF(MONTH(F923)&lt;&gt;MONTH(TableauCB[[#This Row],[Date d''éxigibilité]]),(TableauCB[[#This Row],[Date d''éxigibilité]]),"")</f>
        <v/>
      </c>
      <c r="C924" s="11"/>
      <c r="D924" s="11" t="s">
        <v>11</v>
      </c>
      <c r="E924" s="11" t="s">
        <v>10</v>
      </c>
      <c r="F924" s="34">
        <v>42734</v>
      </c>
      <c r="G924"/>
      <c r="H924"/>
      <c r="I924" s="32"/>
      <c r="J924"/>
      <c r="K924" s="31"/>
      <c r="L924" s="30"/>
      <c r="M924" s="29">
        <v>116.89</v>
      </c>
      <c r="N924" s="28">
        <f>IF(OR(TableauCB[[#This Row],[Etat]]="",TableauCB[[#This Row],[Etat]]="c"),IF(TableauCB[[#This Row],[Solde]]="","",N923),N923-TableauCB[[#This Row],[Débit]]+TableauCB[[#This Row],[Crédit]])</f>
        <v>5955.4160000000056</v>
      </c>
      <c r="O924" s="27">
        <f>IF(TableauCB[[#This Row],[Etat]]&lt;&gt;"",O923-TableauCB[[#This Row],[Débit]]+TableauCB[[#This Row],[Crédit]],O923-TableauCB[[#This Row],[Débit]])</f>
        <v>5835.4199999999955</v>
      </c>
      <c r="P924" s="27">
        <f>IF(AND(ISBLANK(TableauCB[[#This Row],[Débit]]),ISBLANK(TableauCB[[#This Row],[Crédit]])),"",P923+TableauCB[[#This Row],[Crédit]]-TableauCB[[#This Row],[Débit]])</f>
        <v>5970.0060000000067</v>
      </c>
      <c r="Q924" s="26"/>
      <c r="T924" s="24"/>
      <c r="U924" s="24"/>
      <c r="V924" s="9"/>
      <c r="W924" s="2"/>
      <c r="X924" s="9"/>
      <c r="Y924" s="8"/>
      <c r="Z924" s="7"/>
      <c r="AA924" s="7"/>
      <c r="AB924" s="6"/>
    </row>
    <row r="925" spans="2:28" ht="30" hidden="1" customHeight="1">
      <c r="B925" s="35" t="str">
        <f>IF(MONTH(F924)&lt;&gt;MONTH(TableauCB[[#This Row],[Date d''éxigibilité]]),(TableauCB[[#This Row],[Date d''éxigibilité]]),"")</f>
        <v/>
      </c>
      <c r="C925" s="11" t="s">
        <v>33</v>
      </c>
      <c r="D925" s="11" t="s">
        <v>11</v>
      </c>
      <c r="E925" s="11" t="s">
        <v>12</v>
      </c>
      <c r="F925" s="34">
        <v>42734</v>
      </c>
      <c r="G925"/>
      <c r="H925"/>
      <c r="I925" s="32">
        <v>42753</v>
      </c>
      <c r="J925"/>
      <c r="K925" s="31">
        <v>42755</v>
      </c>
      <c r="L925" s="30"/>
      <c r="M925" s="29">
        <v>522</v>
      </c>
      <c r="N925" s="28">
        <f>IF(OR(TableauCB[[#This Row],[Etat]]="",TableauCB[[#This Row],[Etat]]="c"),IF(TableauCB[[#This Row],[Solde]]="","",N924),N924-TableauCB[[#This Row],[Débit]]+TableauCB[[#This Row],[Crédit]])</f>
        <v>6477.4160000000056</v>
      </c>
      <c r="O925" s="27">
        <f>IF(TableauCB[[#This Row],[Etat]]&lt;&gt;"",O924-TableauCB[[#This Row],[Débit]]+TableauCB[[#This Row],[Crédit]],O924-TableauCB[[#This Row],[Débit]])</f>
        <v>6357.4199999999955</v>
      </c>
      <c r="P925" s="27">
        <f>IF(AND(ISBLANK(TableauCB[[#This Row],[Débit]]),ISBLANK(TableauCB[[#This Row],[Crédit]])),"",P924+TableauCB[[#This Row],[Crédit]]-TableauCB[[#This Row],[Débit]])</f>
        <v>6492.0060000000067</v>
      </c>
      <c r="Q925" s="26"/>
      <c r="T925" s="24"/>
      <c r="U925" s="24"/>
      <c r="V925" s="9"/>
      <c r="W925" s="2"/>
      <c r="X925" s="9"/>
      <c r="Y925" s="8"/>
      <c r="Z925" s="7"/>
      <c r="AA925" s="7"/>
      <c r="AB925" s="6"/>
    </row>
    <row r="926" spans="2:28" ht="30" hidden="1" customHeight="1">
      <c r="B926" s="35" t="str">
        <f>IF(MONTH(F925)&lt;&gt;MONTH(TableauCB[[#This Row],[Date d''éxigibilité]]),(TableauCB[[#This Row],[Date d''éxigibilité]]),"")</f>
        <v/>
      </c>
      <c r="C926" s="11" t="s">
        <v>33</v>
      </c>
      <c r="D926" s="11" t="s">
        <v>11</v>
      </c>
      <c r="E926" s="11" t="s">
        <v>10</v>
      </c>
      <c r="F926" s="34">
        <v>42734</v>
      </c>
      <c r="G926"/>
      <c r="H926"/>
      <c r="I926" s="32">
        <v>42748</v>
      </c>
      <c r="J926"/>
      <c r="K926" s="31">
        <v>42755</v>
      </c>
      <c r="L926" s="30"/>
      <c r="M926" s="29">
        <v>309.60000000000002</v>
      </c>
      <c r="N926" s="28">
        <f>IF(OR(TableauCB[[#This Row],[Etat]]="",TableauCB[[#This Row],[Etat]]="c"),IF(TableauCB[[#This Row],[Solde]]="","",N925),N925-TableauCB[[#This Row],[Débit]]+TableauCB[[#This Row],[Crédit]])</f>
        <v>6787.016000000006</v>
      </c>
      <c r="O926" s="27">
        <f>IF(TableauCB[[#This Row],[Etat]]&lt;&gt;"",O925-TableauCB[[#This Row],[Débit]]+TableauCB[[#This Row],[Crédit]],O925-TableauCB[[#This Row],[Débit]])</f>
        <v>6667.0199999999959</v>
      </c>
      <c r="P926" s="27">
        <f>IF(AND(ISBLANK(TableauCB[[#This Row],[Débit]]),ISBLANK(TableauCB[[#This Row],[Crédit]])),"",P925+TableauCB[[#This Row],[Crédit]]-TableauCB[[#This Row],[Débit]])</f>
        <v>6801.606000000007</v>
      </c>
      <c r="Q926" s="26"/>
      <c r="R926" s="25"/>
      <c r="S926" s="25"/>
      <c r="T926" s="24"/>
      <c r="U926" s="24"/>
      <c r="V926" s="9"/>
      <c r="W926" s="2"/>
      <c r="X926" s="9"/>
      <c r="Y926" s="8"/>
      <c r="Z926" s="7"/>
      <c r="AA926" s="7"/>
      <c r="AB926" s="6"/>
    </row>
    <row r="927" spans="2:28" ht="30" hidden="1" customHeight="1">
      <c r="B927" s="35" t="str">
        <f>IF(MONTH(F926)&lt;&gt;MONTH(TableauCB[[#This Row],[Date d''éxigibilité]]),(TableauCB[[#This Row],[Date d''éxigibilité]]),"")</f>
        <v/>
      </c>
      <c r="C927" s="11" t="s">
        <v>33</v>
      </c>
      <c r="D927" s="11" t="s">
        <v>11</v>
      </c>
      <c r="E927" s="11" t="s">
        <v>10</v>
      </c>
      <c r="F927" s="34">
        <v>42734</v>
      </c>
      <c r="G927"/>
      <c r="H927"/>
      <c r="I927" s="32">
        <v>42767</v>
      </c>
      <c r="J927"/>
      <c r="K927" s="31">
        <v>42767</v>
      </c>
      <c r="L927" s="30"/>
      <c r="M927" s="29">
        <v>624</v>
      </c>
      <c r="N927" s="28">
        <f>IF(OR(TableauCB[[#This Row],[Etat]]="",TableauCB[[#This Row],[Etat]]="c"),IF(TableauCB[[#This Row],[Solde]]="","",N926),N926-TableauCB[[#This Row],[Débit]]+TableauCB[[#This Row],[Crédit]])</f>
        <v>7411.016000000006</v>
      </c>
      <c r="O927" s="27">
        <f>IF(TableauCB[[#This Row],[Etat]]&lt;&gt;"",O926-TableauCB[[#This Row],[Débit]]+TableauCB[[#This Row],[Crédit]],O926-TableauCB[[#This Row],[Débit]])</f>
        <v>7291.0199999999959</v>
      </c>
      <c r="P927" s="27">
        <f>IF(AND(ISBLANK(TableauCB[[#This Row],[Débit]]),ISBLANK(TableauCB[[#This Row],[Crédit]])),"",P926+TableauCB[[#This Row],[Crédit]]-TableauCB[[#This Row],[Débit]])</f>
        <v>7425.606000000007</v>
      </c>
      <c r="Q927" s="26"/>
      <c r="R927" s="25"/>
      <c r="S927" s="25"/>
      <c r="T927" s="24"/>
      <c r="U927" s="24"/>
      <c r="V927" s="9"/>
      <c r="W927" s="2"/>
      <c r="X927" s="9"/>
      <c r="Y927" s="8"/>
      <c r="Z927" s="7"/>
      <c r="AA927" s="7"/>
      <c r="AB927" s="6"/>
    </row>
    <row r="928" spans="2:28" ht="30" hidden="1" customHeight="1">
      <c r="B928" s="35" t="str">
        <f>IF(MONTH(F927)&lt;&gt;MONTH(TableauCB[[#This Row],[Date d''éxigibilité]]),(TableauCB[[#This Row],[Date d''éxigibilité]]),"")</f>
        <v/>
      </c>
      <c r="C928" s="11" t="s">
        <v>33</v>
      </c>
      <c r="D928" s="11" t="s">
        <v>11</v>
      </c>
      <c r="E928" s="11" t="s">
        <v>12</v>
      </c>
      <c r="F928" s="34">
        <v>42734</v>
      </c>
      <c r="G928"/>
      <c r="H928"/>
      <c r="I928" s="32">
        <v>42745</v>
      </c>
      <c r="J928"/>
      <c r="K928" s="31">
        <v>42747</v>
      </c>
      <c r="L928" s="30"/>
      <c r="M928" s="29">
        <v>115.2</v>
      </c>
      <c r="N928" s="28">
        <f>IF(OR(TableauCB[[#This Row],[Etat]]="",TableauCB[[#This Row],[Etat]]="c"),IF(TableauCB[[#This Row],[Solde]]="","",N927),N927-TableauCB[[#This Row],[Débit]]+TableauCB[[#This Row],[Crédit]])</f>
        <v>7526.2160000000058</v>
      </c>
      <c r="O928" s="27">
        <f>IF(TableauCB[[#This Row],[Etat]]&lt;&gt;"",O927-TableauCB[[#This Row],[Débit]]+TableauCB[[#This Row],[Crédit]],O927-TableauCB[[#This Row],[Débit]])</f>
        <v>7406.2199999999957</v>
      </c>
      <c r="P928" s="27">
        <f>IF(AND(ISBLANK(TableauCB[[#This Row],[Débit]]),ISBLANK(TableauCB[[#This Row],[Crédit]])),"",P927+TableauCB[[#This Row],[Crédit]]-TableauCB[[#This Row],[Débit]])</f>
        <v>7540.8060000000069</v>
      </c>
      <c r="Q928" s="26"/>
      <c r="R928" s="25"/>
      <c r="S928" s="25"/>
      <c r="T928" s="24"/>
      <c r="U928" s="24"/>
      <c r="V928" s="9"/>
      <c r="W928" s="2"/>
      <c r="X928" s="9"/>
      <c r="Y928" s="8"/>
      <c r="Z928" s="7"/>
      <c r="AA928" s="7"/>
      <c r="AB928" s="6"/>
    </row>
    <row r="929" spans="2:28" ht="30" hidden="1" customHeight="1">
      <c r="B929" s="35" t="str">
        <f>IF(MONTH(F928)&lt;&gt;MONTH(TableauCB[[#This Row],[Date d''éxigibilité]]),(TableauCB[[#This Row],[Date d''éxigibilité]]),"")</f>
        <v/>
      </c>
      <c r="C929" s="11" t="s">
        <v>33</v>
      </c>
      <c r="D929" s="11" t="s">
        <v>11</v>
      </c>
      <c r="E929" s="11" t="s">
        <v>10</v>
      </c>
      <c r="F929" s="34">
        <v>42734</v>
      </c>
      <c r="G929"/>
      <c r="H929"/>
      <c r="I929" s="32">
        <v>42745</v>
      </c>
      <c r="J929"/>
      <c r="K929" s="31">
        <v>42747</v>
      </c>
      <c r="L929" s="30"/>
      <c r="M929" s="29">
        <v>510</v>
      </c>
      <c r="N929" s="28">
        <f>IF(OR(TableauCB[[#This Row],[Etat]]="",TableauCB[[#This Row],[Etat]]="c"),IF(TableauCB[[#This Row],[Solde]]="","",N928),N928-TableauCB[[#This Row],[Débit]]+TableauCB[[#This Row],[Crédit]])</f>
        <v>8036.2160000000058</v>
      </c>
      <c r="O929" s="27">
        <f>IF(TableauCB[[#This Row],[Etat]]&lt;&gt;"",O928-TableauCB[[#This Row],[Débit]]+TableauCB[[#This Row],[Crédit]],O928-TableauCB[[#This Row],[Débit]])</f>
        <v>7916.2199999999957</v>
      </c>
      <c r="P929" s="27">
        <f>IF(AND(ISBLANK(TableauCB[[#This Row],[Débit]]),ISBLANK(TableauCB[[#This Row],[Crédit]])),"",P928+TableauCB[[#This Row],[Crédit]]-TableauCB[[#This Row],[Débit]])</f>
        <v>8050.8060000000069</v>
      </c>
      <c r="Q929" s="26"/>
      <c r="R929" s="25"/>
      <c r="S929" s="25"/>
      <c r="T929" s="24"/>
      <c r="U929" s="24"/>
      <c r="V929" s="9"/>
      <c r="W929" s="2"/>
      <c r="X929" s="9"/>
      <c r="Y929" s="8"/>
      <c r="Z929" s="7"/>
      <c r="AA929" s="7"/>
      <c r="AB929" s="6"/>
    </row>
    <row r="930" spans="2:28" ht="30" hidden="1" customHeight="1">
      <c r="B930" s="35" t="str">
        <f>IF(MONTH(F929)&lt;&gt;MONTH(TableauCB[[#This Row],[Date d''éxigibilité]]),(TableauCB[[#This Row],[Date d''éxigibilité]]),"")</f>
        <v/>
      </c>
      <c r="C930" s="11" t="s">
        <v>33</v>
      </c>
      <c r="D930" s="11" t="s">
        <v>11</v>
      </c>
      <c r="E930" s="11" t="s">
        <v>10</v>
      </c>
      <c r="F930" s="34">
        <v>42734</v>
      </c>
      <c r="G930"/>
      <c r="H930"/>
      <c r="I930" s="32">
        <v>42745</v>
      </c>
      <c r="J930"/>
      <c r="K930" s="31">
        <v>42745</v>
      </c>
      <c r="L930" s="30"/>
      <c r="M930" s="29">
        <v>228</v>
      </c>
      <c r="N930" s="28">
        <f>IF(OR(TableauCB[[#This Row],[Etat]]="",TableauCB[[#This Row],[Etat]]="c"),IF(TableauCB[[#This Row],[Solde]]="","",N929),N929-TableauCB[[#This Row],[Débit]]+TableauCB[[#This Row],[Crédit]])</f>
        <v>8264.2160000000058</v>
      </c>
      <c r="O930" s="27">
        <f>IF(TableauCB[[#This Row],[Etat]]&lt;&gt;"",O929-TableauCB[[#This Row],[Débit]]+TableauCB[[#This Row],[Crédit]],O929-TableauCB[[#This Row],[Débit]])</f>
        <v>8144.2199999999957</v>
      </c>
      <c r="P930" s="27">
        <f>IF(AND(ISBLANK(TableauCB[[#This Row],[Débit]]),ISBLANK(TableauCB[[#This Row],[Crédit]])),"",P929+TableauCB[[#This Row],[Crédit]]-TableauCB[[#This Row],[Débit]])</f>
        <v>8278.8060000000078</v>
      </c>
      <c r="Q930" s="26"/>
      <c r="R930" s="25"/>
      <c r="S930" s="25"/>
      <c r="T930" s="24"/>
      <c r="U930" s="24"/>
      <c r="V930" s="9"/>
      <c r="W930" s="2"/>
      <c r="X930" s="9"/>
      <c r="Y930" s="8"/>
      <c r="Z930" s="7"/>
      <c r="AA930" s="7"/>
      <c r="AB930" s="6"/>
    </row>
    <row r="931" spans="2:28" ht="30" hidden="1" customHeight="1">
      <c r="B931" s="35" t="str">
        <f>IF(MONTH(F930)&lt;&gt;MONTH(TableauCB[[#This Row],[Date d''éxigibilité]]),(TableauCB[[#This Row],[Date d''éxigibilité]]),"")</f>
        <v/>
      </c>
      <c r="C931" s="11" t="s">
        <v>33</v>
      </c>
      <c r="D931" s="11" t="s">
        <v>11</v>
      </c>
      <c r="E931" s="11" t="s">
        <v>12</v>
      </c>
      <c r="F931" s="34">
        <v>42734</v>
      </c>
      <c r="G931"/>
      <c r="H931"/>
      <c r="I931" s="32">
        <v>42760</v>
      </c>
      <c r="J931"/>
      <c r="K931" s="31">
        <v>42763</v>
      </c>
      <c r="L931" s="30"/>
      <c r="M931" s="29">
        <v>180</v>
      </c>
      <c r="N931" s="28">
        <f>IF(OR(TableauCB[[#This Row],[Etat]]="",TableauCB[[#This Row],[Etat]]="c"),IF(TableauCB[[#This Row],[Solde]]="","",N930),N930-TableauCB[[#This Row],[Débit]]+TableauCB[[#This Row],[Crédit]])</f>
        <v>8444.2160000000058</v>
      </c>
      <c r="O931" s="27">
        <f>IF(TableauCB[[#This Row],[Etat]]&lt;&gt;"",O930-TableauCB[[#This Row],[Débit]]+TableauCB[[#This Row],[Crédit]],O930-TableauCB[[#This Row],[Débit]])</f>
        <v>8324.2199999999957</v>
      </c>
      <c r="P931" s="27">
        <f>IF(AND(ISBLANK(TableauCB[[#This Row],[Débit]]),ISBLANK(TableauCB[[#This Row],[Crédit]])),"",P930+TableauCB[[#This Row],[Crédit]]-TableauCB[[#This Row],[Débit]])</f>
        <v>8458.8060000000078</v>
      </c>
      <c r="Q931" s="26"/>
      <c r="R931" s="4"/>
      <c r="S931" s="4"/>
      <c r="T931" s="37"/>
      <c r="U931" s="37"/>
      <c r="V931" s="9"/>
      <c r="W931" s="2"/>
      <c r="X931" s="9"/>
      <c r="Y931" s="8"/>
      <c r="Z931" s="7"/>
      <c r="AA931" s="7"/>
      <c r="AB931" s="6"/>
    </row>
    <row r="932" spans="2:28" ht="30" hidden="1" customHeight="1">
      <c r="B932" s="35" t="str">
        <f>IF(MONTH(F931)&lt;&gt;MONTH(TableauCB[[#This Row],[Date d''éxigibilité]]),(TableauCB[[#This Row],[Date d''éxigibilité]]),"")</f>
        <v/>
      </c>
      <c r="C932" s="11" t="s">
        <v>33</v>
      </c>
      <c r="D932" s="11" t="s">
        <v>11</v>
      </c>
      <c r="E932" s="11" t="s">
        <v>10</v>
      </c>
      <c r="F932" s="34">
        <v>42734</v>
      </c>
      <c r="G932"/>
      <c r="H932"/>
      <c r="I932" s="32">
        <v>42738</v>
      </c>
      <c r="J932"/>
      <c r="K932" s="31">
        <v>42745</v>
      </c>
      <c r="L932" s="30"/>
      <c r="M932" s="29">
        <v>496.69</v>
      </c>
      <c r="N932" s="28">
        <f>IF(OR(TableauCB[[#This Row],[Etat]]="",TableauCB[[#This Row],[Etat]]="c"),IF(TableauCB[[#This Row],[Solde]]="","",N931),N931-TableauCB[[#This Row],[Débit]]+TableauCB[[#This Row],[Crédit]])</f>
        <v>8940.9060000000063</v>
      </c>
      <c r="O932" s="27">
        <f>IF(TableauCB[[#This Row],[Etat]]&lt;&gt;"",O931-TableauCB[[#This Row],[Débit]]+TableauCB[[#This Row],[Crédit]],O931-TableauCB[[#This Row],[Débit]])</f>
        <v>8820.9099999999962</v>
      </c>
      <c r="P932" s="27">
        <f>IF(AND(ISBLANK(TableauCB[[#This Row],[Débit]]),ISBLANK(TableauCB[[#This Row],[Crédit]])),"",P931+TableauCB[[#This Row],[Crédit]]-TableauCB[[#This Row],[Débit]])</f>
        <v>8955.4960000000083</v>
      </c>
      <c r="Q932" s="26"/>
      <c r="R932" s="36"/>
      <c r="S932" s="36"/>
      <c r="T932" s="36"/>
      <c r="U932" s="36"/>
      <c r="V932" s="9"/>
      <c r="W932" s="2"/>
      <c r="X932" s="9"/>
      <c r="Y932" s="8"/>
      <c r="Z932" s="7"/>
      <c r="AA932" s="7"/>
      <c r="AB932" s="6"/>
    </row>
    <row r="933" spans="2:28" ht="30" hidden="1" customHeight="1">
      <c r="B933" s="35" t="str">
        <f>IF(MONTH(F932)&lt;&gt;MONTH(TableauCB[[#This Row],[Date d''éxigibilité]]),(TableauCB[[#This Row],[Date d''éxigibilité]]),"")</f>
        <v/>
      </c>
      <c r="C933" s="11" t="s">
        <v>33</v>
      </c>
      <c r="D933" s="11" t="s">
        <v>22</v>
      </c>
      <c r="E933" s="11" t="s">
        <v>43</v>
      </c>
      <c r="F933" s="34">
        <v>42734</v>
      </c>
      <c r="G933"/>
      <c r="H933"/>
      <c r="I933" s="32">
        <v>42726</v>
      </c>
      <c r="J933"/>
      <c r="K933" s="31">
        <v>42741</v>
      </c>
      <c r="L933" s="30">
        <v>240</v>
      </c>
      <c r="M933" s="29"/>
      <c r="N933" s="27">
        <f>IF(OR(TableauCB[[#This Row],[Etat]]="",TableauCB[[#This Row],[Etat]]="c"),IF(TableauCB[[#This Row],[Solde]]="","",N932),N932-TableauCB[[#This Row],[Débit]]+TableauCB[[#This Row],[Crédit]])</f>
        <v>8700.9060000000063</v>
      </c>
      <c r="O933" s="27">
        <f>IF(TableauCB[[#This Row],[Etat]]&lt;&gt;"",O932-TableauCB[[#This Row],[Débit]]+TableauCB[[#This Row],[Crédit]],O932-TableauCB[[#This Row],[Débit]])</f>
        <v>8580.9099999999962</v>
      </c>
      <c r="P933" s="27">
        <f>IF(AND(ISBLANK(TableauCB[[#This Row],[Débit]]),ISBLANK(TableauCB[[#This Row],[Crédit]])),"",P932+TableauCB[[#This Row],[Crédit]]-TableauCB[[#This Row],[Débit]])</f>
        <v>8715.4960000000083</v>
      </c>
      <c r="Q933" s="26"/>
      <c r="S933" s="25"/>
      <c r="T933" s="24"/>
      <c r="U933" s="24"/>
      <c r="V933" s="9"/>
      <c r="W933" s="2"/>
      <c r="X933" s="9"/>
      <c r="Y933" s="8"/>
      <c r="Z933" s="7"/>
      <c r="AA933" s="7"/>
      <c r="AB933" s="6"/>
    </row>
    <row r="934" spans="2:28" ht="30" hidden="1" customHeight="1">
      <c r="B934" s="35" t="str">
        <f>IF(MONTH(F933)&lt;&gt;MONTH(TableauCB[[#This Row],[Date d''éxigibilité]]),(TableauCB[[#This Row],[Date d''éxigibilité]]),"")</f>
        <v/>
      </c>
      <c r="C934" s="11"/>
      <c r="D934" s="11" t="s">
        <v>5</v>
      </c>
      <c r="E934" s="11" t="s">
        <v>6</v>
      </c>
      <c r="F934" s="34">
        <v>42734</v>
      </c>
      <c r="G934"/>
      <c r="H934"/>
      <c r="I934" s="32"/>
      <c r="J934"/>
      <c r="K934" s="31"/>
      <c r="L934" s="30">
        <v>275.13</v>
      </c>
      <c r="M934" s="29"/>
      <c r="N934" s="27">
        <f>IF(OR(TableauCB[[#This Row],[Etat]]="",TableauCB[[#This Row],[Etat]]="c"),IF(TableauCB[[#This Row],[Solde]]="","",N933),N933-TableauCB[[#This Row],[Débit]]+TableauCB[[#This Row],[Crédit]])</f>
        <v>8700.9060000000063</v>
      </c>
      <c r="O934" s="27">
        <f>IF(TableauCB[[#This Row],[Etat]]&lt;&gt;"",O933-TableauCB[[#This Row],[Débit]]+TableauCB[[#This Row],[Crédit]],O933-TableauCB[[#This Row],[Débit]])</f>
        <v>8305.779999999997</v>
      </c>
      <c r="P934" s="27">
        <f>IF(AND(ISBLANK(TableauCB[[#This Row],[Débit]]),ISBLANK(TableauCB[[#This Row],[Crédit]])),"",P933+TableauCB[[#This Row],[Crédit]]-TableauCB[[#This Row],[Débit]])</f>
        <v>8440.3660000000091</v>
      </c>
      <c r="Q934" s="26"/>
      <c r="T934" s="24"/>
      <c r="U934" s="24"/>
      <c r="V934" s="9"/>
      <c r="W934" s="2"/>
      <c r="X934" s="9"/>
      <c r="Y934" s="8"/>
      <c r="Z934" s="7"/>
      <c r="AA934" s="7"/>
      <c r="AB934" s="6"/>
    </row>
    <row r="935" spans="2:28" ht="30" hidden="1" customHeight="1">
      <c r="B935" s="35" t="str">
        <f>IF(MONTH(F934)&lt;&gt;MONTH(TableauCB[[#This Row],[Date d''éxigibilité]]),(TableauCB[[#This Row],[Date d''éxigibilité]]),"")</f>
        <v/>
      </c>
      <c r="C935" s="11" t="s">
        <v>33</v>
      </c>
      <c r="D935" s="11" t="s">
        <v>32</v>
      </c>
      <c r="E935" s="11" t="s">
        <v>12</v>
      </c>
      <c r="F935" s="34">
        <v>42734</v>
      </c>
      <c r="G935"/>
      <c r="H935"/>
      <c r="I935" s="32">
        <v>42754</v>
      </c>
      <c r="J935"/>
      <c r="K935" s="31">
        <v>42755</v>
      </c>
      <c r="L935" s="30"/>
      <c r="M935" s="29">
        <v>144</v>
      </c>
      <c r="N935" s="27">
        <f>IF(OR(TableauCB[[#This Row],[Etat]]="",TableauCB[[#This Row],[Etat]]="c"),IF(TableauCB[[#This Row],[Solde]]="","",N934),N934-TableauCB[[#This Row],[Débit]]+TableauCB[[#This Row],[Crédit]])</f>
        <v>8844.9060000000063</v>
      </c>
      <c r="O935" s="27">
        <f>IF(TableauCB[[#This Row],[Etat]]="xc",O934-TableauCB[[#This Row],[Débit]]+TableauCB[[#This Row],[Crédit]],O934-TableauCB[[#This Row],[Débit]])</f>
        <v>8449.779999999997</v>
      </c>
      <c r="P935" s="27">
        <f>IF(AND(ISBLANK(TableauCB[[#This Row],[Débit]]),ISBLANK(TableauCB[[#This Row],[Crédit]])),"",P934+TableauCB[[#This Row],[Crédit]]-TableauCB[[#This Row],[Débit]])</f>
        <v>8584.3660000000091</v>
      </c>
      <c r="Q935" s="26"/>
      <c r="R935" s="42">
        <v>-3488.81</v>
      </c>
      <c r="T935" s="24"/>
      <c r="U935" s="24"/>
      <c r="V935" s="9"/>
      <c r="W935" s="2"/>
      <c r="X935" s="9"/>
      <c r="Y935" s="8"/>
      <c r="Z935" s="7"/>
      <c r="AA935" s="7"/>
      <c r="AB935" s="6"/>
    </row>
    <row r="936" spans="2:28" ht="30" customHeight="1" thickTop="1">
      <c r="B936" s="35">
        <f>IF(MONTH(F935)&lt;&gt;MONTH(TableauCB[[#This Row],[Date d''éxigibilité]]),(TableauCB[[#This Row],[Date d''éxigibilité]]),"")</f>
        <v>42737</v>
      </c>
      <c r="C936" s="11" t="s">
        <v>33</v>
      </c>
      <c r="D936" s="11" t="s">
        <v>22</v>
      </c>
      <c r="E936" s="11" t="s">
        <v>21</v>
      </c>
      <c r="F936" s="34">
        <v>42737</v>
      </c>
      <c r="G936"/>
      <c r="H936"/>
      <c r="I936" s="32">
        <v>42738</v>
      </c>
      <c r="J936"/>
      <c r="K936" s="31">
        <v>42738</v>
      </c>
      <c r="L936" s="30">
        <v>10.79</v>
      </c>
      <c r="M936" s="29"/>
      <c r="N936" s="28">
        <f>IF(OR(TableauCB[[#This Row],[Etat]]="",TableauCB[[#This Row],[Etat]]="c"),IF(TableauCB[[#This Row],[Solde]]="","",N935),N935-TableauCB[[#This Row],[Débit]]+TableauCB[[#This Row],[Crédit]])</f>
        <v>8834.1160000000054</v>
      </c>
      <c r="O936" s="27">
        <f>IF(TableauCB[[#This Row],[Etat]]="xc",O935-TableauCB[[#This Row],[Débit]]+TableauCB[[#This Row],[Crédit]],O935-TableauCB[[#This Row],[Débit]])</f>
        <v>8438.9899999999961</v>
      </c>
      <c r="P936" s="27">
        <f>IF(AND(ISBLANK(TableauCB[[#This Row],[Débit]]),ISBLANK(TableauCB[[#This Row],[Crédit]])),"",P935+TableauCB[[#This Row],[Crédit]]-TableauCB[[#This Row],[Débit]])</f>
        <v>8573.5760000000082</v>
      </c>
      <c r="Q936" s="26"/>
      <c r="T936" s="24"/>
      <c r="U936" s="24"/>
      <c r="V936" s="9"/>
      <c r="W936" s="2"/>
      <c r="X936" s="9"/>
      <c r="Y936" s="8"/>
      <c r="Z936" s="7"/>
      <c r="AA936" s="7"/>
      <c r="AB936" s="6"/>
    </row>
    <row r="937" spans="2:28" ht="30" customHeight="1">
      <c r="B937" s="35" t="str">
        <f>IF(MONTH(F936)&lt;&gt;MONTH(TableauCB[[#This Row],[Date d''éxigibilité]]),(TableauCB[[#This Row],[Date d''éxigibilité]]),"")</f>
        <v/>
      </c>
      <c r="C937" s="11" t="s">
        <v>33</v>
      </c>
      <c r="D937" s="11" t="s">
        <v>15</v>
      </c>
      <c r="E937" s="11" t="s">
        <v>42</v>
      </c>
      <c r="F937" s="34">
        <v>42740</v>
      </c>
      <c r="G937"/>
      <c r="H937"/>
      <c r="I937" s="32">
        <v>42740</v>
      </c>
      <c r="J937"/>
      <c r="K937" s="31">
        <v>42752</v>
      </c>
      <c r="L937" s="30">
        <v>205.2</v>
      </c>
      <c r="M937" s="29"/>
      <c r="N937" s="28">
        <f>IF(OR(TableauCB[[#This Row],[Etat]]="",TableauCB[[#This Row],[Etat]]="c"),IF(TableauCB[[#This Row],[Solde]]="","",N936),N936-TableauCB[[#This Row],[Débit]]+TableauCB[[#This Row],[Crédit]])</f>
        <v>8628.9160000000047</v>
      </c>
      <c r="O937" s="27">
        <f>IF(TableauCB[[#This Row],[Etat]]="xc",O936-TableauCB[[#This Row],[Débit]]+TableauCB[[#This Row],[Crédit]],O936-TableauCB[[#This Row],[Débit]])</f>
        <v>8233.7899999999954</v>
      </c>
      <c r="P937" s="27">
        <f>IF(AND(ISBLANK(TableauCB[[#This Row],[Débit]]),ISBLANK(TableauCB[[#This Row],[Crédit]])),"",P936+TableauCB[[#This Row],[Crédit]]-TableauCB[[#This Row],[Débit]])</f>
        <v>8368.3760000000075</v>
      </c>
      <c r="Q937" s="26"/>
      <c r="T937" s="24"/>
      <c r="U937" s="24"/>
      <c r="V937" s="9"/>
      <c r="W937" s="2"/>
      <c r="X937" s="9"/>
      <c r="Y937" s="8"/>
      <c r="Z937" s="7"/>
      <c r="AA937" s="7"/>
      <c r="AB937" s="6"/>
    </row>
    <row r="938" spans="2:28" ht="30" customHeight="1">
      <c r="B938" s="35" t="str">
        <f>IF(MONTH(F937)&lt;&gt;MONTH(TableauCB[[#This Row],[Date d''éxigibilité]]),(TableauCB[[#This Row],[Date d''éxigibilité]]),"")</f>
        <v/>
      </c>
      <c r="C938" s="11" t="s">
        <v>33</v>
      </c>
      <c r="D938" s="11" t="s">
        <v>30</v>
      </c>
      <c r="E938" s="11" t="s">
        <v>41</v>
      </c>
      <c r="F938" s="34">
        <v>42741</v>
      </c>
      <c r="G938"/>
      <c r="H938"/>
      <c r="I938" s="32">
        <v>42766</v>
      </c>
      <c r="J938"/>
      <c r="K938" s="31">
        <v>42766</v>
      </c>
      <c r="L938" s="30">
        <v>80.180000000000007</v>
      </c>
      <c r="M938" s="29"/>
      <c r="N938" s="28">
        <f>IF(OR(TableauCB[[#This Row],[Etat]]="",TableauCB[[#This Row],[Etat]]="c"),IF(TableauCB[[#This Row],[Solde]]="","",N937),N937-TableauCB[[#This Row],[Débit]]+TableauCB[[#This Row],[Crédit]])</f>
        <v>8548.7360000000044</v>
      </c>
      <c r="O938" s="27">
        <f>IF(TableauCB[[#This Row],[Etat]]="xc",O937-TableauCB[[#This Row],[Débit]]+TableauCB[[#This Row],[Crédit]],O937-TableauCB[[#This Row],[Débit]])</f>
        <v>8153.6099999999951</v>
      </c>
      <c r="P938" s="27">
        <f>IF(AND(ISBLANK(TableauCB[[#This Row],[Débit]]),ISBLANK(TableauCB[[#This Row],[Crédit]])),"",P937+TableauCB[[#This Row],[Crédit]]-TableauCB[[#This Row],[Débit]])</f>
        <v>8288.1960000000072</v>
      </c>
      <c r="Q938" s="26"/>
      <c r="T938" s="24"/>
      <c r="U938" s="24"/>
      <c r="V938" s="9"/>
      <c r="W938" s="2"/>
      <c r="X938" s="9"/>
      <c r="Y938" s="8"/>
      <c r="Z938" s="7"/>
      <c r="AA938" s="7"/>
      <c r="AB938" s="6"/>
    </row>
    <row r="939" spans="2:28" ht="30" customHeight="1">
      <c r="B939" s="35" t="str">
        <f>IF(MONTH(F938)&lt;&gt;MONTH(TableauCB[[#This Row],[Date d''éxigibilité]]),(TableauCB[[#This Row],[Date d''éxigibilité]]),"")</f>
        <v/>
      </c>
      <c r="C939" s="11" t="s">
        <v>35</v>
      </c>
      <c r="D939" s="11" t="s">
        <v>22</v>
      </c>
      <c r="E939" s="11" t="s">
        <v>21</v>
      </c>
      <c r="F939" s="34">
        <v>42744</v>
      </c>
      <c r="G939"/>
      <c r="H939"/>
      <c r="I939" s="32">
        <v>42744</v>
      </c>
      <c r="J939"/>
      <c r="K939" s="31">
        <v>42744</v>
      </c>
      <c r="L939" s="30">
        <v>22.4</v>
      </c>
      <c r="M939" s="29"/>
      <c r="N939" s="28">
        <f>IF(OR(TableauCB[[#This Row],[Etat]]="",TableauCB[[#This Row],[Etat]]="c"),IF(TableauCB[[#This Row],[Solde]]="","",N938),N938-TableauCB[[#This Row],[Débit]]+TableauCB[[#This Row],[Crédit]])</f>
        <v>8526.3360000000048</v>
      </c>
      <c r="O939" s="27">
        <f>IF(TableauCB[[#This Row],[Etat]]="xc",O938-TableauCB[[#This Row],[Débit]]+TableauCB[[#This Row],[Crédit]],O938-TableauCB[[#This Row],[Débit]])</f>
        <v>8131.2099999999955</v>
      </c>
      <c r="P939" s="27">
        <f>IF(AND(ISBLANK(TableauCB[[#This Row],[Débit]]),ISBLANK(TableauCB[[#This Row],[Crédit]])),"",P938+TableauCB[[#This Row],[Crédit]]-TableauCB[[#This Row],[Débit]])</f>
        <v>8265.7960000000076</v>
      </c>
      <c r="Q939" s="26"/>
      <c r="T939" s="24"/>
      <c r="U939" s="24"/>
      <c r="V939" s="9"/>
      <c r="W939" s="2"/>
      <c r="X939" s="9"/>
      <c r="Y939" s="8"/>
      <c r="Z939" s="7"/>
      <c r="AA939" s="7"/>
      <c r="AB939" s="6"/>
    </row>
    <row r="940" spans="2:28" ht="30" customHeight="1">
      <c r="B940" s="35" t="str">
        <f>IF(MONTH(F939)&lt;&gt;MONTH(TableauCB[[#This Row],[Date d''éxigibilité]]),(TableauCB[[#This Row],[Date d''éxigibilité]]),"")</f>
        <v/>
      </c>
      <c r="C940" s="11" t="s">
        <v>33</v>
      </c>
      <c r="D940" s="11" t="s">
        <v>15</v>
      </c>
      <c r="E940" s="11" t="s">
        <v>25</v>
      </c>
      <c r="F940" s="34">
        <v>42750</v>
      </c>
      <c r="G940"/>
      <c r="H940"/>
      <c r="I940" s="32">
        <v>42752</v>
      </c>
      <c r="J940"/>
      <c r="K940" s="31">
        <v>42752</v>
      </c>
      <c r="L940" s="30">
        <v>2494</v>
      </c>
      <c r="M940" s="29"/>
      <c r="N940" s="28">
        <f>IF(OR(TableauCB[[#This Row],[Etat]]="",TableauCB[[#This Row],[Etat]]="c"),IF(TableauCB[[#This Row],[Solde]]="","",N939),N939-TableauCB[[#This Row],[Débit]]+TableauCB[[#This Row],[Crédit]])</f>
        <v>6032.3360000000048</v>
      </c>
      <c r="O940" s="27">
        <f>IF(TableauCB[[#This Row],[Etat]]="xc",O939-TableauCB[[#This Row],[Débit]]+TableauCB[[#This Row],[Crédit]],O939-TableauCB[[#This Row],[Débit]])</f>
        <v>5637.2099999999955</v>
      </c>
      <c r="P940" s="27">
        <f>IF(AND(ISBLANK(TableauCB[[#This Row],[Débit]]),ISBLANK(TableauCB[[#This Row],[Crédit]])),"",P939+TableauCB[[#This Row],[Crédit]]-TableauCB[[#This Row],[Débit]])</f>
        <v>5771.7960000000076</v>
      </c>
      <c r="Q940" s="26"/>
      <c r="T940" s="24"/>
      <c r="U940" s="24"/>
      <c r="V940" s="9"/>
      <c r="W940" s="2"/>
      <c r="X940" s="9"/>
      <c r="Y940" s="8"/>
      <c r="Z940" s="7"/>
      <c r="AA940" s="7"/>
      <c r="AB940" s="6"/>
    </row>
    <row r="941" spans="2:28" ht="30" customHeight="1">
      <c r="B941" s="35" t="str">
        <f>IF(MONTH(F940)&lt;&gt;MONTH(TableauCB[[#This Row],[Date d''éxigibilité]]),(TableauCB[[#This Row],[Date d''éxigibilité]]),"")</f>
        <v/>
      </c>
      <c r="C941" s="11" t="s">
        <v>35</v>
      </c>
      <c r="D941" s="11" t="s">
        <v>15</v>
      </c>
      <c r="E941" s="11" t="s">
        <v>19</v>
      </c>
      <c r="F941" s="34">
        <v>42750</v>
      </c>
      <c r="G941"/>
      <c r="H941"/>
      <c r="I941" s="32"/>
      <c r="J941"/>
      <c r="K941" s="31"/>
      <c r="L941" s="30">
        <v>53</v>
      </c>
      <c r="M941" s="29"/>
      <c r="N941" s="28">
        <f>IF(OR(TableauCB[[#This Row],[Etat]]="",TableauCB[[#This Row],[Etat]]="c"),IF(TableauCB[[#This Row],[Solde]]="","",N940),N940-TableauCB[[#This Row],[Débit]]+TableauCB[[#This Row],[Crédit]])</f>
        <v>5979.3360000000048</v>
      </c>
      <c r="O941" s="27">
        <f>IF(TableauCB[[#This Row],[Etat]]="xc",O940-TableauCB[[#This Row],[Débit]]+TableauCB[[#This Row],[Crédit]],O940-TableauCB[[#This Row],[Débit]])</f>
        <v>5584.2099999999955</v>
      </c>
      <c r="P941" s="27">
        <f>IF(AND(ISBLANK(TableauCB[[#This Row],[Débit]]),ISBLANK(TableauCB[[#This Row],[Crédit]])),"",P940+TableauCB[[#This Row],[Crédit]]-TableauCB[[#This Row],[Débit]])</f>
        <v>5718.7960000000076</v>
      </c>
      <c r="Q941" s="26"/>
      <c r="T941" s="24"/>
      <c r="U941" s="24"/>
      <c r="V941" s="9"/>
      <c r="W941" s="2"/>
      <c r="X941" s="9"/>
      <c r="Y941" s="8"/>
      <c r="Z941" s="7"/>
      <c r="AA941" s="7"/>
      <c r="AB941" s="6"/>
    </row>
    <row r="942" spans="2:28" ht="30" customHeight="1">
      <c r="B942" s="35" t="str">
        <f>IF(MONTH(F941)&lt;&gt;MONTH(TableauCB[[#This Row],[Date d''éxigibilité]]),(TableauCB[[#This Row],[Date d''éxigibilité]]),"")</f>
        <v/>
      </c>
      <c r="C942" s="11" t="s">
        <v>33</v>
      </c>
      <c r="D942" s="11" t="s">
        <v>17</v>
      </c>
      <c r="E942" s="11" t="s">
        <v>18</v>
      </c>
      <c r="F942" s="34">
        <v>42752</v>
      </c>
      <c r="G942"/>
      <c r="H942"/>
      <c r="I942" s="32">
        <v>42752</v>
      </c>
      <c r="J942"/>
      <c r="K942" s="31">
        <v>42752</v>
      </c>
      <c r="L942" s="30">
        <v>45.6</v>
      </c>
      <c r="M942" s="29"/>
      <c r="N942" s="28">
        <f>IF(OR(TableauCB[[#This Row],[Etat]]="",TableauCB[[#This Row],[Etat]]="c"),IF(TableauCB[[#This Row],[Solde]]="","",N941),N941-TableauCB[[#This Row],[Débit]]+TableauCB[[#This Row],[Crédit]])</f>
        <v>5933.7360000000044</v>
      </c>
      <c r="O942" s="27">
        <f>IF(TableauCB[[#This Row],[Etat]]="xc",O941-TableauCB[[#This Row],[Débit]]+TableauCB[[#This Row],[Crédit]],O941-TableauCB[[#This Row],[Débit]])</f>
        <v>5538.6099999999951</v>
      </c>
      <c r="P942" s="27">
        <f>IF(AND(ISBLANK(TableauCB[[#This Row],[Débit]]),ISBLANK(TableauCB[[#This Row],[Crédit]])),"",P941+TableauCB[[#This Row],[Crédit]]-TableauCB[[#This Row],[Débit]])</f>
        <v>5673.1960000000072</v>
      </c>
      <c r="Q942" s="26"/>
      <c r="T942" s="24"/>
      <c r="U942" s="24"/>
      <c r="V942" s="9"/>
      <c r="W942" s="2"/>
      <c r="X942" s="9"/>
      <c r="Y942" s="8"/>
      <c r="Z942" s="7"/>
      <c r="AA942" s="7"/>
      <c r="AB942" s="6"/>
    </row>
    <row r="943" spans="2:28" ht="30" customHeight="1">
      <c r="B943" s="35" t="str">
        <f>IF(MONTH(F942)&lt;&gt;MONTH(TableauCB[[#This Row],[Date d''éxigibilité]]),(TableauCB[[#This Row],[Date d''éxigibilité]]),"")</f>
        <v/>
      </c>
      <c r="C943" s="11" t="s">
        <v>35</v>
      </c>
      <c r="D943" s="11" t="s">
        <v>17</v>
      </c>
      <c r="E943" s="11" t="s">
        <v>16</v>
      </c>
      <c r="F943" s="34">
        <v>42755</v>
      </c>
      <c r="G943"/>
      <c r="H943"/>
      <c r="I943" s="32"/>
      <c r="J943"/>
      <c r="K943" s="31"/>
      <c r="L943" s="30">
        <v>3.59</v>
      </c>
      <c r="M943" s="29"/>
      <c r="N943" s="28">
        <f>IF(OR(TableauCB[[#This Row],[Etat]]="",TableauCB[[#This Row],[Etat]]="c"),IF(TableauCB[[#This Row],[Solde]]="","",N942),N942-TableauCB[[#This Row],[Débit]]+TableauCB[[#This Row],[Crédit]])</f>
        <v>5930.1460000000043</v>
      </c>
      <c r="O943" s="27">
        <f>IF(TableauCB[[#This Row],[Etat]]="xc",O942-TableauCB[[#This Row],[Débit]]+TableauCB[[#This Row],[Crédit]],O942-TableauCB[[#This Row],[Débit]])</f>
        <v>5535.019999999995</v>
      </c>
      <c r="P943" s="27">
        <f>IF(AND(ISBLANK(TableauCB[[#This Row],[Débit]]),ISBLANK(TableauCB[[#This Row],[Crédit]])),"",P942+TableauCB[[#This Row],[Crédit]]-TableauCB[[#This Row],[Débit]])</f>
        <v>5669.606000000007</v>
      </c>
      <c r="Q943" s="26"/>
      <c r="T943" s="24"/>
      <c r="U943" s="24"/>
      <c r="V943" s="9"/>
      <c r="W943" s="2"/>
      <c r="X943" s="9"/>
      <c r="Y943" s="8"/>
      <c r="Z943" s="7"/>
      <c r="AA943" s="7"/>
      <c r="AB943" s="6"/>
    </row>
    <row r="944" spans="2:28" ht="30" customHeight="1">
      <c r="B944" s="35" t="str">
        <f>IF(MONTH(F943)&lt;&gt;MONTH(TableauCB[[#This Row],[Date d''éxigibilité]]),(TableauCB[[#This Row],[Date d''éxigibilité]]),"")</f>
        <v/>
      </c>
      <c r="C944" s="11" t="s">
        <v>35</v>
      </c>
      <c r="D944" s="11" t="s">
        <v>22</v>
      </c>
      <c r="E944" s="11" t="s">
        <v>17</v>
      </c>
      <c r="F944" s="34">
        <v>42758</v>
      </c>
      <c r="G944"/>
      <c r="H944"/>
      <c r="I944" s="32">
        <v>42758</v>
      </c>
      <c r="J944"/>
      <c r="K944" s="31">
        <v>42758</v>
      </c>
      <c r="L944" s="30">
        <v>12.99</v>
      </c>
      <c r="M944" s="29"/>
      <c r="N944" s="28">
        <f>IF(OR(TableauCB[[#This Row],[Etat]]="",TableauCB[[#This Row],[Etat]]="c"),IF(TableauCB[[#This Row],[Solde]]="","",N943),N943-TableauCB[[#This Row],[Débit]]+TableauCB[[#This Row],[Crédit]])</f>
        <v>5917.1560000000045</v>
      </c>
      <c r="O944" s="27">
        <f>IF(TableauCB[[#This Row],[Etat]]="xc",O943-TableauCB[[#This Row],[Débit]]+TableauCB[[#This Row],[Crédit]],O943-TableauCB[[#This Row],[Débit]])</f>
        <v>5522.0299999999952</v>
      </c>
      <c r="P944" s="27">
        <f>IF(AND(ISBLANK(TableauCB[[#This Row],[Débit]]),ISBLANK(TableauCB[[#This Row],[Crédit]])),"",P943+TableauCB[[#This Row],[Crédit]]-TableauCB[[#This Row],[Débit]])</f>
        <v>5656.6160000000073</v>
      </c>
      <c r="Q944" s="26"/>
      <c r="S944" s="41"/>
      <c r="T944" s="24"/>
      <c r="U944" s="24"/>
      <c r="V944" s="9"/>
      <c r="W944" s="2"/>
      <c r="X944" s="9"/>
      <c r="Y944" s="8"/>
      <c r="Z944" s="7"/>
      <c r="AA944" s="7"/>
      <c r="AB944" s="6"/>
    </row>
    <row r="945" spans="2:28" ht="30" customHeight="1">
      <c r="B945" s="35" t="str">
        <f>IF(MONTH(F944)&lt;&gt;MONTH(TableauCB[[#This Row],[Date d''éxigibilité]]),(TableauCB[[#This Row],[Date d''éxigibilité]]),"")</f>
        <v/>
      </c>
      <c r="C945" s="11" t="s">
        <v>35</v>
      </c>
      <c r="D945" s="11" t="s">
        <v>30</v>
      </c>
      <c r="E945" s="11" t="s">
        <v>30</v>
      </c>
      <c r="F945" s="34">
        <v>42759</v>
      </c>
      <c r="G945"/>
      <c r="H945"/>
      <c r="I945" s="32">
        <v>42759</v>
      </c>
      <c r="J945"/>
      <c r="K945" s="31">
        <v>42759</v>
      </c>
      <c r="L945" s="30">
        <v>11.96</v>
      </c>
      <c r="M945" s="29"/>
      <c r="N945" s="28">
        <f>IF(OR(TableauCB[[#This Row],[Etat]]="",TableauCB[[#This Row],[Etat]]="c"),IF(TableauCB[[#This Row],[Solde]]="","",N944),N944-TableauCB[[#This Row],[Débit]]+TableauCB[[#This Row],[Crédit]])</f>
        <v>5905.1960000000045</v>
      </c>
      <c r="O945" s="27">
        <f>IF(TableauCB[[#This Row],[Etat]]="xc",O944-TableauCB[[#This Row],[Débit]]+TableauCB[[#This Row],[Crédit]],O944-TableauCB[[#This Row],[Débit]])</f>
        <v>5510.0699999999952</v>
      </c>
      <c r="P945" s="27">
        <f>IF(AND(ISBLANK(TableauCB[[#This Row],[Débit]]),ISBLANK(TableauCB[[#This Row],[Crédit]])),"",P944+TableauCB[[#This Row],[Crédit]]-TableauCB[[#This Row],[Débit]])</f>
        <v>5644.6560000000072</v>
      </c>
      <c r="Q945" s="26"/>
      <c r="T945" s="24"/>
      <c r="U945" s="24"/>
      <c r="V945" s="9"/>
      <c r="W945" s="2"/>
      <c r="X945" s="9"/>
      <c r="Y945" s="8"/>
      <c r="Z945" s="7"/>
      <c r="AA945" s="7"/>
      <c r="AB945" s="6"/>
    </row>
    <row r="946" spans="2:28" ht="30" customHeight="1">
      <c r="B946" s="35" t="str">
        <f>IF(MONTH(F945)&lt;&gt;MONTH(TableauCB[[#This Row],[Date d''éxigibilité]]),(TableauCB[[#This Row],[Date d''éxigibilité]]),"")</f>
        <v/>
      </c>
      <c r="C946" s="11" t="s">
        <v>35</v>
      </c>
      <c r="D946" s="11" t="s">
        <v>30</v>
      </c>
      <c r="E946" s="11" t="s">
        <v>30</v>
      </c>
      <c r="F946" s="34">
        <v>42760</v>
      </c>
      <c r="G946"/>
      <c r="H946"/>
      <c r="I946" s="32">
        <v>42760</v>
      </c>
      <c r="J946"/>
      <c r="K946" s="31">
        <v>42760</v>
      </c>
      <c r="L946" s="30">
        <v>42.98</v>
      </c>
      <c r="M946" s="29"/>
      <c r="N946" s="28">
        <f>IF(OR(TableauCB[[#This Row],[Etat]]="",TableauCB[[#This Row],[Etat]]="c"),IF(TableauCB[[#This Row],[Solde]]="","",N945),N945-TableauCB[[#This Row],[Débit]]+TableauCB[[#This Row],[Crédit]])</f>
        <v>5862.2160000000049</v>
      </c>
      <c r="O946" s="27">
        <f>IF(TableauCB[[#This Row],[Etat]]="xc",O945-TableauCB[[#This Row],[Débit]]+TableauCB[[#This Row],[Crédit]],O945-TableauCB[[#This Row],[Débit]])</f>
        <v>5467.0899999999956</v>
      </c>
      <c r="P946" s="27">
        <f>IF(AND(ISBLANK(TableauCB[[#This Row],[Débit]]),ISBLANK(TableauCB[[#This Row],[Crédit]])),"",P945+TableauCB[[#This Row],[Crédit]]-TableauCB[[#This Row],[Débit]])</f>
        <v>5601.6760000000077</v>
      </c>
      <c r="Q946" s="26"/>
      <c r="T946" s="24"/>
      <c r="U946" s="24"/>
      <c r="V946" s="9"/>
      <c r="W946" s="2"/>
      <c r="X946" s="9"/>
      <c r="Y946" s="8"/>
      <c r="Z946" s="7"/>
      <c r="AA946" s="7"/>
      <c r="AB946" s="6"/>
    </row>
    <row r="947" spans="2:28" ht="30" customHeight="1">
      <c r="B947" s="35" t="str">
        <f>IF(MONTH(F946)&lt;&gt;MONTH(TableauCB[[#This Row],[Date d''éxigibilité]]),(TableauCB[[#This Row],[Date d''éxigibilité]]),"")</f>
        <v/>
      </c>
      <c r="C947" s="11" t="s">
        <v>35</v>
      </c>
      <c r="D947" s="11" t="s">
        <v>30</v>
      </c>
      <c r="E947" s="11" t="s">
        <v>30</v>
      </c>
      <c r="F947" s="34">
        <v>42760</v>
      </c>
      <c r="G947"/>
      <c r="H947"/>
      <c r="I947" s="32">
        <v>42760</v>
      </c>
      <c r="J947"/>
      <c r="K947" s="31">
        <v>42760</v>
      </c>
      <c r="L947" s="30">
        <v>24.18</v>
      </c>
      <c r="M947" s="29"/>
      <c r="N947" s="28">
        <f>IF(OR(TableauCB[[#This Row],[Etat]]="",TableauCB[[#This Row],[Etat]]="c"),IF(TableauCB[[#This Row],[Solde]]="","",N946),N946-TableauCB[[#This Row],[Débit]]+TableauCB[[#This Row],[Crédit]])</f>
        <v>5838.0360000000046</v>
      </c>
      <c r="O947" s="27">
        <f>IF(TableauCB[[#This Row],[Etat]]="xc",O946-TableauCB[[#This Row],[Débit]]+TableauCB[[#This Row],[Crédit]],O946-TableauCB[[#This Row],[Débit]])</f>
        <v>5442.9099999999953</v>
      </c>
      <c r="P947" s="27">
        <f>IF(AND(ISBLANK(TableauCB[[#This Row],[Débit]]),ISBLANK(TableauCB[[#This Row],[Crédit]])),"",P946+TableauCB[[#This Row],[Crédit]]-TableauCB[[#This Row],[Débit]])</f>
        <v>5577.4960000000074</v>
      </c>
      <c r="Q947" s="26"/>
      <c r="T947" s="24"/>
      <c r="U947" s="24"/>
      <c r="V947" s="9"/>
      <c r="W947" s="2"/>
      <c r="X947" s="9"/>
      <c r="Y947" s="8"/>
      <c r="Z947" s="7"/>
      <c r="AA947" s="7"/>
      <c r="AB947" s="6"/>
    </row>
    <row r="948" spans="2:28" ht="30" customHeight="1">
      <c r="B948" s="35" t="str">
        <f>IF(MONTH(F947)&lt;&gt;MONTH(TableauCB[[#This Row],[Date d''éxigibilité]]),(TableauCB[[#This Row],[Date d''éxigibilité]]),"")</f>
        <v/>
      </c>
      <c r="C948" s="11"/>
      <c r="D948" s="11" t="s">
        <v>11</v>
      </c>
      <c r="E948" s="11" t="s">
        <v>10</v>
      </c>
      <c r="F948" s="34">
        <v>42765</v>
      </c>
      <c r="G948"/>
      <c r="H948"/>
      <c r="I948" s="32"/>
      <c r="J948"/>
      <c r="K948" s="31"/>
      <c r="L948" s="30"/>
      <c r="M948" s="29">
        <v>108</v>
      </c>
      <c r="N948" s="28">
        <f>IF(OR(TableauCB[[#This Row],[Etat]]="",TableauCB[[#This Row],[Etat]]="c"),IF(TableauCB[[#This Row],[Solde]]="","",N947),N947-TableauCB[[#This Row],[Débit]]+TableauCB[[#This Row],[Crédit]])</f>
        <v>5838.0360000000046</v>
      </c>
      <c r="O948" s="27">
        <f>IF(TableauCB[[#This Row],[Etat]]="xc",O947-TableauCB[[#This Row],[Débit]]+TableauCB[[#This Row],[Crédit]],O947-TableauCB[[#This Row],[Débit]])</f>
        <v>5442.9099999999953</v>
      </c>
      <c r="P948" s="27">
        <f>IF(AND(ISBLANK(TableauCB[[#This Row],[Débit]]),ISBLANK(TableauCB[[#This Row],[Crédit]])),"",P947+TableauCB[[#This Row],[Crédit]]-TableauCB[[#This Row],[Débit]])</f>
        <v>5685.4960000000074</v>
      </c>
      <c r="Q948" s="26"/>
      <c r="T948" s="24"/>
      <c r="U948" s="24"/>
      <c r="V948" s="9"/>
      <c r="W948" s="2"/>
      <c r="X948" s="9"/>
      <c r="Y948" s="8"/>
      <c r="Z948" s="7"/>
      <c r="AA948" s="7"/>
      <c r="AB948" s="6"/>
    </row>
    <row r="949" spans="2:28" ht="30" customHeight="1">
      <c r="B949" s="35" t="str">
        <f>IF(MONTH(F948)&lt;&gt;MONTH(TableauCB[[#This Row],[Date d''éxigibilité]]),(TableauCB[[#This Row],[Date d''éxigibilité]]),"")</f>
        <v/>
      </c>
      <c r="C949" s="11"/>
      <c r="D949" s="11" t="s">
        <v>11</v>
      </c>
      <c r="E949" s="11" t="s">
        <v>10</v>
      </c>
      <c r="F949" s="34">
        <v>42765</v>
      </c>
      <c r="G949"/>
      <c r="H949"/>
      <c r="I949" s="32"/>
      <c r="J949"/>
      <c r="K949" s="31"/>
      <c r="L949" s="30"/>
      <c r="M949" s="29">
        <v>198</v>
      </c>
      <c r="N949" s="28">
        <f>IF(OR(TableauCB[[#This Row],[Etat]]="",TableauCB[[#This Row],[Etat]]="c"),IF(TableauCB[[#This Row],[Solde]]="","",N948),N948-TableauCB[[#This Row],[Débit]]+TableauCB[[#This Row],[Crédit]])</f>
        <v>5838.0360000000046</v>
      </c>
      <c r="O949" s="27">
        <f>IF(TableauCB[[#This Row],[Etat]]="xc",O948-TableauCB[[#This Row],[Débit]]+TableauCB[[#This Row],[Crédit]],O948-TableauCB[[#This Row],[Débit]])</f>
        <v>5442.9099999999953</v>
      </c>
      <c r="P949" s="27">
        <f>IF(AND(ISBLANK(TableauCB[[#This Row],[Débit]]),ISBLANK(TableauCB[[#This Row],[Crédit]])),"",P948+TableauCB[[#This Row],[Crédit]]-TableauCB[[#This Row],[Débit]])</f>
        <v>5883.4960000000074</v>
      </c>
      <c r="Q949" s="26"/>
      <c r="R949" s="4"/>
      <c r="S949" s="4"/>
      <c r="T949" s="24"/>
      <c r="U949" s="24"/>
      <c r="V949" s="9"/>
      <c r="W949" s="2"/>
      <c r="X949" s="9"/>
      <c r="Y949" s="8"/>
      <c r="Z949" s="7"/>
      <c r="AA949" s="7"/>
      <c r="AB949" s="6"/>
    </row>
    <row r="950" spans="2:28" ht="30" customHeight="1">
      <c r="B950" s="35" t="str">
        <f>IF(MONTH(F949)&lt;&gt;MONTH(TableauCB[[#This Row],[Date d''éxigibilité]]),(TableauCB[[#This Row],[Date d''éxigibilité]]),"")</f>
        <v/>
      </c>
      <c r="C950" s="11"/>
      <c r="D950" s="11" t="s">
        <v>11</v>
      </c>
      <c r="E950" s="11" t="s">
        <v>10</v>
      </c>
      <c r="F950" s="34">
        <v>42765</v>
      </c>
      <c r="G950"/>
      <c r="H950"/>
      <c r="I950" s="32"/>
      <c r="J950"/>
      <c r="K950" s="31"/>
      <c r="L950" s="30"/>
      <c r="M950" s="29">
        <v>151.80000000000001</v>
      </c>
      <c r="N950" s="28">
        <f>IF(OR(TableauCB[[#This Row],[Etat]]="",TableauCB[[#This Row],[Etat]]="c"),IF(TableauCB[[#This Row],[Solde]]="","",N949),N949-TableauCB[[#This Row],[Débit]]+TableauCB[[#This Row],[Crédit]])</f>
        <v>5838.0360000000046</v>
      </c>
      <c r="O950" s="27">
        <f>IF(TableauCB[[#This Row],[Etat]]="xc",O949-TableauCB[[#This Row],[Débit]]+TableauCB[[#This Row],[Crédit]],O949-TableauCB[[#This Row],[Débit]])</f>
        <v>5442.9099999999953</v>
      </c>
      <c r="P950" s="27">
        <f>IF(AND(ISBLANK(TableauCB[[#This Row],[Débit]]),ISBLANK(TableauCB[[#This Row],[Crédit]])),"",P949+TableauCB[[#This Row],[Crédit]]-TableauCB[[#This Row],[Débit]])</f>
        <v>6035.2960000000076</v>
      </c>
      <c r="Q950" s="26"/>
      <c r="R950" s="4"/>
      <c r="S950" s="4"/>
      <c r="T950" s="24"/>
      <c r="U950" s="24"/>
      <c r="V950" s="9"/>
      <c r="W950" s="2"/>
      <c r="X950" s="9"/>
      <c r="Y950" s="8"/>
      <c r="Z950" s="7"/>
      <c r="AA950" s="7"/>
      <c r="AB950" s="6"/>
    </row>
    <row r="951" spans="2:28" ht="30" customHeight="1">
      <c r="B951" s="35" t="str">
        <f>IF(MONTH(F950)&lt;&gt;MONTH(TableauCB[[#This Row],[Date d''éxigibilité]]),(TableauCB[[#This Row],[Date d''éxigibilité]]),"")</f>
        <v/>
      </c>
      <c r="C951" s="11" t="s">
        <v>33</v>
      </c>
      <c r="D951" s="11" t="s">
        <v>11</v>
      </c>
      <c r="E951" s="11" t="s">
        <v>12</v>
      </c>
      <c r="F951" s="34">
        <v>42765</v>
      </c>
      <c r="G951"/>
      <c r="H951"/>
      <c r="I951" s="32">
        <v>42776</v>
      </c>
      <c r="J951"/>
      <c r="K951" s="31">
        <v>42784</v>
      </c>
      <c r="L951" s="30"/>
      <c r="M951" s="29">
        <v>522</v>
      </c>
      <c r="N951" s="28">
        <f>IF(OR(TableauCB[[#This Row],[Etat]]="",TableauCB[[#This Row],[Etat]]="c"),IF(TableauCB[[#This Row],[Solde]]="","",N950),N950-TableauCB[[#This Row],[Débit]]+TableauCB[[#This Row],[Crédit]])</f>
        <v>6360.0360000000046</v>
      </c>
      <c r="O951" s="27">
        <f>IF(TableauCB[[#This Row],[Etat]]="xc",O950-TableauCB[[#This Row],[Débit]]+TableauCB[[#This Row],[Crédit]],O950-TableauCB[[#This Row],[Débit]])</f>
        <v>5964.9099999999953</v>
      </c>
      <c r="P951" s="27">
        <f>IF(AND(ISBLANK(TableauCB[[#This Row],[Débit]]),ISBLANK(TableauCB[[#This Row],[Crédit]])),"",P950+TableauCB[[#This Row],[Crédit]]-TableauCB[[#This Row],[Débit]])</f>
        <v>6557.2960000000076</v>
      </c>
      <c r="Q951" s="26"/>
      <c r="R951" s="4"/>
      <c r="S951" s="4"/>
      <c r="T951" s="24"/>
      <c r="U951" s="24"/>
      <c r="V951" s="9"/>
      <c r="W951" s="2"/>
      <c r="X951" s="9"/>
      <c r="Y951" s="8"/>
      <c r="Z951" s="7"/>
      <c r="AA951" s="7"/>
      <c r="AB951" s="6"/>
    </row>
    <row r="952" spans="2:28" ht="30" customHeight="1">
      <c r="B952" s="35" t="str">
        <f>IF(MONTH(F951)&lt;&gt;MONTH(TableauCB[[#This Row],[Date d''éxigibilité]]),(TableauCB[[#This Row],[Date d''éxigibilité]]),"")</f>
        <v/>
      </c>
      <c r="C952" s="11" t="s">
        <v>33</v>
      </c>
      <c r="D952" s="11" t="s">
        <v>11</v>
      </c>
      <c r="E952" s="11" t="s">
        <v>10</v>
      </c>
      <c r="F952" s="34">
        <v>42765</v>
      </c>
      <c r="G952"/>
      <c r="H952"/>
      <c r="I952" s="32">
        <v>42774</v>
      </c>
      <c r="J952"/>
      <c r="K952" s="31">
        <v>42774</v>
      </c>
      <c r="L952" s="30"/>
      <c r="M952" s="29">
        <v>295.2</v>
      </c>
      <c r="N952" s="28">
        <f>IF(OR(TableauCB[[#This Row],[Etat]]="",TableauCB[[#This Row],[Etat]]="c"),IF(TableauCB[[#This Row],[Solde]]="","",N951),N951-TableauCB[[#This Row],[Débit]]+TableauCB[[#This Row],[Crédit]])</f>
        <v>6655.2360000000044</v>
      </c>
      <c r="O952" s="27">
        <f>IF(TableauCB[[#This Row],[Etat]]="xc",O951-TableauCB[[#This Row],[Débit]]+TableauCB[[#This Row],[Crédit]],O951-TableauCB[[#This Row],[Débit]])</f>
        <v>6260.1099999999951</v>
      </c>
      <c r="P952" s="27">
        <f>IF(AND(ISBLANK(TableauCB[[#This Row],[Débit]]),ISBLANK(TableauCB[[#This Row],[Crédit]])),"",P951+TableauCB[[#This Row],[Crédit]]-TableauCB[[#This Row],[Débit]])</f>
        <v>6852.4960000000074</v>
      </c>
      <c r="Q952" s="26"/>
      <c r="R952" s="4"/>
      <c r="S952" s="4"/>
      <c r="T952" s="24"/>
      <c r="U952" s="24"/>
      <c r="V952" s="9"/>
      <c r="W952" s="2"/>
      <c r="X952" s="9"/>
      <c r="Y952" s="8"/>
      <c r="Z952" s="7"/>
      <c r="AA952" s="7"/>
      <c r="AB952" s="6"/>
    </row>
    <row r="953" spans="2:28" ht="30" customHeight="1">
      <c r="B953" s="35" t="str">
        <f>IF(MONTH(F952)&lt;&gt;MONTH(TableauCB[[#This Row],[Date d''éxigibilité]]),(TableauCB[[#This Row],[Date d''éxigibilité]]),"")</f>
        <v/>
      </c>
      <c r="C953" s="11"/>
      <c r="D953" s="11" t="s">
        <v>11</v>
      </c>
      <c r="E953" s="11" t="s">
        <v>10</v>
      </c>
      <c r="F953" s="34">
        <v>42765</v>
      </c>
      <c r="G953"/>
      <c r="H953"/>
      <c r="I953" s="32"/>
      <c r="J953"/>
      <c r="K953" s="31"/>
      <c r="L953" s="30"/>
      <c r="M953" s="29">
        <v>624</v>
      </c>
      <c r="N953" s="28">
        <f>IF(OR(TableauCB[[#This Row],[Etat]]="",TableauCB[[#This Row],[Etat]]="c"),IF(TableauCB[[#This Row],[Solde]]="","",N952),N952-TableauCB[[#This Row],[Débit]]+TableauCB[[#This Row],[Crédit]])</f>
        <v>6655.2360000000044</v>
      </c>
      <c r="O953" s="27">
        <f>IF(TableauCB[[#This Row],[Etat]]="xc",O952-TableauCB[[#This Row],[Débit]]+TableauCB[[#This Row],[Crédit]],O952-TableauCB[[#This Row],[Débit]])</f>
        <v>6260.1099999999951</v>
      </c>
      <c r="P953" s="27">
        <f>IF(AND(ISBLANK(TableauCB[[#This Row],[Débit]]),ISBLANK(TableauCB[[#This Row],[Crédit]])),"",P952+TableauCB[[#This Row],[Crédit]]-TableauCB[[#This Row],[Débit]])</f>
        <v>7476.4960000000074</v>
      </c>
      <c r="Q953" s="26"/>
      <c r="R953" s="4"/>
      <c r="S953" s="4"/>
      <c r="T953" s="24"/>
      <c r="U953" s="24"/>
      <c r="V953" s="9"/>
      <c r="W953" s="2"/>
      <c r="X953" s="9"/>
      <c r="Y953" s="8"/>
      <c r="Z953" s="7"/>
      <c r="AA953" s="7"/>
      <c r="AB953" s="6"/>
    </row>
    <row r="954" spans="2:28" ht="30" customHeight="1">
      <c r="B954" s="35" t="str">
        <f>IF(MONTH(F953)&lt;&gt;MONTH(TableauCB[[#This Row],[Date d''éxigibilité]]),(TableauCB[[#This Row],[Date d''éxigibilité]]),"")</f>
        <v/>
      </c>
      <c r="C954" s="11" t="s">
        <v>33</v>
      </c>
      <c r="D954" s="11" t="s">
        <v>11</v>
      </c>
      <c r="E954" s="11" t="s">
        <v>12</v>
      </c>
      <c r="F954" s="34">
        <v>42765</v>
      </c>
      <c r="G954"/>
      <c r="H954"/>
      <c r="I954" s="32">
        <v>42776</v>
      </c>
      <c r="J954"/>
      <c r="K954" s="31">
        <v>42784</v>
      </c>
      <c r="L954" s="30"/>
      <c r="M954" s="29">
        <v>117.5</v>
      </c>
      <c r="N954" s="28">
        <f>IF(OR(TableauCB[[#This Row],[Etat]]="",TableauCB[[#This Row],[Etat]]="c"),IF(TableauCB[[#This Row],[Solde]]="","",N953),N953-TableauCB[[#This Row],[Débit]]+TableauCB[[#This Row],[Crédit]])</f>
        <v>6772.7360000000044</v>
      </c>
      <c r="O954" s="27">
        <f>IF(TableauCB[[#This Row],[Etat]]="xc",O953-TableauCB[[#This Row],[Débit]]+TableauCB[[#This Row],[Crédit]],O953-TableauCB[[#This Row],[Débit]])</f>
        <v>6377.6099999999951</v>
      </c>
      <c r="P954" s="27">
        <f>IF(AND(ISBLANK(TableauCB[[#This Row],[Débit]]),ISBLANK(TableauCB[[#This Row],[Crédit]])),"",P953+TableauCB[[#This Row],[Crédit]]-TableauCB[[#This Row],[Débit]])</f>
        <v>7593.9960000000074</v>
      </c>
      <c r="Q954" s="26"/>
      <c r="R954" s="4"/>
      <c r="S954" s="4"/>
      <c r="T954" s="24"/>
      <c r="U954" s="24"/>
      <c r="V954" s="9"/>
      <c r="W954" s="2"/>
      <c r="X954" s="9"/>
      <c r="Y954" s="8"/>
      <c r="Z954" s="7"/>
      <c r="AA954" s="7"/>
      <c r="AB954" s="6"/>
    </row>
    <row r="955" spans="2:28" ht="30" customHeight="1">
      <c r="B955" s="35" t="str">
        <f>IF(MONTH(F954)&lt;&gt;MONTH(TableauCB[[#This Row],[Date d''éxigibilité]]),(TableauCB[[#This Row],[Date d''éxigibilité]]),"")</f>
        <v/>
      </c>
      <c r="C955" s="11" t="s">
        <v>33</v>
      </c>
      <c r="D955" s="11" t="s">
        <v>11</v>
      </c>
      <c r="E955" s="11" t="s">
        <v>10</v>
      </c>
      <c r="F955" s="34">
        <v>42765</v>
      </c>
      <c r="G955"/>
      <c r="H955"/>
      <c r="I955" s="32">
        <v>42772</v>
      </c>
      <c r="J955"/>
      <c r="K955" s="31">
        <v>42784</v>
      </c>
      <c r="L955" s="30"/>
      <c r="M955" s="29">
        <v>510</v>
      </c>
      <c r="N955" s="28">
        <f>IF(OR(TableauCB[[#This Row],[Etat]]="",TableauCB[[#This Row],[Etat]]="c"),IF(TableauCB[[#This Row],[Solde]]="","",N954),N954-TableauCB[[#This Row],[Débit]]+TableauCB[[#This Row],[Crédit]])</f>
        <v>7282.7360000000044</v>
      </c>
      <c r="O955" s="27">
        <f>IF(TableauCB[[#This Row],[Etat]]="xc",O954-TableauCB[[#This Row],[Débit]]+TableauCB[[#This Row],[Crédit]],O954-TableauCB[[#This Row],[Débit]])</f>
        <v>6887.6099999999951</v>
      </c>
      <c r="P955" s="27">
        <f>IF(AND(ISBLANK(TableauCB[[#This Row],[Débit]]),ISBLANK(TableauCB[[#This Row],[Crédit]])),"",P954+TableauCB[[#This Row],[Crédit]]-TableauCB[[#This Row],[Débit]])</f>
        <v>8103.9960000000074</v>
      </c>
      <c r="Q955" s="26"/>
      <c r="R955" s="36"/>
      <c r="S955" s="36"/>
      <c r="T955" s="24"/>
      <c r="U955" s="24"/>
      <c r="V955" s="9"/>
      <c r="W955" s="2"/>
      <c r="X955" s="9"/>
      <c r="Y955" s="8"/>
      <c r="Z955" s="7"/>
      <c r="AA955" s="7"/>
      <c r="AB955" s="6"/>
    </row>
    <row r="956" spans="2:28" ht="30" customHeight="1">
      <c r="B956" s="35" t="str">
        <f>IF(MONTH(F955)&lt;&gt;MONTH(TableauCB[[#This Row],[Date d''éxigibilité]]),(TableauCB[[#This Row],[Date d''éxigibilité]]),"")</f>
        <v/>
      </c>
      <c r="C956" s="11" t="s">
        <v>33</v>
      </c>
      <c r="D956" s="11" t="s">
        <v>11</v>
      </c>
      <c r="E956" s="11" t="s">
        <v>10</v>
      </c>
      <c r="F956" s="34">
        <v>42765</v>
      </c>
      <c r="G956"/>
      <c r="H956"/>
      <c r="I956" s="32">
        <v>42776</v>
      </c>
      <c r="J956"/>
      <c r="K956" s="31">
        <v>42776</v>
      </c>
      <c r="L956" s="30"/>
      <c r="M956" s="29">
        <v>228</v>
      </c>
      <c r="N956" s="28">
        <f>IF(OR(TableauCB[[#This Row],[Etat]]="",TableauCB[[#This Row],[Etat]]="c"),IF(TableauCB[[#This Row],[Solde]]="","",N955),N955-TableauCB[[#This Row],[Débit]]+TableauCB[[#This Row],[Crédit]])</f>
        <v>7510.7360000000044</v>
      </c>
      <c r="O956" s="27">
        <f>IF(TableauCB[[#This Row],[Etat]]="xc",O955-TableauCB[[#This Row],[Débit]]+TableauCB[[#This Row],[Crédit]],O955-TableauCB[[#This Row],[Débit]])</f>
        <v>7115.6099999999951</v>
      </c>
      <c r="P956" s="27">
        <f>IF(AND(ISBLANK(TableauCB[[#This Row],[Débit]]),ISBLANK(TableauCB[[#This Row],[Crédit]])),"",P955+TableauCB[[#This Row],[Crédit]]-TableauCB[[#This Row],[Débit]])</f>
        <v>8331.9960000000065</v>
      </c>
      <c r="Q956" s="26"/>
      <c r="R956" s="25"/>
      <c r="S956" s="25"/>
      <c r="T956" s="24"/>
      <c r="U956" s="24"/>
      <c r="V956" s="9"/>
      <c r="W956" s="2"/>
      <c r="X956" s="9"/>
      <c r="Y956" s="8"/>
      <c r="Z956" s="7"/>
      <c r="AA956" s="7"/>
      <c r="AB956" s="6"/>
    </row>
    <row r="957" spans="2:28" ht="30" customHeight="1">
      <c r="B957" s="35" t="str">
        <f>IF(MONTH(F956)&lt;&gt;MONTH(TableauCB[[#This Row],[Date d''éxigibilité]]),(TableauCB[[#This Row],[Date d''éxigibilité]]),"")</f>
        <v/>
      </c>
      <c r="C957" s="11"/>
      <c r="D957" s="11" t="s">
        <v>11</v>
      </c>
      <c r="E957" s="11" t="s">
        <v>10</v>
      </c>
      <c r="F957" s="34">
        <v>42765</v>
      </c>
      <c r="G957"/>
      <c r="H957"/>
      <c r="I957" s="32"/>
      <c r="J957"/>
      <c r="K957" s="31"/>
      <c r="L957" s="30"/>
      <c r="M957" s="29">
        <v>504</v>
      </c>
      <c r="N957" s="28">
        <f>IF(OR(TableauCB[[#This Row],[Etat]]="",TableauCB[[#This Row],[Etat]]="c"),IF(TableauCB[[#This Row],[Solde]]="","",N956),N956-TableauCB[[#This Row],[Débit]]+TableauCB[[#This Row],[Crédit]])</f>
        <v>7510.7360000000044</v>
      </c>
      <c r="O957" s="27">
        <f>IF(TableauCB[[#This Row],[Etat]]="xc",O956-TableauCB[[#This Row],[Débit]]+TableauCB[[#This Row],[Crédit]],O956-TableauCB[[#This Row],[Débit]])</f>
        <v>7115.6099999999951</v>
      </c>
      <c r="P957" s="27">
        <f>IF(AND(ISBLANK(TableauCB[[#This Row],[Débit]]),ISBLANK(TableauCB[[#This Row],[Crédit]])),"",P956+TableauCB[[#This Row],[Crédit]]-TableauCB[[#This Row],[Débit]])</f>
        <v>8835.9960000000065</v>
      </c>
      <c r="Q957" s="26"/>
      <c r="R957" s="4"/>
      <c r="S957" s="4"/>
      <c r="T957" s="24"/>
      <c r="U957" s="24"/>
      <c r="V957" s="9"/>
      <c r="W957" s="2"/>
      <c r="X957" s="9"/>
      <c r="Y957" s="8"/>
      <c r="Z957" s="7"/>
      <c r="AA957" s="7"/>
      <c r="AB957" s="6"/>
    </row>
    <row r="958" spans="2:28" ht="30" customHeight="1">
      <c r="B958" s="35" t="str">
        <f>IF(MONTH(F957)&lt;&gt;MONTH(TableauCB[[#This Row],[Date d''éxigibilité]]),(TableauCB[[#This Row],[Date d''éxigibilité]]),"")</f>
        <v/>
      </c>
      <c r="C958" s="11" t="s">
        <v>35</v>
      </c>
      <c r="D958" s="11" t="s">
        <v>5</v>
      </c>
      <c r="E958" s="11" t="s">
        <v>7</v>
      </c>
      <c r="F958" s="34">
        <v>42765</v>
      </c>
      <c r="G958"/>
      <c r="H958"/>
      <c r="I958" s="32">
        <v>42769</v>
      </c>
      <c r="J958"/>
      <c r="K958" s="31">
        <v>42772</v>
      </c>
      <c r="L958" s="30">
        <v>600</v>
      </c>
      <c r="M958" s="29"/>
      <c r="N958" s="28">
        <f>IF(OR(TableauCB[[#This Row],[Etat]]="",TableauCB[[#This Row],[Etat]]="c"),IF(TableauCB[[#This Row],[Solde]]="","",N957),N957-TableauCB[[#This Row],[Débit]]+TableauCB[[#This Row],[Crédit]])</f>
        <v>6910.7360000000044</v>
      </c>
      <c r="O958" s="27">
        <f>IF(TableauCB[[#This Row],[Etat]]="xc",O957-TableauCB[[#This Row],[Débit]]+TableauCB[[#This Row],[Crédit]],O957-TableauCB[[#This Row],[Débit]])</f>
        <v>6515.6099999999951</v>
      </c>
      <c r="P958" s="27">
        <f>IF(AND(ISBLANK(TableauCB[[#This Row],[Débit]]),ISBLANK(TableauCB[[#This Row],[Crédit]])),"",P957+TableauCB[[#This Row],[Crédit]]-TableauCB[[#This Row],[Débit]])</f>
        <v>8235.9960000000065</v>
      </c>
      <c r="Q958" s="26"/>
      <c r="R958" s="4"/>
      <c r="S958" s="4"/>
      <c r="T958" s="24"/>
      <c r="U958" s="24"/>
      <c r="V958" s="9"/>
      <c r="W958" s="2"/>
      <c r="X958" s="9"/>
      <c r="Y958" s="8"/>
      <c r="Z958" s="7"/>
      <c r="AA958" s="7"/>
      <c r="AB958" s="6"/>
    </row>
    <row r="959" spans="2:28" ht="30" customHeight="1">
      <c r="B959" s="35" t="str">
        <f>IF(MONTH(F958)&lt;&gt;MONTH(TableauCB[[#This Row],[Date d''éxigibilité]]),(TableauCB[[#This Row],[Date d''éxigibilité]]),"")</f>
        <v/>
      </c>
      <c r="C959" s="11"/>
      <c r="D959" s="11" t="s">
        <v>5</v>
      </c>
      <c r="E959" s="11" t="s">
        <v>6</v>
      </c>
      <c r="F959" s="34">
        <v>42765</v>
      </c>
      <c r="G959"/>
      <c r="H959"/>
      <c r="I959" s="32"/>
      <c r="J959"/>
      <c r="K959" s="31"/>
      <c r="L959" s="30">
        <v>291.3</v>
      </c>
      <c r="M959" s="29"/>
      <c r="N959" s="28">
        <f>IF(OR(TableauCB[[#This Row],[Etat]]="",TableauCB[[#This Row],[Etat]]="c"),IF(TableauCB[[#This Row],[Solde]]="","",N958),N958-TableauCB[[#This Row],[Débit]]+TableauCB[[#This Row],[Crédit]])</f>
        <v>6910.7360000000044</v>
      </c>
      <c r="O959" s="27">
        <f>IF(TableauCB[[#This Row],[Etat]]="xc",O958-TableauCB[[#This Row],[Débit]]+TableauCB[[#This Row],[Crédit]],O958-TableauCB[[#This Row],[Débit]])</f>
        <v>6224.3099999999949</v>
      </c>
      <c r="P959" s="27">
        <f>IF(AND(ISBLANK(TableauCB[[#This Row],[Débit]]),ISBLANK(TableauCB[[#This Row],[Crédit]])),"",P958+TableauCB[[#This Row],[Crédit]]-TableauCB[[#This Row],[Débit]])</f>
        <v>7944.6960000000063</v>
      </c>
      <c r="Q959" s="26"/>
      <c r="R959" s="4"/>
      <c r="S959" s="4"/>
      <c r="T959" s="24"/>
      <c r="U959" s="24"/>
      <c r="V959" s="9"/>
      <c r="W959" s="2"/>
      <c r="X959" s="9"/>
      <c r="Y959" s="8"/>
      <c r="Z959" s="7"/>
      <c r="AA959" s="7"/>
      <c r="AB959" s="6"/>
    </row>
    <row r="960" spans="2:28" ht="30" customHeight="1">
      <c r="B960" s="35" t="str">
        <f>IF(MONTH(F959)&lt;&gt;MONTH(TableauCB[[#This Row],[Date d''éxigibilité]]),(TableauCB[[#This Row],[Date d''éxigibilité]]),"")</f>
        <v/>
      </c>
      <c r="C960" s="11" t="s">
        <v>33</v>
      </c>
      <c r="D960" s="11" t="s">
        <v>11</v>
      </c>
      <c r="E960" s="11" t="s">
        <v>12</v>
      </c>
      <c r="F960" s="34">
        <v>42765</v>
      </c>
      <c r="G960"/>
      <c r="H960"/>
      <c r="I960" s="32">
        <v>42766</v>
      </c>
      <c r="J960"/>
      <c r="K960" s="31">
        <v>42774</v>
      </c>
      <c r="L960" s="30"/>
      <c r="M960" s="29">
        <v>180</v>
      </c>
      <c r="N960" s="28">
        <f>IF(OR(TableauCB[[#This Row],[Etat]]="",TableauCB[[#This Row],[Etat]]="c"),IF(TableauCB[[#This Row],[Solde]]="","",N959),N959-TableauCB[[#This Row],[Débit]]+TableauCB[[#This Row],[Crédit]])</f>
        <v>7090.7360000000044</v>
      </c>
      <c r="O960" s="27">
        <f>IF(TableauCB[[#This Row],[Etat]]="xc",O959-TableauCB[[#This Row],[Débit]]+TableauCB[[#This Row],[Crédit]],O959-TableauCB[[#This Row],[Débit]])</f>
        <v>6404.3099999999949</v>
      </c>
      <c r="P960" s="27">
        <f>IF(AND(ISBLANK(TableauCB[[#This Row],[Débit]]),ISBLANK(TableauCB[[#This Row],[Crédit]])),"",P959+TableauCB[[#This Row],[Crédit]]-TableauCB[[#This Row],[Débit]])</f>
        <v>8124.6960000000063</v>
      </c>
      <c r="Q960" s="26"/>
      <c r="R960" s="4"/>
      <c r="S960" s="4"/>
      <c r="T960" s="24"/>
      <c r="U960" s="24"/>
      <c r="V960" s="9"/>
      <c r="W960" s="2"/>
      <c r="X960" s="9"/>
      <c r="Y960" s="8"/>
      <c r="Z960" s="7"/>
      <c r="AA960" s="7"/>
      <c r="AB960" s="6"/>
    </row>
    <row r="961" spans="2:28" ht="30" customHeight="1">
      <c r="B961" s="35" t="str">
        <f>IF(MONTH(F960)&lt;&gt;MONTH(TableauCB[[#This Row],[Date d''éxigibilité]]),(TableauCB[[#This Row],[Date d''éxigibilité]]),"")</f>
        <v/>
      </c>
      <c r="C961" s="11"/>
      <c r="D961" s="11" t="s">
        <v>15</v>
      </c>
      <c r="E961" s="11" t="s">
        <v>14</v>
      </c>
      <c r="F961" s="34">
        <v>42765</v>
      </c>
      <c r="G961"/>
      <c r="H961"/>
      <c r="I961" s="32"/>
      <c r="J961"/>
      <c r="K961" s="31"/>
      <c r="L961" s="30">
        <v>210</v>
      </c>
      <c r="M961" s="29"/>
      <c r="N961" s="28">
        <f>IF(OR(TableauCB[[#This Row],[Etat]]="",TableauCB[[#This Row],[Etat]]="c"),IF(TableauCB[[#This Row],[Solde]]="","",N960),N960-TableauCB[[#This Row],[Débit]]+TableauCB[[#This Row],[Crédit]])</f>
        <v>7090.7360000000044</v>
      </c>
      <c r="O961" s="27">
        <f>IF(TableauCB[[#This Row],[Etat]]="xc",O960-TableauCB[[#This Row],[Débit]]+TableauCB[[#This Row],[Crédit]],O960-TableauCB[[#This Row],[Débit]])</f>
        <v>6194.3099999999949</v>
      </c>
      <c r="P961" s="27">
        <f>IF(AND(ISBLANK(TableauCB[[#This Row],[Débit]]),ISBLANK(TableauCB[[#This Row],[Crédit]])),"",P960+TableauCB[[#This Row],[Crédit]]-TableauCB[[#This Row],[Débit]])</f>
        <v>7914.6960000000063</v>
      </c>
      <c r="Q961" s="26"/>
      <c r="R961" s="4"/>
      <c r="S961" s="39"/>
      <c r="T961" s="24"/>
      <c r="U961" s="24"/>
      <c r="V961" s="9"/>
      <c r="W961" s="2"/>
      <c r="X961" s="9"/>
      <c r="Y961" s="8"/>
      <c r="Z961" s="7"/>
      <c r="AA961" s="7"/>
      <c r="AB961" s="6"/>
    </row>
    <row r="962" spans="2:28" ht="30" customHeight="1">
      <c r="B962" s="35" t="str">
        <f>IF(MONTH(F961)&lt;&gt;MONTH(TableauCB[[#This Row],[Date d''éxigibilité]]),(TableauCB[[#This Row],[Date d''éxigibilité]]),"")</f>
        <v/>
      </c>
      <c r="C962" s="11" t="s">
        <v>33</v>
      </c>
      <c r="D962" s="11" t="s">
        <v>15</v>
      </c>
      <c r="E962" s="11" t="s">
        <v>24</v>
      </c>
      <c r="F962" s="34">
        <v>42766</v>
      </c>
      <c r="G962"/>
      <c r="H962"/>
      <c r="I962" s="32">
        <v>42740</v>
      </c>
      <c r="J962"/>
      <c r="K962" s="31">
        <v>42752</v>
      </c>
      <c r="L962" s="30">
        <v>713</v>
      </c>
      <c r="M962" s="29"/>
      <c r="N962" s="28">
        <f>IF(OR(TableauCB[[#This Row],[Etat]]="",TableauCB[[#This Row],[Etat]]="c"),IF(TableauCB[[#This Row],[Solde]]="","",N961),N961-TableauCB[[#This Row],[Débit]]+TableauCB[[#This Row],[Crédit]])</f>
        <v>6377.7360000000044</v>
      </c>
      <c r="O962" s="27">
        <f>IF(TableauCB[[#This Row],[Etat]]="xc",O961-TableauCB[[#This Row],[Débit]]+TableauCB[[#This Row],[Crédit]],O961-TableauCB[[#This Row],[Débit]])</f>
        <v>5481.3099999999949</v>
      </c>
      <c r="P962" s="27">
        <f>IF(AND(ISBLANK(TableauCB[[#This Row],[Débit]]),ISBLANK(TableauCB[[#This Row],[Crédit]])),"",P961+TableauCB[[#This Row],[Crédit]]-TableauCB[[#This Row],[Débit]])</f>
        <v>7201.6960000000063</v>
      </c>
      <c r="Q962" s="26"/>
      <c r="R962" s="4"/>
      <c r="S962" s="4"/>
      <c r="T962" s="24"/>
      <c r="U962" s="24"/>
      <c r="V962" s="9"/>
      <c r="W962" s="2"/>
      <c r="X962" s="9"/>
      <c r="Y962" s="8"/>
      <c r="Z962" s="7"/>
      <c r="AA962" s="7"/>
      <c r="AB962" s="6"/>
    </row>
    <row r="963" spans="2:28" ht="30" customHeight="1">
      <c r="B963" s="35" t="str">
        <f>IF(MONTH(F962)&lt;&gt;MONTH(TableauCB[[#This Row],[Date d''éxigibilité]]),(TableauCB[[#This Row],[Date d''éxigibilité]]),"")</f>
        <v/>
      </c>
      <c r="C963" s="11" t="s">
        <v>33</v>
      </c>
      <c r="D963" s="11" t="s">
        <v>15</v>
      </c>
      <c r="E963" s="11" t="s">
        <v>26</v>
      </c>
      <c r="F963" s="34">
        <v>42766</v>
      </c>
      <c r="G963"/>
      <c r="H963"/>
      <c r="I963" s="32">
        <v>42740</v>
      </c>
      <c r="J963"/>
      <c r="K963" s="31">
        <v>42752</v>
      </c>
      <c r="L963" s="30">
        <v>114</v>
      </c>
      <c r="M963" s="29"/>
      <c r="N963" s="28">
        <f>IF(OR(TableauCB[[#This Row],[Etat]]="",TableauCB[[#This Row],[Etat]]="c"),IF(TableauCB[[#This Row],[Solde]]="","",N962),N962-TableauCB[[#This Row],[Débit]]+TableauCB[[#This Row],[Crédit]])</f>
        <v>6263.7360000000044</v>
      </c>
      <c r="O963" s="27">
        <f>IF(TableauCB[[#This Row],[Etat]]="xc",O962-TableauCB[[#This Row],[Débit]]+TableauCB[[#This Row],[Crédit]],O962-TableauCB[[#This Row],[Débit]])</f>
        <v>5367.3099999999949</v>
      </c>
      <c r="P963" s="27">
        <f>IF(AND(ISBLANK(TableauCB[[#This Row],[Débit]]),ISBLANK(TableauCB[[#This Row],[Crédit]])),"",P962+TableauCB[[#This Row],[Crédit]]-TableauCB[[#This Row],[Débit]])</f>
        <v>7087.6960000000063</v>
      </c>
      <c r="Q963" s="26"/>
      <c r="R963" s="4"/>
      <c r="S963" s="4"/>
      <c r="T963" s="24"/>
      <c r="U963" s="24"/>
      <c r="V963" s="9"/>
      <c r="W963" s="2"/>
      <c r="X963" s="9"/>
      <c r="Y963" s="8"/>
      <c r="Z963" s="7"/>
      <c r="AA963" s="7"/>
      <c r="AB963" s="6"/>
    </row>
    <row r="964" spans="2:28" ht="30" customHeight="1">
      <c r="B964" s="35" t="str">
        <f>IF(MONTH(F963)&lt;&gt;MONTH(TableauCB[[#This Row],[Date d''éxigibilité]]),(TableauCB[[#This Row],[Date d''éxigibilité]]),"")</f>
        <v/>
      </c>
      <c r="C964" s="11" t="s">
        <v>33</v>
      </c>
      <c r="D964" s="11" t="s">
        <v>9</v>
      </c>
      <c r="E964" s="11" t="s">
        <v>8</v>
      </c>
      <c r="F964" s="34">
        <v>42766</v>
      </c>
      <c r="G964"/>
      <c r="H964"/>
      <c r="I964" s="32">
        <v>42760</v>
      </c>
      <c r="J964"/>
      <c r="K964" s="31">
        <v>42773</v>
      </c>
      <c r="L964" s="30">
        <v>240</v>
      </c>
      <c r="M964" s="29"/>
      <c r="N964" s="28">
        <f>IF(OR(TableauCB[[#This Row],[Etat]]="",TableauCB[[#This Row],[Etat]]="c"),IF(TableauCB[[#This Row],[Solde]]="","",N963),N963-TableauCB[[#This Row],[Débit]]+TableauCB[[#This Row],[Crédit]])</f>
        <v>6023.7360000000044</v>
      </c>
      <c r="O964" s="27">
        <f>IF(TableauCB[[#This Row],[Etat]]="xc",O963-TableauCB[[#This Row],[Débit]]+TableauCB[[#This Row],[Crédit]],O963-TableauCB[[#This Row],[Débit]])</f>
        <v>5127.3099999999949</v>
      </c>
      <c r="P964" s="27">
        <f>IF(AND(ISBLANK(TableauCB[[#This Row],[Débit]]),ISBLANK(TableauCB[[#This Row],[Crédit]])),"",P963+TableauCB[[#This Row],[Crédit]]-TableauCB[[#This Row],[Débit]])</f>
        <v>6847.6960000000063</v>
      </c>
      <c r="Q964" s="26"/>
      <c r="R964" s="4"/>
      <c r="S964" s="4"/>
      <c r="T964" s="24"/>
      <c r="U964" s="24"/>
      <c r="V964" s="9"/>
      <c r="W964" s="2"/>
      <c r="X964" s="9"/>
      <c r="Y964" s="8"/>
      <c r="Z964" s="7"/>
      <c r="AA964" s="7"/>
      <c r="AB964" s="6"/>
    </row>
    <row r="965" spans="2:28" ht="30" customHeight="1">
      <c r="B965" s="35">
        <f>IF(MONTH(F964)&lt;&gt;MONTH(TableauCB[[#This Row],[Date d''éxigibilité]]),(TableauCB[[#This Row],[Date d''éxigibilité]]),"")</f>
        <v>42775</v>
      </c>
      <c r="C965" s="11" t="s">
        <v>35</v>
      </c>
      <c r="D965" s="11" t="s">
        <v>22</v>
      </c>
      <c r="E965" s="11" t="s">
        <v>21</v>
      </c>
      <c r="F965" s="34">
        <v>42775</v>
      </c>
      <c r="G965"/>
      <c r="H965"/>
      <c r="I965" s="32"/>
      <c r="J965"/>
      <c r="K965" s="31"/>
      <c r="L965" s="30">
        <v>22.4</v>
      </c>
      <c r="M965" s="29"/>
      <c r="N965" s="28">
        <f>IF(OR(TableauCB[[#This Row],[Etat]]="",TableauCB[[#This Row],[Etat]]="c"),IF(TableauCB[[#This Row],[Solde]]="","",N964),N964-TableauCB[[#This Row],[Débit]]+TableauCB[[#This Row],[Crédit]])</f>
        <v>6001.3360000000048</v>
      </c>
      <c r="O965" s="27">
        <f>IF(TableauCB[[#This Row],[Etat]]="xc",O964-TableauCB[[#This Row],[Débit]]+TableauCB[[#This Row],[Crédit]],O964-TableauCB[[#This Row],[Débit]])</f>
        <v>5104.9099999999953</v>
      </c>
      <c r="P965" s="27">
        <f>IF(AND(ISBLANK(TableauCB[[#This Row],[Débit]]),ISBLANK(TableauCB[[#This Row],[Crédit]])),"",P964+TableauCB[[#This Row],[Crédit]]-TableauCB[[#This Row],[Débit]])</f>
        <v>6825.2960000000066</v>
      </c>
      <c r="Q965" s="26"/>
      <c r="R965" s="4"/>
      <c r="S965" s="4"/>
      <c r="T965" s="24"/>
      <c r="U965" s="24"/>
      <c r="V965" s="9"/>
      <c r="W965" s="2"/>
      <c r="X965" s="9"/>
      <c r="Y965" s="8"/>
      <c r="Z965" s="7"/>
      <c r="AA965" s="7"/>
      <c r="AB965" s="6"/>
    </row>
    <row r="966" spans="2:28" ht="30" customHeight="1">
      <c r="B966" s="35" t="str">
        <f>IF(MONTH(F965)&lt;&gt;MONTH(TableauCB[[#This Row],[Date d''éxigibilité]]),(TableauCB[[#This Row],[Date d''éxigibilité]]),"")</f>
        <v/>
      </c>
      <c r="C966" s="11" t="s">
        <v>33</v>
      </c>
      <c r="D966" s="11" t="s">
        <v>37</v>
      </c>
      <c r="E966" s="11" t="s">
        <v>36</v>
      </c>
      <c r="F966" s="34">
        <v>42780</v>
      </c>
      <c r="G966"/>
      <c r="H966"/>
      <c r="I966" s="32">
        <v>42780</v>
      </c>
      <c r="J966"/>
      <c r="K966" s="31">
        <v>42781</v>
      </c>
      <c r="L966" s="30">
        <v>31</v>
      </c>
      <c r="M966" s="29"/>
      <c r="N966" s="28">
        <f>IF(OR(TableauCB[[#This Row],[Etat]]="",TableauCB[[#This Row],[Etat]]="c"),IF(TableauCB[[#This Row],[Solde]]="","",N965),N965-TableauCB[[#This Row],[Débit]]+TableauCB[[#This Row],[Crédit]])</f>
        <v>5970.3360000000048</v>
      </c>
      <c r="O966" s="27">
        <f>IF(TableauCB[[#This Row],[Etat]]="xc",O965-TableauCB[[#This Row],[Débit]]+TableauCB[[#This Row],[Crédit]],O965-TableauCB[[#This Row],[Débit]])</f>
        <v>5073.9099999999953</v>
      </c>
      <c r="P966" s="27">
        <f>IF(AND(ISBLANK(TableauCB[[#This Row],[Débit]]),ISBLANK(TableauCB[[#This Row],[Crédit]])),"",P965+TableauCB[[#This Row],[Crédit]]-TableauCB[[#This Row],[Débit]])</f>
        <v>6794.2960000000066</v>
      </c>
      <c r="Q966" s="26"/>
      <c r="R966" s="4"/>
      <c r="S966" s="4"/>
      <c r="T966" s="24"/>
      <c r="U966" s="24"/>
      <c r="V966" s="9"/>
      <c r="W966" s="2"/>
      <c r="X966" s="9"/>
      <c r="Y966" s="8"/>
      <c r="Z966" s="7"/>
      <c r="AA966" s="7"/>
      <c r="AB966" s="6"/>
    </row>
    <row r="967" spans="2:28" ht="30" customHeight="1">
      <c r="B967" s="35" t="str">
        <f>IF(MONTH(F966)&lt;&gt;MONTH(TableauCB[[#This Row],[Date d''éxigibilité]]),(TableauCB[[#This Row],[Date d''éxigibilité]]),"")</f>
        <v/>
      </c>
      <c r="C967" s="11" t="s">
        <v>39</v>
      </c>
      <c r="D967" s="11" t="s">
        <v>15</v>
      </c>
      <c r="E967" s="11" t="s">
        <v>40</v>
      </c>
      <c r="F967" s="34">
        <v>42780</v>
      </c>
      <c r="G967"/>
      <c r="H967"/>
      <c r="I967" s="32">
        <v>42780</v>
      </c>
      <c r="J967"/>
      <c r="K967" s="31"/>
      <c r="L967" s="30">
        <v>122.37</v>
      </c>
      <c r="M967" s="29"/>
      <c r="N967" s="28">
        <f>IF(OR(TableauCB[[#This Row],[Etat]]="",TableauCB[[#This Row],[Etat]]="c"),IF(TableauCB[[#This Row],[Solde]]="","",N966),N966-TableauCB[[#This Row],[Débit]]+TableauCB[[#This Row],[Crédit]])</f>
        <v>5970.3360000000048</v>
      </c>
      <c r="O967" s="27">
        <f>IF(TableauCB[[#This Row],[Etat]]="xc",O966-TableauCB[[#This Row],[Débit]]+TableauCB[[#This Row],[Crédit]],O966-TableauCB[[#This Row],[Débit]])</f>
        <v>4951.5399999999954</v>
      </c>
      <c r="P967" s="27">
        <f>IF(AND(ISBLANK(TableauCB[[#This Row],[Débit]]),ISBLANK(TableauCB[[#This Row],[Crédit]])),"",P966+TableauCB[[#This Row],[Crédit]]-TableauCB[[#This Row],[Débit]])</f>
        <v>6671.9260000000068</v>
      </c>
      <c r="Q967" s="26"/>
      <c r="R967" s="4"/>
      <c r="S967" s="4"/>
      <c r="T967" s="24"/>
      <c r="U967" s="24"/>
      <c r="V967" s="9"/>
      <c r="W967" s="2"/>
      <c r="X967" s="9"/>
      <c r="Y967" s="8"/>
      <c r="Z967" s="7"/>
      <c r="AA967" s="7"/>
      <c r="AB967" s="6"/>
    </row>
    <row r="968" spans="2:28" ht="30" customHeight="1">
      <c r="B968" s="35" t="str">
        <f>IF(MONTH(F967)&lt;&gt;MONTH(TableauCB[[#This Row],[Date d''éxigibilité]]),(TableauCB[[#This Row],[Date d''éxigibilité]]),"")</f>
        <v/>
      </c>
      <c r="C968" s="11" t="s">
        <v>39</v>
      </c>
      <c r="D968" s="11" t="s">
        <v>15</v>
      </c>
      <c r="E968" s="11" t="s">
        <v>38</v>
      </c>
      <c r="F968" s="34">
        <v>42780</v>
      </c>
      <c r="G968"/>
      <c r="H968"/>
      <c r="I968" s="32">
        <v>42780</v>
      </c>
      <c r="J968"/>
      <c r="K968" s="31"/>
      <c r="L968" s="30">
        <v>118.76</v>
      </c>
      <c r="M968" s="29"/>
      <c r="N968" s="28">
        <f>IF(OR(TableauCB[[#This Row],[Etat]]="",TableauCB[[#This Row],[Etat]]="c"),IF(TableauCB[[#This Row],[Solde]]="","",N967),N967-TableauCB[[#This Row],[Débit]]+TableauCB[[#This Row],[Crédit]])</f>
        <v>5970.3360000000048</v>
      </c>
      <c r="O968" s="27">
        <f>IF(TableauCB[[#This Row],[Etat]]="xc",O967-TableauCB[[#This Row],[Débit]]+TableauCB[[#This Row],[Crédit]],O967-TableauCB[[#This Row],[Débit]])</f>
        <v>4832.7799999999952</v>
      </c>
      <c r="P968" s="27">
        <f>IF(AND(ISBLANK(TableauCB[[#This Row],[Débit]]),ISBLANK(TableauCB[[#This Row],[Crédit]])),"",P967+TableauCB[[#This Row],[Crédit]]-TableauCB[[#This Row],[Débit]])</f>
        <v>6553.1660000000065</v>
      </c>
      <c r="Q968" s="26"/>
      <c r="R968" s="4"/>
      <c r="S968" s="4"/>
      <c r="T968" s="24"/>
      <c r="U968" s="24"/>
      <c r="V968" s="9"/>
      <c r="W968" s="2"/>
      <c r="X968" s="9"/>
      <c r="Y968" s="8"/>
      <c r="Z968" s="7"/>
      <c r="AA968" s="7"/>
      <c r="AB968" s="6"/>
    </row>
    <row r="969" spans="2:28" ht="30" customHeight="1">
      <c r="B969" s="35" t="str">
        <f>IF(MONTH(F968)&lt;&gt;MONTH(TableauCB[[#This Row],[Date d''éxigibilité]]),(TableauCB[[#This Row],[Date d''éxigibilité]]),"")</f>
        <v/>
      </c>
      <c r="C969" s="11" t="s">
        <v>33</v>
      </c>
      <c r="D969" s="11" t="s">
        <v>15</v>
      </c>
      <c r="E969" s="11" t="s">
        <v>19</v>
      </c>
      <c r="F969" s="34">
        <v>42781</v>
      </c>
      <c r="G969"/>
      <c r="H969"/>
      <c r="I969" s="32">
        <v>42782</v>
      </c>
      <c r="J969"/>
      <c r="K969" s="31">
        <v>42782</v>
      </c>
      <c r="L969" s="30">
        <v>53</v>
      </c>
      <c r="M969" s="29"/>
      <c r="N969" s="28">
        <f>IF(OR(TableauCB[[#This Row],[Etat]]="",TableauCB[[#This Row],[Etat]]="c"),IF(TableauCB[[#This Row],[Solde]]="","",N968),N968-TableauCB[[#This Row],[Débit]]+TableauCB[[#This Row],[Crédit]])</f>
        <v>5917.3360000000048</v>
      </c>
      <c r="O969" s="27">
        <f>IF(TableauCB[[#This Row],[Etat]]="xc",O968-TableauCB[[#This Row],[Débit]]+TableauCB[[#This Row],[Crédit]],O968-TableauCB[[#This Row],[Débit]])</f>
        <v>4779.7799999999952</v>
      </c>
      <c r="P969" s="27">
        <f>IF(AND(ISBLANK(TableauCB[[#This Row],[Débit]]),ISBLANK(TableauCB[[#This Row],[Crédit]])),"",P968+TableauCB[[#This Row],[Crédit]]-TableauCB[[#This Row],[Débit]])</f>
        <v>6500.1660000000065</v>
      </c>
      <c r="Q969" s="26"/>
      <c r="R969" s="4"/>
      <c r="S969" s="4"/>
      <c r="T969" s="24"/>
      <c r="U969" s="24"/>
      <c r="V969" s="9"/>
      <c r="W969" s="2"/>
      <c r="X969" s="9"/>
      <c r="Y969" s="8"/>
      <c r="Z969" s="7"/>
      <c r="AA969" s="7"/>
      <c r="AB969" s="6"/>
    </row>
    <row r="970" spans="2:28" ht="30" customHeight="1">
      <c r="B970" s="35" t="str">
        <f>IF(MONTH(F969)&lt;&gt;MONTH(TableauCB[[#This Row],[Date d''éxigibilité]]),(TableauCB[[#This Row],[Date d''éxigibilité]]),"")</f>
        <v/>
      </c>
      <c r="C970" s="11" t="s">
        <v>33</v>
      </c>
      <c r="D970" s="11" t="s">
        <v>37</v>
      </c>
      <c r="E970" s="11" t="s">
        <v>36</v>
      </c>
      <c r="F970" s="34">
        <v>42784</v>
      </c>
      <c r="G970"/>
      <c r="H970"/>
      <c r="I970" s="32">
        <v>42784</v>
      </c>
      <c r="J970"/>
      <c r="K970" s="31"/>
      <c r="L970" s="30">
        <v>213.4</v>
      </c>
      <c r="M970" s="29"/>
      <c r="N970" s="28">
        <f>IF(OR(TableauCB[[#This Row],[Etat]]="",TableauCB[[#This Row],[Etat]]="c"),IF(TableauCB[[#This Row],[Solde]]="","",N969),N969-TableauCB[[#This Row],[Débit]]+TableauCB[[#This Row],[Crédit]])</f>
        <v>5703.9360000000052</v>
      </c>
      <c r="O970" s="27">
        <f>IF(TableauCB[[#This Row],[Etat]]="xc",O969-TableauCB[[#This Row],[Débit]]+TableauCB[[#This Row],[Crédit]],O969-TableauCB[[#This Row],[Débit]])</f>
        <v>4566.3799999999956</v>
      </c>
      <c r="P970" s="27">
        <f>IF(AND(ISBLANK(TableauCB[[#This Row],[Débit]]),ISBLANK(TableauCB[[#This Row],[Crédit]])),"",P969+TableauCB[[#This Row],[Crédit]]-TableauCB[[#This Row],[Débit]])</f>
        <v>6286.7660000000069</v>
      </c>
      <c r="Q970" s="26"/>
      <c r="R970" s="4"/>
      <c r="S970" s="4"/>
      <c r="T970" s="24"/>
      <c r="U970" s="24"/>
      <c r="V970" s="9"/>
      <c r="W970" s="2"/>
      <c r="X970" s="9"/>
      <c r="Y970" s="8"/>
      <c r="Z970" s="7"/>
      <c r="AA970" s="7"/>
      <c r="AB970" s="6"/>
    </row>
    <row r="971" spans="2:28" ht="30" customHeight="1">
      <c r="B971" s="35" t="str">
        <f>IF(MONTH(F970)&lt;&gt;MONTH(TableauCB[[#This Row],[Date d''éxigibilité]]),(TableauCB[[#This Row],[Date d''éxigibilité]]),"")</f>
        <v/>
      </c>
      <c r="C971" s="11"/>
      <c r="D971" s="11" t="s">
        <v>17</v>
      </c>
      <c r="E971" s="11" t="s">
        <v>16</v>
      </c>
      <c r="F971" s="34">
        <v>42786</v>
      </c>
      <c r="G971"/>
      <c r="H971"/>
      <c r="I971" s="32"/>
      <c r="J971"/>
      <c r="K971" s="31"/>
      <c r="L971" s="30">
        <v>3.59</v>
      </c>
      <c r="M971" s="29"/>
      <c r="N971" s="28">
        <f>IF(OR(TableauCB[[#This Row],[Etat]]="",TableauCB[[#This Row],[Etat]]="c"),IF(TableauCB[[#This Row],[Solde]]="","",N970),N970-TableauCB[[#This Row],[Débit]]+TableauCB[[#This Row],[Crédit]])</f>
        <v>5703.9360000000052</v>
      </c>
      <c r="O971" s="27">
        <f>IF(TableauCB[[#This Row],[Etat]]="xc",O970-TableauCB[[#This Row],[Débit]]+TableauCB[[#This Row],[Crédit]],O970-TableauCB[[#This Row],[Débit]])</f>
        <v>4562.7899999999954</v>
      </c>
      <c r="P971" s="27">
        <f>IF(AND(ISBLANK(TableauCB[[#This Row],[Débit]]),ISBLANK(TableauCB[[#This Row],[Crédit]])),"",P970+TableauCB[[#This Row],[Crédit]]-TableauCB[[#This Row],[Débit]])</f>
        <v>6283.1760000000068</v>
      </c>
      <c r="Q971" s="26"/>
      <c r="R971" s="4"/>
      <c r="S971" s="4"/>
      <c r="T971" s="24"/>
      <c r="U971" s="24"/>
      <c r="V971" s="9"/>
      <c r="W971" s="2"/>
      <c r="X971" s="9"/>
      <c r="Y971" s="8"/>
      <c r="Z971" s="7"/>
      <c r="AA971" s="7"/>
      <c r="AB971" s="6"/>
    </row>
    <row r="972" spans="2:28" ht="30" customHeight="1">
      <c r="B972" s="35" t="str">
        <f>IF(MONTH(F971)&lt;&gt;MONTH(TableauCB[[#This Row],[Date d''éxigibilité]]),(TableauCB[[#This Row],[Date d''éxigibilité]]),"")</f>
        <v/>
      </c>
      <c r="C972" s="11" t="s">
        <v>35</v>
      </c>
      <c r="D972" s="11" t="s">
        <v>15</v>
      </c>
      <c r="E972" s="11" t="s">
        <v>25</v>
      </c>
      <c r="F972" s="34">
        <v>42786</v>
      </c>
      <c r="G972"/>
      <c r="H972"/>
      <c r="I972" s="32">
        <v>42786</v>
      </c>
      <c r="J972"/>
      <c r="K972" s="31"/>
      <c r="L972" s="30"/>
      <c r="M972" s="29">
        <v>283</v>
      </c>
      <c r="N972" s="28">
        <f>IF(OR(TableauCB[[#This Row],[Etat]]="",TableauCB[[#This Row],[Etat]]="c"),IF(TableauCB[[#This Row],[Solde]]="","",N971),N971-TableauCB[[#This Row],[Débit]]+TableauCB[[#This Row],[Crédit]])</f>
        <v>5986.9360000000052</v>
      </c>
      <c r="O972" s="27">
        <f>IF(TableauCB[[#This Row],[Etat]]="xc",O971-TableauCB[[#This Row],[Débit]]+TableauCB[[#This Row],[Crédit]],O971-TableauCB[[#This Row],[Débit]])</f>
        <v>4562.7899999999954</v>
      </c>
      <c r="P972" s="27">
        <f>IF(AND(ISBLANK(TableauCB[[#This Row],[Débit]]),ISBLANK(TableauCB[[#This Row],[Crédit]])),"",P971+TableauCB[[#This Row],[Crédit]]-TableauCB[[#This Row],[Débit]])</f>
        <v>6566.1760000000068</v>
      </c>
      <c r="Q972" s="26"/>
      <c r="R972" s="36"/>
      <c r="S972" s="36"/>
      <c r="T972" s="24"/>
      <c r="U972" s="24"/>
      <c r="V972" s="9"/>
      <c r="W972" s="2"/>
      <c r="X972" s="9"/>
      <c r="Y972" s="8"/>
      <c r="Z972" s="7"/>
      <c r="AA972" s="7"/>
      <c r="AB972" s="6"/>
    </row>
    <row r="973" spans="2:28" ht="30" customHeight="1">
      <c r="B973" s="35" t="str">
        <f>IF(MONTH(F972)&lt;&gt;MONTH(TableauCB[[#This Row],[Date d''éxigibilité]]),(TableauCB[[#This Row],[Date d''éxigibilité]]),"")</f>
        <v/>
      </c>
      <c r="C973" s="11" t="s">
        <v>35</v>
      </c>
      <c r="D973" s="11" t="s">
        <v>15</v>
      </c>
      <c r="E973" s="11" t="s">
        <v>25</v>
      </c>
      <c r="F973" s="34">
        <v>42786</v>
      </c>
      <c r="G973" t="s">
        <v>25</v>
      </c>
      <c r="H973" t="s">
        <v>34</v>
      </c>
      <c r="I973" s="32">
        <v>42786</v>
      </c>
      <c r="J973" t="s">
        <v>13</v>
      </c>
      <c r="K973" s="31"/>
      <c r="L973" s="30"/>
      <c r="M973" s="29">
        <v>283</v>
      </c>
      <c r="N973" s="28">
        <f>IF(OR(TableauCB[[#This Row],[Etat]]="",TableauCB[[#This Row],[Etat]]="c"),IF(TableauCB[[#This Row],[Solde]]="","",N972),N972-TableauCB[[#This Row],[Débit]]+TableauCB[[#This Row],[Crédit]])</f>
        <v>6269.9360000000052</v>
      </c>
      <c r="O973" s="27">
        <f>IF(TableauCB[[#This Row],[Etat]]="xc",O972-TableauCB[[#This Row],[Débit]]+TableauCB[[#This Row],[Crédit]],O972-TableauCB[[#This Row],[Débit]])</f>
        <v>4562.7899999999954</v>
      </c>
      <c r="P973" s="27">
        <f>IF(AND(ISBLANK(TableauCB[[#This Row],[Débit]]),ISBLANK(TableauCB[[#This Row],[Crédit]])),"",P972+TableauCB[[#This Row],[Crédit]]-TableauCB[[#This Row],[Débit]])</f>
        <v>6849.1760000000068</v>
      </c>
      <c r="Q973" s="26"/>
      <c r="R973" s="25"/>
      <c r="S973" s="25"/>
      <c r="T973" s="24"/>
      <c r="U973" s="24"/>
      <c r="V973" s="9"/>
      <c r="W973" s="2"/>
      <c r="X973" s="9"/>
      <c r="Y973" s="8"/>
      <c r="Z973" s="7"/>
      <c r="AA973" s="7"/>
      <c r="AB973" s="6"/>
    </row>
    <row r="974" spans="2:28" ht="30" customHeight="1">
      <c r="B974" s="35" t="str">
        <f>IF(MONTH(F973)&lt;&gt;MONTH(TableauCB[[#This Row],[Date d''éxigibilité]]),(TableauCB[[#This Row],[Date d''éxigibilité]]),"")</f>
        <v/>
      </c>
      <c r="C974" s="11" t="s">
        <v>33</v>
      </c>
      <c r="D974" s="11" t="s">
        <v>17</v>
      </c>
      <c r="E974" s="11" t="s">
        <v>18</v>
      </c>
      <c r="F974" s="34">
        <v>42787</v>
      </c>
      <c r="G974"/>
      <c r="H974"/>
      <c r="I974" s="32">
        <v>42781</v>
      </c>
      <c r="J974"/>
      <c r="K974" s="31">
        <v>42781</v>
      </c>
      <c r="L974" s="30">
        <v>45.6</v>
      </c>
      <c r="M974" s="29"/>
      <c r="N974" s="28">
        <f>IF(OR(TableauCB[[#This Row],[Etat]]="",TableauCB[[#This Row],[Etat]]="c"),IF(TableauCB[[#This Row],[Solde]]="","",N973),N973-TableauCB[[#This Row],[Débit]]+TableauCB[[#This Row],[Crédit]])</f>
        <v>6224.3360000000048</v>
      </c>
      <c r="O974" s="27">
        <f>IF(TableauCB[[#This Row],[Etat]]="xc",O973-TableauCB[[#This Row],[Débit]]+TableauCB[[#This Row],[Crédit]],O973-TableauCB[[#This Row],[Débit]])</f>
        <v>4517.1899999999951</v>
      </c>
      <c r="P974" s="27">
        <f>IF(AND(ISBLANK(TableauCB[[#This Row],[Débit]]),ISBLANK(TableauCB[[#This Row],[Crédit]])),"",P973+TableauCB[[#This Row],[Crédit]]-TableauCB[[#This Row],[Débit]])</f>
        <v>6803.5760000000064</v>
      </c>
      <c r="Q974" s="26"/>
      <c r="R974" s="4"/>
      <c r="S974" s="4"/>
      <c r="T974" s="24"/>
      <c r="U974" s="24"/>
      <c r="V974" s="9"/>
      <c r="W974" s="2"/>
      <c r="X974" s="9"/>
      <c r="Y974" s="8"/>
      <c r="Z974" s="7"/>
      <c r="AA974" s="7"/>
      <c r="AB974" s="6"/>
    </row>
    <row r="975" spans="2:28" ht="30" customHeight="1">
      <c r="B975" s="35" t="str">
        <f>IF(MONTH(F974)&lt;&gt;MONTH(TableauCB[[#This Row],[Date d''éxigibilité]]),(TableauCB[[#This Row],[Date d''éxigibilité]]),"")</f>
        <v/>
      </c>
      <c r="C975" s="11"/>
      <c r="D975" s="11" t="s">
        <v>11</v>
      </c>
      <c r="E975" s="11" t="s">
        <v>10</v>
      </c>
      <c r="F975" s="34">
        <v>42794</v>
      </c>
      <c r="G975"/>
      <c r="H975"/>
      <c r="I975" s="32"/>
      <c r="J975"/>
      <c r="K975" s="31"/>
      <c r="L975" s="30"/>
      <c r="M975" s="29">
        <v>108</v>
      </c>
      <c r="N975" s="28">
        <f>IF(OR(TableauCB[[#This Row],[Etat]]="",TableauCB[[#This Row],[Etat]]="c"),IF(TableauCB[[#This Row],[Solde]]="","",N974),N974-TableauCB[[#This Row],[Débit]]+TableauCB[[#This Row],[Crédit]])</f>
        <v>6224.3360000000048</v>
      </c>
      <c r="O975" s="27">
        <f>IF(TableauCB[[#This Row],[Etat]]="xc",O974-TableauCB[[#This Row],[Débit]]+TableauCB[[#This Row],[Crédit]],O974-TableauCB[[#This Row],[Débit]])</f>
        <v>4517.1899999999951</v>
      </c>
      <c r="P975" s="27">
        <f>IF(AND(ISBLANK(TableauCB[[#This Row],[Débit]]),ISBLANK(TableauCB[[#This Row],[Crédit]])),"",P974+TableauCB[[#This Row],[Crédit]]-TableauCB[[#This Row],[Débit]])</f>
        <v>6911.5760000000064</v>
      </c>
      <c r="Q975" s="26"/>
      <c r="R975" s="4"/>
      <c r="S975" s="4"/>
      <c r="T975" s="24"/>
      <c r="U975" s="24"/>
      <c r="V975" s="9"/>
      <c r="W975" s="2"/>
      <c r="X975" s="9"/>
      <c r="Y975" s="8"/>
      <c r="Z975" s="7"/>
      <c r="AA975" s="7"/>
      <c r="AB975" s="6"/>
    </row>
    <row r="976" spans="2:28" ht="30" customHeight="1">
      <c r="B976" s="35" t="str">
        <f>IF(MONTH(F975)&lt;&gt;MONTH(TableauCB[[#This Row],[Date d''éxigibilité]]),(TableauCB[[#This Row],[Date d''éxigibilité]]),"")</f>
        <v/>
      </c>
      <c r="C976" s="11"/>
      <c r="D976" s="11" t="s">
        <v>11</v>
      </c>
      <c r="E976" s="11" t="s">
        <v>10</v>
      </c>
      <c r="F976" s="34">
        <v>42794</v>
      </c>
      <c r="G976"/>
      <c r="H976"/>
      <c r="I976" s="32"/>
      <c r="J976"/>
      <c r="K976" s="31"/>
      <c r="L976" s="30"/>
      <c r="M976" s="29">
        <v>198</v>
      </c>
      <c r="N976" s="28">
        <f>IF(OR(TableauCB[[#This Row],[Etat]]="",TableauCB[[#This Row],[Etat]]="c"),IF(TableauCB[[#This Row],[Solde]]="","",N975),N975-TableauCB[[#This Row],[Débit]]+TableauCB[[#This Row],[Crédit]])</f>
        <v>6224.3360000000048</v>
      </c>
      <c r="O976" s="27">
        <f>IF(TableauCB[[#This Row],[Etat]]="xc",O975-TableauCB[[#This Row],[Débit]]+TableauCB[[#This Row],[Crédit]],O975-TableauCB[[#This Row],[Débit]])</f>
        <v>4517.1899999999951</v>
      </c>
      <c r="P976" s="27">
        <f>IF(AND(ISBLANK(TableauCB[[#This Row],[Débit]]),ISBLANK(TableauCB[[#This Row],[Crédit]])),"",P975+TableauCB[[#This Row],[Crédit]]-TableauCB[[#This Row],[Débit]])</f>
        <v>7109.5760000000064</v>
      </c>
      <c r="Q976" s="26"/>
      <c r="R976" s="4"/>
      <c r="S976" s="4"/>
      <c r="T976" s="24"/>
      <c r="U976" s="24"/>
      <c r="V976" s="9"/>
      <c r="W976" s="2"/>
      <c r="X976" s="9"/>
      <c r="Y976" s="8"/>
      <c r="Z976" s="7"/>
      <c r="AA976" s="7"/>
      <c r="AB976" s="6"/>
    </row>
    <row r="977" spans="2:28" ht="30" customHeight="1">
      <c r="B977" s="35" t="str">
        <f>IF(MONTH(F976)&lt;&gt;MONTH(TableauCB[[#This Row],[Date d''éxigibilité]]),(TableauCB[[#This Row],[Date d''éxigibilité]]),"")</f>
        <v/>
      </c>
      <c r="C977" s="11"/>
      <c r="D977" s="11" t="s">
        <v>11</v>
      </c>
      <c r="E977" s="11" t="s">
        <v>10</v>
      </c>
      <c r="F977" s="34">
        <v>42794</v>
      </c>
      <c r="G977"/>
      <c r="H977"/>
      <c r="I977" s="32"/>
      <c r="J977"/>
      <c r="K977" s="31"/>
      <c r="L977" s="30"/>
      <c r="M977" s="29">
        <f>151.8</f>
        <v>151.80000000000001</v>
      </c>
      <c r="N977" s="28">
        <f>IF(OR(TableauCB[[#This Row],[Etat]]="",TableauCB[[#This Row],[Etat]]="c"),IF(TableauCB[[#This Row],[Solde]]="","",N976),N976-TableauCB[[#This Row],[Débit]]+TableauCB[[#This Row],[Crédit]])</f>
        <v>6224.3360000000048</v>
      </c>
      <c r="O977" s="27">
        <f>IF(TableauCB[[#This Row],[Etat]]="xc",O976-TableauCB[[#This Row],[Débit]]+TableauCB[[#This Row],[Crédit]],O976-TableauCB[[#This Row],[Débit]])</f>
        <v>4517.1899999999951</v>
      </c>
      <c r="P977" s="27">
        <f>IF(AND(ISBLANK(TableauCB[[#This Row],[Débit]]),ISBLANK(TableauCB[[#This Row],[Crédit]])),"",P976+TableauCB[[#This Row],[Crédit]]-TableauCB[[#This Row],[Débit]])</f>
        <v>7261.3760000000066</v>
      </c>
      <c r="Q977" s="26"/>
      <c r="R977" s="4"/>
      <c r="S977" s="4"/>
      <c r="T977" s="24"/>
      <c r="U977" s="24"/>
      <c r="V977" s="9"/>
      <c r="W977" s="2"/>
      <c r="X977" s="9"/>
      <c r="Y977" s="8"/>
      <c r="Z977" s="7"/>
      <c r="AA977" s="7"/>
      <c r="AB977" s="6"/>
    </row>
    <row r="978" spans="2:28" ht="30" customHeight="1">
      <c r="B978" s="35" t="str">
        <f>IF(MONTH(F977)&lt;&gt;MONTH(TableauCB[[#This Row],[Date d''éxigibilité]]),(TableauCB[[#This Row],[Date d''éxigibilité]]),"")</f>
        <v/>
      </c>
      <c r="C978" s="11"/>
      <c r="D978" s="11" t="s">
        <v>11</v>
      </c>
      <c r="E978" s="11" t="s">
        <v>12</v>
      </c>
      <c r="F978" s="34">
        <v>42794</v>
      </c>
      <c r="G978"/>
      <c r="H978"/>
      <c r="I978" s="32"/>
      <c r="J978"/>
      <c r="K978" s="31"/>
      <c r="L978" s="30"/>
      <c r="M978" s="29">
        <v>522</v>
      </c>
      <c r="N978" s="28">
        <f>IF(OR(TableauCB[[#This Row],[Etat]]="",TableauCB[[#This Row],[Etat]]="c"),IF(TableauCB[[#This Row],[Solde]]="","",N977),N977-TableauCB[[#This Row],[Débit]]+TableauCB[[#This Row],[Crédit]])</f>
        <v>6224.3360000000048</v>
      </c>
      <c r="O978" s="27">
        <f>IF(TableauCB[[#This Row],[Etat]]="xc",O977-TableauCB[[#This Row],[Débit]]+TableauCB[[#This Row],[Crédit]],O977-TableauCB[[#This Row],[Débit]])</f>
        <v>4517.1899999999951</v>
      </c>
      <c r="P978" s="27">
        <f>IF(AND(ISBLANK(TableauCB[[#This Row],[Débit]]),ISBLANK(TableauCB[[#This Row],[Crédit]])),"",P977+TableauCB[[#This Row],[Crédit]]-TableauCB[[#This Row],[Débit]])</f>
        <v>7783.3760000000066</v>
      </c>
      <c r="Q978" s="26"/>
      <c r="R978" s="4"/>
      <c r="S978" s="4"/>
      <c r="T978" s="24"/>
      <c r="U978" s="24"/>
      <c r="V978" s="9"/>
      <c r="W978" s="2"/>
      <c r="X978" s="9"/>
      <c r="Y978" s="8"/>
      <c r="Z978" s="7"/>
      <c r="AA978" s="7"/>
      <c r="AB978" s="6"/>
    </row>
    <row r="979" spans="2:28" ht="30" customHeight="1">
      <c r="B979" s="35" t="str">
        <f>IF(MONTH(F978)&lt;&gt;MONTH(TableauCB[[#This Row],[Date d''éxigibilité]]),(TableauCB[[#This Row],[Date d''éxigibilité]]),"")</f>
        <v/>
      </c>
      <c r="C979" s="11"/>
      <c r="D979" s="11" t="s">
        <v>11</v>
      </c>
      <c r="E979" s="11" t="s">
        <v>10</v>
      </c>
      <c r="F979" s="34">
        <v>42794</v>
      </c>
      <c r="G979"/>
      <c r="H979"/>
      <c r="I979" s="32"/>
      <c r="J979"/>
      <c r="K979" s="31"/>
      <c r="L979" s="30"/>
      <c r="M979" s="29">
        <v>240</v>
      </c>
      <c r="N979" s="28">
        <f>IF(OR(TableauCB[[#This Row],[Etat]]="",TableauCB[[#This Row],[Etat]]="c"),IF(TableauCB[[#This Row],[Solde]]="","",N978),N978-TableauCB[[#This Row],[Débit]]+TableauCB[[#This Row],[Crédit]])</f>
        <v>6224.3360000000048</v>
      </c>
      <c r="O979" s="27">
        <f>IF(TableauCB[[#This Row],[Etat]]="xc",O978-TableauCB[[#This Row],[Débit]]+TableauCB[[#This Row],[Crédit]],O978-TableauCB[[#This Row],[Débit]])</f>
        <v>4517.1899999999951</v>
      </c>
      <c r="P979" s="27">
        <f>IF(AND(ISBLANK(TableauCB[[#This Row],[Débit]]),ISBLANK(TableauCB[[#This Row],[Crédit]])),"",P978+TableauCB[[#This Row],[Crédit]]-TableauCB[[#This Row],[Débit]])</f>
        <v>8023.3760000000066</v>
      </c>
      <c r="Q979" s="26"/>
      <c r="R979" s="4"/>
      <c r="S979" s="39"/>
      <c r="T979" s="24"/>
      <c r="U979" s="24"/>
      <c r="V979" s="9"/>
      <c r="W979" s="2"/>
      <c r="X979" s="9"/>
      <c r="Y979" s="8"/>
      <c r="Z979" s="7"/>
      <c r="AA979" s="7"/>
      <c r="AB979" s="6"/>
    </row>
    <row r="980" spans="2:28" ht="30" customHeight="1">
      <c r="B980" s="35" t="str">
        <f>IF(MONTH(F979)&lt;&gt;MONTH(TableauCB[[#This Row],[Date d''éxigibilité]]),(TableauCB[[#This Row],[Date d''éxigibilité]]),"")</f>
        <v/>
      </c>
      <c r="C980" s="11"/>
      <c r="D980" s="11" t="s">
        <v>11</v>
      </c>
      <c r="E980" s="11" t="s">
        <v>10</v>
      </c>
      <c r="F980" s="34">
        <v>42794</v>
      </c>
      <c r="G980"/>
      <c r="H980"/>
      <c r="I980" s="32"/>
      <c r="J980"/>
      <c r="K980" s="31"/>
      <c r="L980" s="30"/>
      <c r="M980" s="29">
        <v>624</v>
      </c>
      <c r="N980" s="28">
        <f>IF(OR(TableauCB[[#This Row],[Etat]]="",TableauCB[[#This Row],[Etat]]="c"),IF(TableauCB[[#This Row],[Solde]]="","",N979),N979-TableauCB[[#This Row],[Débit]]+TableauCB[[#This Row],[Crédit]])</f>
        <v>6224.3360000000048</v>
      </c>
      <c r="O980" s="27">
        <f>IF(TableauCB[[#This Row],[Etat]]="xc",O979-TableauCB[[#This Row],[Débit]]+TableauCB[[#This Row],[Crédit]],O979-TableauCB[[#This Row],[Débit]])</f>
        <v>4517.1899999999951</v>
      </c>
      <c r="P980" s="27">
        <f>IF(AND(ISBLANK(TableauCB[[#This Row],[Débit]]),ISBLANK(TableauCB[[#This Row],[Crédit]])),"",P979+TableauCB[[#This Row],[Crédit]]-TableauCB[[#This Row],[Débit]])</f>
        <v>8647.3760000000075</v>
      </c>
      <c r="Q980" s="26"/>
      <c r="R980" s="4"/>
      <c r="S980" s="4"/>
      <c r="T980" s="24"/>
      <c r="U980" s="40"/>
      <c r="V980" s="9"/>
      <c r="W980" s="2"/>
      <c r="X980" s="9"/>
      <c r="Y980" s="8"/>
      <c r="Z980" s="7"/>
      <c r="AA980" s="7"/>
      <c r="AB980" s="6"/>
    </row>
    <row r="981" spans="2:28" ht="30" customHeight="1">
      <c r="B981" s="35" t="str">
        <f>IF(MONTH(F980)&lt;&gt;MONTH(TableauCB[[#This Row],[Date d''éxigibilité]]),(TableauCB[[#This Row],[Date d''éxigibilité]]),"")</f>
        <v/>
      </c>
      <c r="C981" s="11"/>
      <c r="D981" s="11" t="s">
        <v>11</v>
      </c>
      <c r="E981" s="11" t="s">
        <v>12</v>
      </c>
      <c r="F981" s="34">
        <v>42794</v>
      </c>
      <c r="G981"/>
      <c r="H981"/>
      <c r="I981" s="32"/>
      <c r="J981"/>
      <c r="K981" s="31"/>
      <c r="L981" s="30"/>
      <c r="M981" s="29">
        <v>117.5</v>
      </c>
      <c r="N981" s="28">
        <f>IF(OR(TableauCB[[#This Row],[Etat]]="",TableauCB[[#This Row],[Etat]]="c"),IF(TableauCB[[#This Row],[Solde]]="","",N980),N980-TableauCB[[#This Row],[Débit]]+TableauCB[[#This Row],[Crédit]])</f>
        <v>6224.3360000000048</v>
      </c>
      <c r="O981" s="27">
        <f>IF(TableauCB[[#This Row],[Etat]]="xc",O980-TableauCB[[#This Row],[Débit]]+TableauCB[[#This Row],[Crédit]],O980-TableauCB[[#This Row],[Débit]])</f>
        <v>4517.1899999999951</v>
      </c>
      <c r="P981" s="27">
        <f>IF(AND(ISBLANK(TableauCB[[#This Row],[Débit]]),ISBLANK(TableauCB[[#This Row],[Crédit]])),"",P980+TableauCB[[#This Row],[Crédit]]-TableauCB[[#This Row],[Débit]])</f>
        <v>8764.8760000000075</v>
      </c>
      <c r="Q981" s="26"/>
      <c r="R981" s="4"/>
      <c r="S981" s="4"/>
      <c r="T981" s="24"/>
      <c r="U981" s="40"/>
      <c r="V981" s="9"/>
      <c r="W981" s="2"/>
      <c r="X981" s="9"/>
      <c r="Y981" s="8"/>
      <c r="Z981" s="7"/>
      <c r="AA981" s="7"/>
      <c r="AB981" s="6"/>
    </row>
    <row r="982" spans="2:28" ht="30" customHeight="1">
      <c r="B982" s="35" t="str">
        <f>IF(MONTH(F981)&lt;&gt;MONTH(TableauCB[[#This Row],[Date d''éxigibilité]]),(TableauCB[[#This Row],[Date d''éxigibilité]]),"")</f>
        <v/>
      </c>
      <c r="C982" s="11"/>
      <c r="D982" s="11" t="s">
        <v>11</v>
      </c>
      <c r="E982" s="11" t="s">
        <v>10</v>
      </c>
      <c r="F982" s="34">
        <v>42794</v>
      </c>
      <c r="G982"/>
      <c r="H982"/>
      <c r="I982" s="32"/>
      <c r="J982"/>
      <c r="K982" s="31"/>
      <c r="L982" s="30"/>
      <c r="M982" s="29">
        <v>510</v>
      </c>
      <c r="N982" s="28">
        <f>IF(OR(TableauCB[[#This Row],[Etat]]="",TableauCB[[#This Row],[Etat]]="c"),IF(TableauCB[[#This Row],[Solde]]="","",N981),N981-TableauCB[[#This Row],[Débit]]+TableauCB[[#This Row],[Crédit]])</f>
        <v>6224.3360000000048</v>
      </c>
      <c r="O982" s="27">
        <f>IF(TableauCB[[#This Row],[Etat]]="xc",O981-TableauCB[[#This Row],[Débit]]+TableauCB[[#This Row],[Crédit]],O981-TableauCB[[#This Row],[Débit]])</f>
        <v>4517.1899999999951</v>
      </c>
      <c r="P982" s="27">
        <f>IF(AND(ISBLANK(TableauCB[[#This Row],[Débit]]),ISBLANK(TableauCB[[#This Row],[Crédit]])),"",P981+TableauCB[[#This Row],[Crédit]]-TableauCB[[#This Row],[Débit]])</f>
        <v>9274.8760000000075</v>
      </c>
      <c r="Q982" s="26"/>
      <c r="R982" s="4"/>
      <c r="S982" s="4"/>
      <c r="T982" s="24"/>
      <c r="U982" s="24"/>
      <c r="V982" s="9"/>
      <c r="W982" s="2"/>
      <c r="X982" s="9"/>
      <c r="Y982" s="8"/>
      <c r="Z982" s="7"/>
      <c r="AA982" s="7"/>
      <c r="AB982" s="6"/>
    </row>
    <row r="983" spans="2:28" ht="30" customHeight="1">
      <c r="B983" s="35" t="str">
        <f>IF(MONTH(F982)&lt;&gt;MONTH(TableauCB[[#This Row],[Date d''éxigibilité]]),(TableauCB[[#This Row],[Date d''éxigibilité]]),"")</f>
        <v/>
      </c>
      <c r="C983" s="11"/>
      <c r="D983" s="11" t="s">
        <v>11</v>
      </c>
      <c r="E983" s="11" t="s">
        <v>10</v>
      </c>
      <c r="F983" s="34">
        <v>42794</v>
      </c>
      <c r="G983"/>
      <c r="H983"/>
      <c r="I983" s="32"/>
      <c r="J983"/>
      <c r="K983" s="31"/>
      <c r="L983" s="30"/>
      <c r="M983" s="29">
        <v>228</v>
      </c>
      <c r="N983" s="28">
        <f>IF(OR(TableauCB[[#This Row],[Etat]]="",TableauCB[[#This Row],[Etat]]="c"),IF(TableauCB[[#This Row],[Solde]]="","",N982),N982-TableauCB[[#This Row],[Débit]]+TableauCB[[#This Row],[Crédit]])</f>
        <v>6224.3360000000048</v>
      </c>
      <c r="O983" s="27">
        <f>IF(TableauCB[[#This Row],[Etat]]="xc",O982-TableauCB[[#This Row],[Débit]]+TableauCB[[#This Row],[Crédit]],O982-TableauCB[[#This Row],[Débit]])</f>
        <v>4517.1899999999951</v>
      </c>
      <c r="P983" s="27">
        <f>IF(AND(ISBLANK(TableauCB[[#This Row],[Débit]]),ISBLANK(TableauCB[[#This Row],[Crédit]])),"",P982+TableauCB[[#This Row],[Crédit]]-TableauCB[[#This Row],[Débit]])</f>
        <v>9502.8760000000075</v>
      </c>
      <c r="Q983" s="26"/>
      <c r="R983" s="4"/>
      <c r="S983" s="4"/>
      <c r="T983" s="24"/>
      <c r="U983" s="24"/>
      <c r="V983" s="9"/>
      <c r="W983" s="2"/>
      <c r="X983" s="9"/>
      <c r="Y983" s="8"/>
      <c r="Z983" s="7"/>
      <c r="AA983" s="7"/>
      <c r="AB983" s="6"/>
    </row>
    <row r="984" spans="2:28" ht="30" customHeight="1">
      <c r="B984" s="35" t="str">
        <f>IF(MONTH(F983)&lt;&gt;MONTH(TableauCB[[#This Row],[Date d''éxigibilité]]),(TableauCB[[#This Row],[Date d''éxigibilité]]),"")</f>
        <v/>
      </c>
      <c r="C984" s="11"/>
      <c r="D984" s="11" t="s">
        <v>11</v>
      </c>
      <c r="E984" s="11" t="s">
        <v>10</v>
      </c>
      <c r="F984" s="34">
        <v>42794</v>
      </c>
      <c r="G984"/>
      <c r="H984"/>
      <c r="I984" s="32"/>
      <c r="J984"/>
      <c r="K984" s="31"/>
      <c r="L984" s="30"/>
      <c r="M984" s="29">
        <v>96</v>
      </c>
      <c r="N984" s="28">
        <f>IF(OR(TableauCB[[#This Row],[Etat]]="",TableauCB[[#This Row],[Etat]]="c"),IF(TableauCB[[#This Row],[Solde]]="","",N983),N983-TableauCB[[#This Row],[Débit]]+TableauCB[[#This Row],[Crédit]])</f>
        <v>6224.3360000000048</v>
      </c>
      <c r="O984" s="27">
        <f>IF(TableauCB[[#This Row],[Etat]]="xc",O983-TableauCB[[#This Row],[Débit]]+TableauCB[[#This Row],[Crédit]],O983-TableauCB[[#This Row],[Débit]])</f>
        <v>4517.1899999999951</v>
      </c>
      <c r="P984" s="27">
        <f>IF(AND(ISBLANK(TableauCB[[#This Row],[Débit]]),ISBLANK(TableauCB[[#This Row],[Crédit]])),"",P983+TableauCB[[#This Row],[Crédit]]-TableauCB[[#This Row],[Débit]])</f>
        <v>9598.8760000000075</v>
      </c>
      <c r="Q984" s="26"/>
      <c r="R984" s="4"/>
      <c r="S984" s="4"/>
      <c r="T984" s="24"/>
      <c r="U984" s="24"/>
      <c r="V984" s="9"/>
      <c r="W984" s="2"/>
      <c r="X984" s="9"/>
      <c r="Y984" s="8"/>
      <c r="Z984" s="7"/>
      <c r="AA984" s="7"/>
      <c r="AB984" s="6"/>
    </row>
    <row r="985" spans="2:28" ht="30" customHeight="1">
      <c r="B985" s="35" t="str">
        <f>IF(MONTH(F984)&lt;&gt;MONTH(TableauCB[[#This Row],[Date d''éxigibilité]]),(TableauCB[[#This Row],[Date d''éxigibilité]]),"")</f>
        <v/>
      </c>
      <c r="C985" s="11"/>
      <c r="D985" s="11" t="s">
        <v>9</v>
      </c>
      <c r="E985" s="11" t="s">
        <v>8</v>
      </c>
      <c r="F985" s="34">
        <v>42794</v>
      </c>
      <c r="G985"/>
      <c r="H985"/>
      <c r="I985" s="32"/>
      <c r="J985"/>
      <c r="K985" s="31"/>
      <c r="L985" s="30">
        <v>240</v>
      </c>
      <c r="M985" s="29"/>
      <c r="N985" s="28">
        <f>IF(OR(TableauCB[[#This Row],[Etat]]="",TableauCB[[#This Row],[Etat]]="c"),IF(TableauCB[[#This Row],[Solde]]="","",N984),N984-TableauCB[[#This Row],[Débit]]+TableauCB[[#This Row],[Crédit]])</f>
        <v>6224.3360000000048</v>
      </c>
      <c r="O985" s="27">
        <f>IF(TableauCB[[#This Row],[Etat]]="xc",O984-TableauCB[[#This Row],[Débit]]+TableauCB[[#This Row],[Crédit]],O984-TableauCB[[#This Row],[Débit]])</f>
        <v>4277.1899999999951</v>
      </c>
      <c r="P985" s="27">
        <f>IF(AND(ISBLANK(TableauCB[[#This Row],[Débit]]),ISBLANK(TableauCB[[#This Row],[Crédit]])),"",P984+TableauCB[[#This Row],[Crédit]]-TableauCB[[#This Row],[Débit]])</f>
        <v>9358.8760000000075</v>
      </c>
      <c r="Q985" s="26"/>
      <c r="R985" s="4"/>
      <c r="S985" s="4"/>
      <c r="T985" s="24"/>
      <c r="U985" s="24"/>
      <c r="V985" s="9"/>
      <c r="W985" s="2"/>
      <c r="X985" s="9"/>
      <c r="Y985" s="8"/>
      <c r="Z985" s="7"/>
      <c r="AA985" s="7"/>
      <c r="AB985" s="6"/>
    </row>
    <row r="986" spans="2:28" ht="30" customHeight="1">
      <c r="B986" s="35" t="str">
        <f>IF(MONTH(F985)&lt;&gt;MONTH(TableauCB[[#This Row],[Date d''éxigibilité]]),(TableauCB[[#This Row],[Date d''éxigibilité]]),"")</f>
        <v/>
      </c>
      <c r="C986" s="11"/>
      <c r="D986" s="11" t="s">
        <v>5</v>
      </c>
      <c r="E986" s="11" t="s">
        <v>7</v>
      </c>
      <c r="F986" s="34">
        <v>42794</v>
      </c>
      <c r="G986"/>
      <c r="H986"/>
      <c r="I986" s="32"/>
      <c r="J986"/>
      <c r="K986" s="31"/>
      <c r="L986" s="30">
        <v>600</v>
      </c>
      <c r="M986" s="29"/>
      <c r="N986" s="28">
        <f>IF(OR(TableauCB[[#This Row],[Etat]]="",TableauCB[[#This Row],[Etat]]="c"),IF(TableauCB[[#This Row],[Solde]]="","",N985),N985-TableauCB[[#This Row],[Débit]]+TableauCB[[#This Row],[Crédit]])</f>
        <v>6224.3360000000048</v>
      </c>
      <c r="O986" s="27">
        <f>IF(TableauCB[[#This Row],[Etat]]="xc",O985-TableauCB[[#This Row],[Débit]]+TableauCB[[#This Row],[Crédit]],O985-TableauCB[[#This Row],[Débit]])</f>
        <v>3677.1899999999951</v>
      </c>
      <c r="P986" s="27">
        <f>IF(AND(ISBLANK(TableauCB[[#This Row],[Débit]]),ISBLANK(TableauCB[[#This Row],[Crédit]])),"",P985+TableauCB[[#This Row],[Crédit]]-TableauCB[[#This Row],[Débit]])</f>
        <v>8758.8760000000075</v>
      </c>
      <c r="Q986" s="26"/>
      <c r="R986" s="4"/>
      <c r="S986" s="4"/>
      <c r="T986" s="24"/>
      <c r="U986" s="24"/>
      <c r="V986" s="9"/>
      <c r="W986" s="2"/>
      <c r="X986" s="9"/>
      <c r="Y986" s="8"/>
      <c r="Z986" s="7"/>
      <c r="AA986" s="7"/>
      <c r="AB986" s="6"/>
    </row>
    <row r="987" spans="2:28" ht="30" customHeight="1">
      <c r="B987" s="35" t="str">
        <f>IF(MONTH(F986)&lt;&gt;MONTH(TableauCB[[#This Row],[Date d''éxigibilité]]),(TableauCB[[#This Row],[Date d''éxigibilité]]),"")</f>
        <v/>
      </c>
      <c r="C987" s="11"/>
      <c r="D987" s="11" t="s">
        <v>5</v>
      </c>
      <c r="E987" s="11" t="s">
        <v>6</v>
      </c>
      <c r="F987" s="34">
        <v>42794</v>
      </c>
      <c r="G987"/>
      <c r="H987"/>
      <c r="I987" s="32"/>
      <c r="J987"/>
      <c r="K987" s="31"/>
      <c r="L987" s="30">
        <v>291.3</v>
      </c>
      <c r="M987" s="29"/>
      <c r="N987" s="28">
        <f>IF(OR(TableauCB[[#This Row],[Etat]]="",TableauCB[[#This Row],[Etat]]="c"),IF(TableauCB[[#This Row],[Solde]]="","",N986),N986-TableauCB[[#This Row],[Débit]]+TableauCB[[#This Row],[Crédit]])</f>
        <v>6224.3360000000048</v>
      </c>
      <c r="O987" s="27">
        <f>IF(TableauCB[[#This Row],[Etat]]="xc",O986-TableauCB[[#This Row],[Débit]]+TableauCB[[#This Row],[Crédit]],O986-TableauCB[[#This Row],[Débit]])</f>
        <v>3385.8899999999949</v>
      </c>
      <c r="P987" s="27">
        <f>IF(AND(ISBLANK(TableauCB[[#This Row],[Débit]]),ISBLANK(TableauCB[[#This Row],[Crédit]])),"",P986+TableauCB[[#This Row],[Crédit]]-TableauCB[[#This Row],[Débit]])</f>
        <v>8467.5760000000082</v>
      </c>
      <c r="Q987" s="26"/>
      <c r="R987" s="4"/>
      <c r="S987" s="4"/>
      <c r="T987" s="37"/>
      <c r="U987" s="37"/>
      <c r="V987" s="9"/>
      <c r="W987" s="2"/>
      <c r="X987" s="9"/>
      <c r="Y987" s="8"/>
      <c r="Z987" s="7"/>
      <c r="AA987" s="7"/>
      <c r="AB987" s="6"/>
    </row>
    <row r="988" spans="2:28" ht="30" customHeight="1">
      <c r="B988" s="35" t="str">
        <f>IF(MONTH(F987)&lt;&gt;MONTH(TableauCB[[#This Row],[Date d''éxigibilité]]),(TableauCB[[#This Row],[Date d''éxigibilité]]),"")</f>
        <v/>
      </c>
      <c r="C988" s="11"/>
      <c r="D988" s="11" t="s">
        <v>11</v>
      </c>
      <c r="E988" s="11" t="s">
        <v>10</v>
      </c>
      <c r="F988" s="34">
        <v>42794</v>
      </c>
      <c r="G988"/>
      <c r="H988"/>
      <c r="I988" s="32"/>
      <c r="J988"/>
      <c r="K988" s="31"/>
      <c r="L988" s="30"/>
      <c r="M988" s="29">
        <v>504</v>
      </c>
      <c r="N988" s="28">
        <f>IF(OR(TableauCB[[#This Row],[Etat]]="",TableauCB[[#This Row],[Etat]]="c"),IF(TableauCB[[#This Row],[Solde]]="","",N987),N987-TableauCB[[#This Row],[Débit]]+TableauCB[[#This Row],[Crédit]])</f>
        <v>6224.3360000000048</v>
      </c>
      <c r="O988" s="27">
        <f>IF(TableauCB[[#This Row],[Etat]]="xc",O987-TableauCB[[#This Row],[Débit]]+TableauCB[[#This Row],[Crédit]],O987-TableauCB[[#This Row],[Débit]])</f>
        <v>3385.8899999999949</v>
      </c>
      <c r="P988" s="27">
        <f>IF(AND(ISBLANK(TableauCB[[#This Row],[Débit]]),ISBLANK(TableauCB[[#This Row],[Crédit]])),"",P987+TableauCB[[#This Row],[Crédit]]-TableauCB[[#This Row],[Débit]])</f>
        <v>8971.5760000000082</v>
      </c>
      <c r="Q988" s="26"/>
      <c r="R988" s="36"/>
      <c r="S988" s="36"/>
      <c r="T988" s="36"/>
      <c r="U988" s="36"/>
      <c r="V988" s="9"/>
      <c r="W988" s="2"/>
      <c r="X988" s="9"/>
      <c r="Y988" s="8"/>
      <c r="Z988" s="7"/>
      <c r="AA988" s="7"/>
      <c r="AB988" s="6"/>
    </row>
    <row r="989" spans="2:28" ht="30" customHeight="1">
      <c r="B989" s="35" t="str">
        <f>IF(MONTH(F988)&lt;&gt;MONTH(TableauCB[[#This Row],[Date d''éxigibilité]]),(TableauCB[[#This Row],[Date d''éxigibilité]]),"")</f>
        <v/>
      </c>
      <c r="C989" s="11"/>
      <c r="D989" s="11" t="s">
        <v>11</v>
      </c>
      <c r="E989" s="11" t="s">
        <v>12</v>
      </c>
      <c r="F989" s="34">
        <v>42794</v>
      </c>
      <c r="G989"/>
      <c r="H989"/>
      <c r="I989" s="32"/>
      <c r="J989"/>
      <c r="K989" s="31"/>
      <c r="L989" s="30"/>
      <c r="M989" s="29">
        <v>180</v>
      </c>
      <c r="N989" s="28">
        <f>IF(OR(TableauCB[[#This Row],[Etat]]="",TableauCB[[#This Row],[Etat]]="c"),IF(TableauCB[[#This Row],[Solde]]="","",N988),N988-TableauCB[[#This Row],[Débit]]+TableauCB[[#This Row],[Crédit]])</f>
        <v>6224.3360000000048</v>
      </c>
      <c r="O989" s="27">
        <f>IF(TableauCB[[#This Row],[Etat]]="xc",O988-TableauCB[[#This Row],[Débit]]+TableauCB[[#This Row],[Crédit]],O988-TableauCB[[#This Row],[Débit]])</f>
        <v>3385.8899999999949</v>
      </c>
      <c r="P989" s="27">
        <f>IF(AND(ISBLANK(TableauCB[[#This Row],[Débit]]),ISBLANK(TableauCB[[#This Row],[Crédit]])),"",P988+TableauCB[[#This Row],[Crédit]]-TableauCB[[#This Row],[Débit]])</f>
        <v>9151.5760000000082</v>
      </c>
      <c r="Q989" s="26"/>
      <c r="R989" s="25"/>
      <c r="S989" s="25"/>
      <c r="T989" s="24"/>
      <c r="U989" s="24"/>
      <c r="V989" s="9"/>
      <c r="W989" s="2"/>
      <c r="X989" s="9"/>
      <c r="Y989" s="8"/>
      <c r="Z989" s="7"/>
      <c r="AA989" s="7"/>
      <c r="AB989" s="6"/>
    </row>
    <row r="990" spans="2:28" ht="30" customHeight="1">
      <c r="B990" s="35" t="str">
        <f>IF(MONTH(F989)&lt;&gt;MONTH(TableauCB[[#This Row],[Date d''éxigibilité]]),(TableauCB[[#This Row],[Date d''éxigibilité]]),"")</f>
        <v/>
      </c>
      <c r="C990" s="11"/>
      <c r="D990" s="11" t="s">
        <v>15</v>
      </c>
      <c r="E990" s="11" t="s">
        <v>14</v>
      </c>
      <c r="F990" s="34">
        <v>42794</v>
      </c>
      <c r="G990"/>
      <c r="H990"/>
      <c r="I990" s="32"/>
      <c r="J990"/>
      <c r="K990" s="31"/>
      <c r="L990" s="30">
        <v>210</v>
      </c>
      <c r="M990" s="29"/>
      <c r="N990" s="28">
        <f>IF(OR(TableauCB[[#This Row],[Etat]]="",TableauCB[[#This Row],[Etat]]="c"),IF(TableauCB[[#This Row],[Solde]]="","",N989),N989-TableauCB[[#This Row],[Débit]]+TableauCB[[#This Row],[Crédit]])</f>
        <v>6224.3360000000048</v>
      </c>
      <c r="O990" s="27">
        <f>IF(TableauCB[[#This Row],[Etat]]="xc",O989-TableauCB[[#This Row],[Débit]]+TableauCB[[#This Row],[Crédit]],O989-TableauCB[[#This Row],[Débit]])</f>
        <v>3175.8899999999949</v>
      </c>
      <c r="P990" s="27">
        <f>IF(AND(ISBLANK(TableauCB[[#This Row],[Débit]]),ISBLANK(TableauCB[[#This Row],[Crédit]])),"",P989+TableauCB[[#This Row],[Crédit]]-TableauCB[[#This Row],[Débit]])</f>
        <v>8941.5760000000082</v>
      </c>
      <c r="Q990" s="26"/>
      <c r="R990" s="4"/>
      <c r="S990" s="39"/>
      <c r="T990" s="4"/>
      <c r="U990" s="4"/>
      <c r="V990" s="9"/>
      <c r="W990" s="2"/>
      <c r="X990" s="9"/>
      <c r="Y990" s="8"/>
      <c r="Z990" s="7"/>
      <c r="AA990" s="7"/>
      <c r="AB990" s="6"/>
    </row>
    <row r="991" spans="2:28" ht="30" customHeight="1">
      <c r="B991" s="35">
        <f>IF(MONTH(F990)&lt;&gt;MONTH(TableauCB[[#This Row],[Date d''éxigibilité]]),(TableauCB[[#This Row],[Date d''éxigibilité]]),"")</f>
        <v>42803</v>
      </c>
      <c r="C991" s="11"/>
      <c r="D991" s="11" t="s">
        <v>22</v>
      </c>
      <c r="E991" s="11" t="s">
        <v>21</v>
      </c>
      <c r="F991" s="34">
        <v>42803</v>
      </c>
      <c r="G991"/>
      <c r="H991"/>
      <c r="I991" s="32"/>
      <c r="J991"/>
      <c r="K991" s="31"/>
      <c r="L991" s="30">
        <v>22.4</v>
      </c>
      <c r="M991" s="29"/>
      <c r="N991" s="28">
        <f>IF(OR(TableauCB[[#This Row],[Etat]]="",TableauCB[[#This Row],[Etat]]="c"),IF(TableauCB[[#This Row],[Solde]]="","",N990),N990-TableauCB[[#This Row],[Débit]]+TableauCB[[#This Row],[Crédit]])</f>
        <v>6224.3360000000048</v>
      </c>
      <c r="O991" s="27">
        <f>IF(TableauCB[[#This Row],[Etat]]="xc",O990-TableauCB[[#This Row],[Débit]]+TableauCB[[#This Row],[Crédit]],O990-TableauCB[[#This Row],[Débit]])</f>
        <v>3153.4899999999948</v>
      </c>
      <c r="P991" s="27">
        <f>IF(AND(ISBLANK(TableauCB[[#This Row],[Débit]]),ISBLANK(TableauCB[[#This Row],[Crédit]])),"",P990+TableauCB[[#This Row],[Crédit]]-TableauCB[[#This Row],[Débit]])</f>
        <v>8919.1760000000086</v>
      </c>
      <c r="Q991" s="26"/>
      <c r="R991" s="4"/>
      <c r="S991" s="4"/>
      <c r="T991" s="24"/>
      <c r="U991" s="24"/>
      <c r="V991" s="9"/>
      <c r="W991" s="2"/>
      <c r="X991" s="9"/>
      <c r="Y991" s="8"/>
      <c r="Z991" s="7"/>
      <c r="AA991" s="7"/>
      <c r="AB991" s="6"/>
    </row>
    <row r="992" spans="2:28" ht="30" customHeight="1">
      <c r="B992" s="35" t="str">
        <f>IF(MONTH(F991)&lt;&gt;MONTH(TableauCB[[#This Row],[Date d''éxigibilité]]),(TableauCB[[#This Row],[Date d''éxigibilité]]),"")</f>
        <v/>
      </c>
      <c r="C992" s="11"/>
      <c r="D992" s="11" t="s">
        <v>15</v>
      </c>
      <c r="E992" s="11" t="s">
        <v>19</v>
      </c>
      <c r="F992" s="34">
        <v>42809</v>
      </c>
      <c r="G992"/>
      <c r="H992"/>
      <c r="I992" s="32"/>
      <c r="J992"/>
      <c r="K992" s="31"/>
      <c r="L992" s="30">
        <v>53</v>
      </c>
      <c r="M992" s="29"/>
      <c r="N992" s="28">
        <f>IF(OR(TableauCB[[#This Row],[Etat]]="",TableauCB[[#This Row],[Etat]]="c"),IF(TableauCB[[#This Row],[Solde]]="","",N991),N991-TableauCB[[#This Row],[Débit]]+TableauCB[[#This Row],[Crédit]])</f>
        <v>6224.3360000000048</v>
      </c>
      <c r="O992" s="27">
        <f>IF(TableauCB[[#This Row],[Etat]]="xc",O991-TableauCB[[#This Row],[Débit]]+TableauCB[[#This Row],[Crédit]],O991-TableauCB[[#This Row],[Débit]])</f>
        <v>3100.4899999999948</v>
      </c>
      <c r="P992" s="27">
        <f>IF(AND(ISBLANK(TableauCB[[#This Row],[Débit]]),ISBLANK(TableauCB[[#This Row],[Crédit]])),"",P991+TableauCB[[#This Row],[Crédit]]-TableauCB[[#This Row],[Débit]])</f>
        <v>8866.1760000000086</v>
      </c>
      <c r="Q992" s="26"/>
      <c r="R992" s="4"/>
      <c r="S992" s="4"/>
      <c r="T992" s="24"/>
      <c r="U992" s="24"/>
      <c r="V992" s="9"/>
      <c r="W992" s="2"/>
      <c r="X992" s="9"/>
      <c r="Y992" s="8"/>
      <c r="Z992" s="7"/>
      <c r="AA992" s="7"/>
      <c r="AB992" s="6"/>
    </row>
    <row r="993" spans="2:28" ht="30" customHeight="1">
      <c r="B993" s="35" t="str">
        <f>IF(MONTH(F992)&lt;&gt;MONTH(TableauCB[[#This Row],[Date d''éxigibilité]]),(TableauCB[[#This Row],[Date d''éxigibilité]]),"")</f>
        <v/>
      </c>
      <c r="C993" s="11"/>
      <c r="D993" s="11" t="s">
        <v>17</v>
      </c>
      <c r="E993" s="11" t="s">
        <v>16</v>
      </c>
      <c r="F993" s="34">
        <v>42814</v>
      </c>
      <c r="G993"/>
      <c r="H993"/>
      <c r="I993" s="32"/>
      <c r="J993"/>
      <c r="K993" s="31"/>
      <c r="L993" s="30">
        <v>3.59</v>
      </c>
      <c r="M993" s="29"/>
      <c r="N993" s="28">
        <f>IF(OR(TableauCB[[#This Row],[Etat]]="",TableauCB[[#This Row],[Etat]]="c"),IF(TableauCB[[#This Row],[Solde]]="","",N992),N992-TableauCB[[#This Row],[Débit]]+TableauCB[[#This Row],[Crédit]])</f>
        <v>6224.3360000000048</v>
      </c>
      <c r="O993" s="27">
        <f>IF(TableauCB[[#This Row],[Etat]]="xc",O992-TableauCB[[#This Row],[Débit]]+TableauCB[[#This Row],[Crédit]],O992-TableauCB[[#This Row],[Débit]])</f>
        <v>3096.8999999999946</v>
      </c>
      <c r="P993" s="27">
        <f>IF(AND(ISBLANK(TableauCB[[#This Row],[Débit]]),ISBLANK(TableauCB[[#This Row],[Crédit]])),"",P992+TableauCB[[#This Row],[Crédit]]-TableauCB[[#This Row],[Débit]])</f>
        <v>8862.5860000000084</v>
      </c>
      <c r="Q993" s="26"/>
      <c r="R993" s="4"/>
      <c r="S993" s="4"/>
      <c r="T993" s="24"/>
      <c r="U993" s="24"/>
      <c r="V993" s="9"/>
      <c r="W993" s="2"/>
      <c r="X993" s="9"/>
      <c r="Y993" s="8"/>
      <c r="Z993" s="7"/>
      <c r="AA993" s="7"/>
      <c r="AB993" s="6"/>
    </row>
    <row r="994" spans="2:28" ht="30" customHeight="1">
      <c r="B994" s="35" t="str">
        <f>IF(MONTH(F993)&lt;&gt;MONTH(TableauCB[[#This Row],[Date d''éxigibilité]]),(TableauCB[[#This Row],[Date d''éxigibilité]]),"")</f>
        <v/>
      </c>
      <c r="C994" s="11"/>
      <c r="D994" s="11" t="s">
        <v>17</v>
      </c>
      <c r="E994" s="11" t="s">
        <v>18</v>
      </c>
      <c r="F994" s="34">
        <v>42815</v>
      </c>
      <c r="G994"/>
      <c r="H994"/>
      <c r="I994" s="32"/>
      <c r="J994"/>
      <c r="K994" s="31"/>
      <c r="L994" s="30">
        <v>45.6</v>
      </c>
      <c r="M994" s="29"/>
      <c r="N994" s="28">
        <f>IF(OR(TableauCB[[#This Row],[Etat]]="",TableauCB[[#This Row],[Etat]]="c"),IF(TableauCB[[#This Row],[Solde]]="","",N993),N993-TableauCB[[#This Row],[Débit]]+TableauCB[[#This Row],[Crédit]])</f>
        <v>6224.3360000000048</v>
      </c>
      <c r="O994" s="27">
        <f>IF(TableauCB[[#This Row],[Etat]]="xc",O993-TableauCB[[#This Row],[Débit]]+TableauCB[[#This Row],[Crédit]],O993-TableauCB[[#This Row],[Débit]])</f>
        <v>3051.2999999999947</v>
      </c>
      <c r="P994" s="27">
        <f>IF(AND(ISBLANK(TableauCB[[#This Row],[Débit]]),ISBLANK(TableauCB[[#This Row],[Crédit]])),"",P993+TableauCB[[#This Row],[Crédit]]-TableauCB[[#This Row],[Débit]])</f>
        <v>8816.9860000000081</v>
      </c>
      <c r="Q994" s="26"/>
      <c r="R994" s="4"/>
      <c r="S994" s="4"/>
      <c r="T994" s="24"/>
      <c r="U994" s="24"/>
      <c r="V994" s="9"/>
      <c r="W994" s="2"/>
      <c r="X994" s="9"/>
      <c r="Y994" s="8"/>
      <c r="Z994" s="7"/>
      <c r="AA994" s="7"/>
      <c r="AB994" s="6"/>
    </row>
    <row r="995" spans="2:28" ht="30" customHeight="1">
      <c r="B995" s="35" t="str">
        <f>IF(MONTH(F994)&lt;&gt;MONTH(TableauCB[[#This Row],[Date d''éxigibilité]]),(TableauCB[[#This Row],[Date d''éxigibilité]]),"")</f>
        <v/>
      </c>
      <c r="C995" s="11"/>
      <c r="D995" s="11" t="s">
        <v>11</v>
      </c>
      <c r="E995" s="11" t="s">
        <v>10</v>
      </c>
      <c r="F995" s="34">
        <v>42824</v>
      </c>
      <c r="G995"/>
      <c r="H995"/>
      <c r="I995" s="32"/>
      <c r="J995"/>
      <c r="K995" s="31"/>
      <c r="L995" s="30"/>
      <c r="M995" s="29">
        <v>198</v>
      </c>
      <c r="N995" s="28">
        <f>IF(OR(TableauCB[[#This Row],[Etat]]="",TableauCB[[#This Row],[Etat]]="c"),IF(TableauCB[[#This Row],[Solde]]="","",N994),N994-TableauCB[[#This Row],[Débit]]+TableauCB[[#This Row],[Crédit]])</f>
        <v>6224.3360000000048</v>
      </c>
      <c r="O995" s="27">
        <f>IF(TableauCB[[#This Row],[Etat]]="xc",O994-TableauCB[[#This Row],[Débit]]+TableauCB[[#This Row],[Crédit]],O994-TableauCB[[#This Row],[Débit]])</f>
        <v>3051.2999999999947</v>
      </c>
      <c r="P995" s="27">
        <f>IF(AND(ISBLANK(TableauCB[[#This Row],[Débit]]),ISBLANK(TableauCB[[#This Row],[Crédit]])),"",P994+TableauCB[[#This Row],[Crédit]]-TableauCB[[#This Row],[Débit]])</f>
        <v>9014.9860000000081</v>
      </c>
      <c r="Q995" s="26"/>
      <c r="R995" s="4"/>
      <c r="S995" s="4"/>
      <c r="T995" s="24"/>
      <c r="U995" s="24"/>
      <c r="V995" s="9"/>
      <c r="W995" s="2"/>
      <c r="X995" s="9"/>
      <c r="Y995" s="8"/>
      <c r="Z995" s="7"/>
      <c r="AA995" s="7"/>
      <c r="AB995" s="6"/>
    </row>
    <row r="996" spans="2:28" ht="30" customHeight="1">
      <c r="B996" s="35" t="str">
        <f>IF(MONTH(F995)&lt;&gt;MONTH(TableauCB[[#This Row],[Date d''éxigibilité]]),(TableauCB[[#This Row],[Date d''éxigibilité]]),"")</f>
        <v/>
      </c>
      <c r="C996" s="11"/>
      <c r="D996" s="11" t="s">
        <v>11</v>
      </c>
      <c r="E996" s="11" t="s">
        <v>10</v>
      </c>
      <c r="F996" s="34">
        <v>42824</v>
      </c>
      <c r="G996"/>
      <c r="H996"/>
      <c r="I996" s="32"/>
      <c r="J996"/>
      <c r="K996" s="31"/>
      <c r="L996" s="30"/>
      <c r="M996" s="29">
        <f>151.8</f>
        <v>151.80000000000001</v>
      </c>
      <c r="N996" s="28">
        <f>IF(OR(TableauCB[[#This Row],[Etat]]="",TableauCB[[#This Row],[Etat]]="c"),IF(TableauCB[[#This Row],[Solde]]="","",N995),N995-TableauCB[[#This Row],[Débit]]+TableauCB[[#This Row],[Crédit]])</f>
        <v>6224.3360000000048</v>
      </c>
      <c r="O996" s="27">
        <f>IF(TableauCB[[#This Row],[Etat]]="xc",O995-TableauCB[[#This Row],[Débit]]+TableauCB[[#This Row],[Crédit]],O995-TableauCB[[#This Row],[Débit]])</f>
        <v>3051.2999999999947</v>
      </c>
      <c r="P996" s="27">
        <f>IF(AND(ISBLANK(TableauCB[[#This Row],[Débit]]),ISBLANK(TableauCB[[#This Row],[Crédit]])),"",P995+TableauCB[[#This Row],[Crédit]]-TableauCB[[#This Row],[Débit]])</f>
        <v>9166.7860000000073</v>
      </c>
      <c r="Q996" s="26"/>
      <c r="R996" s="4"/>
      <c r="S996" s="4"/>
      <c r="T996" s="24"/>
      <c r="U996" s="24"/>
      <c r="V996" s="9"/>
      <c r="W996" s="2"/>
      <c r="X996" s="9"/>
      <c r="Y996" s="8"/>
      <c r="Z996" s="7"/>
      <c r="AA996" s="7"/>
      <c r="AB996" s="6"/>
    </row>
    <row r="997" spans="2:28" ht="30" customHeight="1">
      <c r="B997" s="35" t="str">
        <f>IF(MONTH(F996)&lt;&gt;MONTH(TableauCB[[#This Row],[Date d''éxigibilité]]),(TableauCB[[#This Row],[Date d''éxigibilité]]),"")</f>
        <v/>
      </c>
      <c r="C997" s="11"/>
      <c r="D997" s="11" t="s">
        <v>11</v>
      </c>
      <c r="E997" s="11" t="s">
        <v>12</v>
      </c>
      <c r="F997" s="34">
        <v>42824</v>
      </c>
      <c r="G997"/>
      <c r="H997"/>
      <c r="I997" s="32"/>
      <c r="J997"/>
      <c r="K997" s="31"/>
      <c r="L997" s="30"/>
      <c r="M997" s="29">
        <v>522</v>
      </c>
      <c r="N997" s="28">
        <f>IF(OR(TableauCB[[#This Row],[Etat]]="",TableauCB[[#This Row],[Etat]]="c"),IF(TableauCB[[#This Row],[Solde]]="","",N996),N996-TableauCB[[#This Row],[Débit]]+TableauCB[[#This Row],[Crédit]])</f>
        <v>6224.3360000000048</v>
      </c>
      <c r="O997" s="27">
        <f>IF(TableauCB[[#This Row],[Etat]]="xc",O996-TableauCB[[#This Row],[Débit]]+TableauCB[[#This Row],[Crédit]],O996-TableauCB[[#This Row],[Débit]])</f>
        <v>3051.2999999999947</v>
      </c>
      <c r="P997" s="27">
        <f>IF(AND(ISBLANK(TableauCB[[#This Row],[Débit]]),ISBLANK(TableauCB[[#This Row],[Crédit]])),"",P996+TableauCB[[#This Row],[Crédit]]-TableauCB[[#This Row],[Débit]])</f>
        <v>9688.7860000000073</v>
      </c>
      <c r="Q997" s="26"/>
      <c r="R997" s="25"/>
      <c r="S997" s="25"/>
      <c r="T997" s="24"/>
      <c r="U997" s="24"/>
      <c r="V997" s="9"/>
      <c r="W997" s="2"/>
      <c r="X997" s="9"/>
      <c r="Y997" s="8"/>
      <c r="Z997" s="7"/>
      <c r="AA997" s="7"/>
      <c r="AB997" s="6"/>
    </row>
    <row r="998" spans="2:28" ht="30" customHeight="1">
      <c r="B998" s="35" t="str">
        <f>IF(MONTH(F997)&lt;&gt;MONTH(TableauCB[[#This Row],[Date d''éxigibilité]]),(TableauCB[[#This Row],[Date d''éxigibilité]]),"")</f>
        <v/>
      </c>
      <c r="C998" s="11"/>
      <c r="D998" s="11" t="s">
        <v>11</v>
      </c>
      <c r="E998" s="11" t="s">
        <v>10</v>
      </c>
      <c r="F998" s="34">
        <v>42824</v>
      </c>
      <c r="G998"/>
      <c r="H998"/>
      <c r="I998" s="32"/>
      <c r="J998"/>
      <c r="K998" s="31"/>
      <c r="L998" s="30"/>
      <c r="M998" s="29">
        <v>192</v>
      </c>
      <c r="N998" s="28">
        <f>IF(OR(TableauCB[[#This Row],[Etat]]="",TableauCB[[#This Row],[Etat]]="c"),IF(TableauCB[[#This Row],[Solde]]="","",N997),N997-TableauCB[[#This Row],[Débit]]+TableauCB[[#This Row],[Crédit]])</f>
        <v>6224.3360000000048</v>
      </c>
      <c r="O998" s="27">
        <f>IF(TableauCB[[#This Row],[Etat]]="xc",O997-TableauCB[[#This Row],[Débit]]+TableauCB[[#This Row],[Crédit]],O997-TableauCB[[#This Row],[Débit]])</f>
        <v>3051.2999999999947</v>
      </c>
      <c r="P998" s="27">
        <f>IF(AND(ISBLANK(TableauCB[[#This Row],[Débit]]),ISBLANK(TableauCB[[#This Row],[Crédit]])),"",P997+TableauCB[[#This Row],[Crédit]]-TableauCB[[#This Row],[Débit]])</f>
        <v>9880.7860000000073</v>
      </c>
      <c r="Q998" s="26"/>
      <c r="R998" s="25"/>
      <c r="S998" s="25"/>
      <c r="T998" s="24"/>
      <c r="U998" s="24"/>
      <c r="V998" s="9"/>
      <c r="W998" s="2"/>
      <c r="X998" s="9"/>
      <c r="Y998" s="8"/>
      <c r="Z998" s="7"/>
      <c r="AA998" s="7"/>
      <c r="AB998" s="6"/>
    </row>
    <row r="999" spans="2:28" ht="30" customHeight="1">
      <c r="B999" s="35" t="str">
        <f>IF(MONTH(F998)&lt;&gt;MONTH(TableauCB[[#This Row],[Date d''éxigibilité]]),(TableauCB[[#This Row],[Date d''éxigibilité]]),"")</f>
        <v/>
      </c>
      <c r="C999" s="11"/>
      <c r="D999" s="11" t="s">
        <v>11</v>
      </c>
      <c r="E999" s="11" t="s">
        <v>10</v>
      </c>
      <c r="F999" s="34">
        <v>42824</v>
      </c>
      <c r="G999"/>
      <c r="H999"/>
      <c r="I999" s="32"/>
      <c r="J999"/>
      <c r="K999" s="31"/>
      <c r="L999" s="30"/>
      <c r="M999" s="29">
        <v>624</v>
      </c>
      <c r="N999" s="28">
        <f>IF(OR(TableauCB[[#This Row],[Etat]]="",TableauCB[[#This Row],[Etat]]="c"),IF(TableauCB[[#This Row],[Solde]]="","",N998),N998-TableauCB[[#This Row],[Débit]]+TableauCB[[#This Row],[Crédit]])</f>
        <v>6224.3360000000048</v>
      </c>
      <c r="O999" s="27">
        <f>IF(TableauCB[[#This Row],[Etat]]="xc",O998-TableauCB[[#This Row],[Débit]]+TableauCB[[#This Row],[Crédit]],O998-TableauCB[[#This Row],[Débit]])</f>
        <v>3051.2999999999947</v>
      </c>
      <c r="P999" s="27">
        <f>IF(AND(ISBLANK(TableauCB[[#This Row],[Débit]]),ISBLANK(TableauCB[[#This Row],[Crédit]])),"",P998+TableauCB[[#This Row],[Crédit]]-TableauCB[[#This Row],[Débit]])</f>
        <v>10504.786000000007</v>
      </c>
      <c r="Q999" s="26"/>
      <c r="R999" s="25"/>
      <c r="S999" s="25"/>
      <c r="T999" s="24"/>
      <c r="U999" s="24"/>
      <c r="V999" s="9"/>
      <c r="W999" s="2"/>
      <c r="X999" s="9"/>
      <c r="Y999" s="8"/>
      <c r="Z999" s="7"/>
      <c r="AA999" s="7"/>
      <c r="AB999" s="6"/>
    </row>
    <row r="1000" spans="2:28" ht="30" customHeight="1">
      <c r="B1000" s="35" t="str">
        <f>IF(MONTH(F999)&lt;&gt;MONTH(TableauCB[[#This Row],[Date d''éxigibilité]]),(TableauCB[[#This Row],[Date d''éxigibilité]]),"")</f>
        <v/>
      </c>
      <c r="C1000" s="11"/>
      <c r="D1000" s="11" t="s">
        <v>11</v>
      </c>
      <c r="E1000" s="11" t="s">
        <v>12</v>
      </c>
      <c r="F1000" s="34">
        <v>42824</v>
      </c>
      <c r="G1000"/>
      <c r="H1000"/>
      <c r="I1000" s="32"/>
      <c r="J1000"/>
      <c r="K1000" s="31"/>
      <c r="L1000" s="30"/>
      <c r="M1000" s="29">
        <v>117.5</v>
      </c>
      <c r="N1000" s="28">
        <f>IF(OR(TableauCB[[#This Row],[Etat]]="",TableauCB[[#This Row],[Etat]]="c"),IF(TableauCB[[#This Row],[Solde]]="","",N999),N999-TableauCB[[#This Row],[Débit]]+TableauCB[[#This Row],[Crédit]])</f>
        <v>6224.3360000000048</v>
      </c>
      <c r="O1000" s="27">
        <f>IF(TableauCB[[#This Row],[Etat]]="xc",O999-TableauCB[[#This Row],[Débit]]+TableauCB[[#This Row],[Crédit]],O999-TableauCB[[#This Row],[Débit]])</f>
        <v>3051.2999999999947</v>
      </c>
      <c r="P1000" s="27">
        <f>IF(AND(ISBLANK(TableauCB[[#This Row],[Débit]]),ISBLANK(TableauCB[[#This Row],[Crédit]])),"",P999+TableauCB[[#This Row],[Crédit]]-TableauCB[[#This Row],[Débit]])</f>
        <v>10622.286000000007</v>
      </c>
      <c r="Q1000" s="26"/>
      <c r="R1000" s="25"/>
      <c r="S1000" s="25"/>
      <c r="T1000" s="24"/>
      <c r="U1000" s="24"/>
      <c r="V1000" s="9"/>
      <c r="W1000" s="2"/>
      <c r="X1000" s="9"/>
      <c r="Y1000" s="8"/>
      <c r="Z1000" s="7"/>
      <c r="AA1000" s="7"/>
      <c r="AB1000" s="6"/>
    </row>
    <row r="1001" spans="2:28" ht="30" customHeight="1">
      <c r="B1001" s="35" t="str">
        <f>IF(MONTH(F1000)&lt;&gt;MONTH(TableauCB[[#This Row],[Date d''éxigibilité]]),(TableauCB[[#This Row],[Date d''éxigibilité]]),"")</f>
        <v/>
      </c>
      <c r="C1001" s="11"/>
      <c r="D1001" s="11" t="s">
        <v>11</v>
      </c>
      <c r="E1001" s="11" t="s">
        <v>10</v>
      </c>
      <c r="F1001" s="34">
        <v>42824</v>
      </c>
      <c r="G1001"/>
      <c r="H1001"/>
      <c r="I1001" s="32"/>
      <c r="J1001"/>
      <c r="K1001" s="31"/>
      <c r="L1001" s="30"/>
      <c r="M1001" s="29">
        <v>96</v>
      </c>
      <c r="N1001" s="28">
        <f>IF(OR(TableauCB[[#This Row],[Etat]]="",TableauCB[[#This Row],[Etat]]="c"),IF(TableauCB[[#This Row],[Solde]]="","",N1000),N1000-TableauCB[[#This Row],[Débit]]+TableauCB[[#This Row],[Crédit]])</f>
        <v>6224.3360000000048</v>
      </c>
      <c r="O1001" s="27">
        <f>IF(TableauCB[[#This Row],[Etat]]="xc",O1000-TableauCB[[#This Row],[Débit]]+TableauCB[[#This Row],[Crédit]],O1000-TableauCB[[#This Row],[Débit]])</f>
        <v>3051.2999999999947</v>
      </c>
      <c r="P1001" s="27">
        <f>IF(AND(ISBLANK(TableauCB[[#This Row],[Débit]]),ISBLANK(TableauCB[[#This Row],[Crédit]])),"",P1000+TableauCB[[#This Row],[Crédit]]-TableauCB[[#This Row],[Débit]])</f>
        <v>10718.286000000007</v>
      </c>
      <c r="Q1001" s="26"/>
      <c r="R1001" s="25"/>
      <c r="S1001" s="25"/>
      <c r="T1001" s="24"/>
      <c r="U1001" s="24"/>
      <c r="V1001" s="9"/>
      <c r="W1001" s="2"/>
      <c r="X1001" s="9"/>
      <c r="Y1001" s="8"/>
      <c r="Z1001" s="7"/>
      <c r="AA1001" s="7"/>
      <c r="AB1001" s="6"/>
    </row>
    <row r="1002" spans="2:28" ht="30" customHeight="1">
      <c r="B1002" s="35" t="str">
        <f>IF(MONTH(F1001)&lt;&gt;MONTH(TableauCB[[#This Row],[Date d''éxigibilité]]),(TableauCB[[#This Row],[Date d''éxigibilité]]),"")</f>
        <v/>
      </c>
      <c r="C1002" s="11"/>
      <c r="D1002" s="11" t="s">
        <v>11</v>
      </c>
      <c r="E1002" s="11" t="s">
        <v>10</v>
      </c>
      <c r="F1002" s="34">
        <v>42824</v>
      </c>
      <c r="G1002"/>
      <c r="H1002"/>
      <c r="I1002" s="32"/>
      <c r="J1002"/>
      <c r="K1002" s="31"/>
      <c r="L1002" s="30"/>
      <c r="M1002" s="29">
        <v>504</v>
      </c>
      <c r="N1002" s="28">
        <f>IF(OR(TableauCB[[#This Row],[Etat]]="",TableauCB[[#This Row],[Etat]]="c"),IF(TableauCB[[#This Row],[Solde]]="","",N1001),N1001-TableauCB[[#This Row],[Débit]]+TableauCB[[#This Row],[Crédit]])</f>
        <v>6224.3360000000048</v>
      </c>
      <c r="O1002" s="27">
        <f>IF(TableauCB[[#This Row],[Etat]]="xc",O1001-TableauCB[[#This Row],[Débit]]+TableauCB[[#This Row],[Crédit]],O1001-TableauCB[[#This Row],[Débit]])</f>
        <v>3051.2999999999947</v>
      </c>
      <c r="P1002" s="27">
        <f>IF(AND(ISBLANK(TableauCB[[#This Row],[Débit]]),ISBLANK(TableauCB[[#This Row],[Crédit]])),"",P1001+TableauCB[[#This Row],[Crédit]]-TableauCB[[#This Row],[Débit]])</f>
        <v>11222.286000000007</v>
      </c>
      <c r="Q1002" s="26"/>
      <c r="R1002" s="25"/>
      <c r="S1002" s="25"/>
      <c r="T1002" s="24"/>
      <c r="U1002" s="24"/>
      <c r="V1002" s="9"/>
      <c r="W1002" s="2"/>
      <c r="X1002" s="9"/>
      <c r="Y1002" s="8"/>
      <c r="Z1002" s="7"/>
      <c r="AA1002" s="7"/>
      <c r="AB1002" s="6"/>
    </row>
    <row r="1003" spans="2:28" ht="30" customHeight="1">
      <c r="B1003" s="35" t="str">
        <f>IF(MONTH(F1002)&lt;&gt;MONTH(TableauCB[[#This Row],[Date d''éxigibilité]]),(TableauCB[[#This Row],[Date d''éxigibilité]]),"")</f>
        <v/>
      </c>
      <c r="C1003" s="11"/>
      <c r="D1003" s="11" t="s">
        <v>11</v>
      </c>
      <c r="E1003" s="11" t="s">
        <v>12</v>
      </c>
      <c r="F1003" s="34">
        <v>42824</v>
      </c>
      <c r="G1003"/>
      <c r="H1003"/>
      <c r="I1003" s="32"/>
      <c r="J1003"/>
      <c r="K1003" s="31"/>
      <c r="L1003" s="30"/>
      <c r="M1003" s="29">
        <v>180</v>
      </c>
      <c r="N1003" s="28">
        <f>IF(OR(TableauCB[[#This Row],[Etat]]="",TableauCB[[#This Row],[Etat]]="c"),IF(TableauCB[[#This Row],[Solde]]="","",N1002),N1002-TableauCB[[#This Row],[Débit]]+TableauCB[[#This Row],[Crédit]])</f>
        <v>6224.3360000000048</v>
      </c>
      <c r="O1003" s="27">
        <f>IF(TableauCB[[#This Row],[Etat]]="xc",O1002-TableauCB[[#This Row],[Débit]]+TableauCB[[#This Row],[Crédit]],O1002-TableauCB[[#This Row],[Débit]])</f>
        <v>3051.2999999999947</v>
      </c>
      <c r="P1003" s="27">
        <f>IF(AND(ISBLANK(TableauCB[[#This Row],[Débit]]),ISBLANK(TableauCB[[#This Row],[Crédit]])),"",P1002+TableauCB[[#This Row],[Crédit]]-TableauCB[[#This Row],[Débit]])</f>
        <v>11402.286000000007</v>
      </c>
      <c r="Q1003" s="26"/>
      <c r="R1003" s="25"/>
      <c r="S1003" s="25"/>
      <c r="T1003" s="24"/>
      <c r="U1003" s="24"/>
      <c r="V1003" s="9"/>
      <c r="W1003" s="2"/>
      <c r="X1003" s="9"/>
      <c r="Y1003" s="8"/>
      <c r="Z1003" s="7"/>
      <c r="AA1003" s="7"/>
      <c r="AB1003" s="6"/>
    </row>
    <row r="1004" spans="2:28" ht="30" customHeight="1">
      <c r="B1004" s="35" t="str">
        <f>IF(MONTH(F1003)&lt;&gt;MONTH(TableauCB[[#This Row],[Date d''éxigibilité]]),(TableauCB[[#This Row],[Date d''éxigibilité]]),"")</f>
        <v/>
      </c>
      <c r="C1004" s="11"/>
      <c r="D1004" s="11" t="s">
        <v>15</v>
      </c>
      <c r="E1004" s="11" t="s">
        <v>14</v>
      </c>
      <c r="F1004" s="34">
        <v>42824</v>
      </c>
      <c r="G1004"/>
      <c r="H1004"/>
      <c r="I1004" s="32"/>
      <c r="J1004"/>
      <c r="K1004" s="31"/>
      <c r="L1004" s="30">
        <v>210</v>
      </c>
      <c r="M1004" s="29"/>
      <c r="N1004" s="28">
        <f>IF(OR(TableauCB[[#This Row],[Etat]]="",TableauCB[[#This Row],[Etat]]="c"),IF(TableauCB[[#This Row],[Solde]]="","",N1003),N1003-TableauCB[[#This Row],[Débit]]+TableauCB[[#This Row],[Crédit]])</f>
        <v>6224.3360000000048</v>
      </c>
      <c r="O1004" s="27">
        <f>IF(TableauCB[[#This Row],[Etat]]="xc",O1003-TableauCB[[#This Row],[Débit]]+TableauCB[[#This Row],[Crédit]],O1003-TableauCB[[#This Row],[Débit]])</f>
        <v>2841.2999999999947</v>
      </c>
      <c r="P1004" s="27">
        <f>IF(AND(ISBLANK(TableauCB[[#This Row],[Débit]]),ISBLANK(TableauCB[[#This Row],[Crédit]])),"",P1003+TableauCB[[#This Row],[Crédit]]-TableauCB[[#This Row],[Débit]])</f>
        <v>11192.286000000007</v>
      </c>
      <c r="Q1004" s="26"/>
      <c r="R1004" s="4"/>
      <c r="S1004" s="4"/>
      <c r="T1004" s="24"/>
      <c r="U1004" s="24"/>
      <c r="V1004" s="9"/>
      <c r="W1004" s="2"/>
      <c r="X1004" s="9"/>
      <c r="Y1004" s="8"/>
      <c r="Z1004" s="7"/>
      <c r="AA1004" s="7"/>
      <c r="AB1004" s="6"/>
    </row>
    <row r="1005" spans="2:28" ht="30" customHeight="1">
      <c r="B1005" s="35" t="str">
        <f>IF(MONTH(F1004)&lt;&gt;MONTH(TableauCB[[#This Row],[Date d''éxigibilité]]),(TableauCB[[#This Row],[Date d''éxigibilité]]),"")</f>
        <v/>
      </c>
      <c r="C1005" s="11"/>
      <c r="D1005" s="11" t="s">
        <v>5</v>
      </c>
      <c r="E1005" s="11" t="s">
        <v>7</v>
      </c>
      <c r="F1005" s="34">
        <v>42825</v>
      </c>
      <c r="G1005"/>
      <c r="H1005"/>
      <c r="I1005" s="32"/>
      <c r="J1005"/>
      <c r="K1005" s="31"/>
      <c r="L1005" s="30">
        <v>600</v>
      </c>
      <c r="M1005" s="29"/>
      <c r="N1005" s="28">
        <f>IF(OR(TableauCB[[#This Row],[Etat]]="",TableauCB[[#This Row],[Etat]]="c"),IF(TableauCB[[#This Row],[Solde]]="","",N1004),N1004-TableauCB[[#This Row],[Débit]]+TableauCB[[#This Row],[Crédit]])</f>
        <v>6224.3360000000048</v>
      </c>
      <c r="O1005" s="27">
        <f>IF(TableauCB[[#This Row],[Etat]]="xc",O1004-TableauCB[[#This Row],[Débit]]+TableauCB[[#This Row],[Crédit]],O1004-TableauCB[[#This Row],[Débit]])</f>
        <v>2241.2999999999947</v>
      </c>
      <c r="P1005" s="27">
        <f>IF(AND(ISBLANK(TableauCB[[#This Row],[Débit]]),ISBLANK(TableauCB[[#This Row],[Crédit]])),"",P1004+TableauCB[[#This Row],[Crédit]]-TableauCB[[#This Row],[Débit]])</f>
        <v>10592.286000000007</v>
      </c>
      <c r="Q1005" s="26"/>
      <c r="R1005" s="4"/>
      <c r="S1005" s="4"/>
      <c r="T1005" s="24"/>
      <c r="U1005" s="24"/>
      <c r="V1005" s="9"/>
      <c r="W1005" s="2"/>
      <c r="X1005" s="9"/>
      <c r="Y1005" s="8"/>
      <c r="Z1005" s="7"/>
      <c r="AA1005" s="7"/>
      <c r="AB1005" s="6"/>
    </row>
    <row r="1006" spans="2:28" ht="30" customHeight="1">
      <c r="B1006" s="35" t="str">
        <f>IF(MONTH(F1005)&lt;&gt;MONTH(TableauCB[[#This Row],[Date d''éxigibilité]]),(TableauCB[[#This Row],[Date d''éxigibilité]]),"")</f>
        <v/>
      </c>
      <c r="C1006" s="11"/>
      <c r="D1006" s="11" t="s">
        <v>5</v>
      </c>
      <c r="E1006" s="11" t="s">
        <v>6</v>
      </c>
      <c r="F1006" s="34">
        <v>42825</v>
      </c>
      <c r="G1006"/>
      <c r="H1006"/>
      <c r="I1006" s="32"/>
      <c r="J1006"/>
      <c r="K1006" s="31"/>
      <c r="L1006" s="30">
        <v>291.3</v>
      </c>
      <c r="M1006" s="29"/>
      <c r="N1006" s="28">
        <f>IF(OR(TableauCB[[#This Row],[Etat]]="",TableauCB[[#This Row],[Etat]]="c"),IF(TableauCB[[#This Row],[Solde]]="","",N1005),N1005-TableauCB[[#This Row],[Débit]]+TableauCB[[#This Row],[Crédit]])</f>
        <v>6224.3360000000048</v>
      </c>
      <c r="O1006" s="27">
        <f>IF(TableauCB[[#This Row],[Etat]]="xc",O1005-TableauCB[[#This Row],[Débit]]+TableauCB[[#This Row],[Crédit]],O1005-TableauCB[[#This Row],[Débit]])</f>
        <v>1949.9999999999948</v>
      </c>
      <c r="P1006" s="27">
        <f>IF(AND(ISBLANK(TableauCB[[#This Row],[Débit]]),ISBLANK(TableauCB[[#This Row],[Crédit]])),"",P1005+TableauCB[[#This Row],[Crédit]]-TableauCB[[#This Row],[Débit]])</f>
        <v>10300.986000000008</v>
      </c>
      <c r="Q1006" s="26"/>
      <c r="R1006" s="25"/>
      <c r="S1006" s="25"/>
      <c r="T1006" s="24"/>
      <c r="U1006" s="24"/>
      <c r="V1006" s="9"/>
      <c r="W1006" s="2"/>
      <c r="X1006" s="9"/>
      <c r="Y1006" s="8"/>
      <c r="Z1006" s="7"/>
      <c r="AA1006" s="7"/>
      <c r="AB1006" s="6"/>
    </row>
    <row r="1007" spans="2:28" ht="30" customHeight="1">
      <c r="B1007" s="35" t="str">
        <f>IF(MONTH(F1006)&lt;&gt;MONTH(TableauCB[[#This Row],[Date d''éxigibilité]]),(TableauCB[[#This Row],[Date d''éxigibilité]]),"")</f>
        <v/>
      </c>
      <c r="C1007" s="11"/>
      <c r="D1007" s="11" t="s">
        <v>9</v>
      </c>
      <c r="E1007" s="11" t="s">
        <v>8</v>
      </c>
      <c r="F1007" s="34">
        <v>42825</v>
      </c>
      <c r="G1007"/>
      <c r="H1007"/>
      <c r="I1007" s="34"/>
      <c r="J1007"/>
      <c r="K1007" s="31"/>
      <c r="L1007" s="30">
        <v>240</v>
      </c>
      <c r="M1007" s="29"/>
      <c r="N1007" s="28">
        <f>IF(OR(TableauCB[[#This Row],[Etat]]="",TableauCB[[#This Row],[Etat]]="c"),IF(TableauCB[[#This Row],[Solde]]="","",N1006),N1006-TableauCB[[#This Row],[Débit]]+TableauCB[[#This Row],[Crédit]])</f>
        <v>6224.3360000000048</v>
      </c>
      <c r="O1007" s="27">
        <f>IF(TableauCB[[#This Row],[Etat]]="xc",O1006-TableauCB[[#This Row],[Débit]]+TableauCB[[#This Row],[Crédit]],O1006-TableauCB[[#This Row],[Débit]])</f>
        <v>1709.9999999999948</v>
      </c>
      <c r="P1007" s="27">
        <f>IF(AND(ISBLANK(TableauCB[[#This Row],[Débit]]),ISBLANK(TableauCB[[#This Row],[Crédit]])),"",P1006+TableauCB[[#This Row],[Crédit]]-TableauCB[[#This Row],[Débit]])</f>
        <v>10060.986000000008</v>
      </c>
      <c r="Q1007" s="26"/>
      <c r="R1007" s="36"/>
      <c r="S1007" s="36"/>
      <c r="T1007" s="24"/>
      <c r="U1007" s="24"/>
      <c r="V1007" s="9"/>
      <c r="W1007" s="2"/>
      <c r="X1007" s="9"/>
      <c r="Y1007" s="8"/>
      <c r="Z1007" s="7"/>
      <c r="AA1007" s="7"/>
      <c r="AB1007" s="6"/>
    </row>
    <row r="1008" spans="2:28" ht="30" customHeight="1">
      <c r="B1008" s="35">
        <f>IF(MONTH(F1007)&lt;&gt;MONTH(TableauCB[[#This Row],[Date d''éxigibilité]]),(TableauCB[[#This Row],[Date d''éxigibilité]]),"")</f>
        <v>42834</v>
      </c>
      <c r="C1008" s="11"/>
      <c r="D1008" s="11" t="s">
        <v>22</v>
      </c>
      <c r="E1008" s="11" t="s">
        <v>21</v>
      </c>
      <c r="F1008" s="34">
        <v>42834</v>
      </c>
      <c r="G1008"/>
      <c r="H1008"/>
      <c r="I1008" s="32"/>
      <c r="J1008"/>
      <c r="K1008" s="31"/>
      <c r="L1008" s="30">
        <v>22.4</v>
      </c>
      <c r="M1008" s="29"/>
      <c r="N1008" s="28">
        <f>IF(OR(TableauCB[[#This Row],[Etat]]="",TableauCB[[#This Row],[Etat]]="c"),IF(TableauCB[[#This Row],[Solde]]="","",N1007),N1007-TableauCB[[#This Row],[Débit]]+TableauCB[[#This Row],[Crédit]])</f>
        <v>6224.3360000000048</v>
      </c>
      <c r="O1008" s="27">
        <f>IF(TableauCB[[#This Row],[Etat]]="xc",O1007-TableauCB[[#This Row],[Débit]]+TableauCB[[#This Row],[Crédit]],O1007-TableauCB[[#This Row],[Débit]])</f>
        <v>1687.5999999999947</v>
      </c>
      <c r="P1008" s="27">
        <f>IF(AND(ISBLANK(TableauCB[[#This Row],[Débit]]),ISBLANK(TableauCB[[#This Row],[Crédit]])),"",P1007+TableauCB[[#This Row],[Crédit]]-TableauCB[[#This Row],[Débit]])</f>
        <v>10038.586000000008</v>
      </c>
      <c r="Q1008" s="26"/>
      <c r="R1008" s="25"/>
      <c r="S1008" s="25"/>
      <c r="T1008" s="24"/>
      <c r="U1008" s="24"/>
      <c r="V1008" s="9"/>
      <c r="W1008" s="2"/>
      <c r="X1008" s="9"/>
      <c r="Y1008" s="8"/>
      <c r="Z1008" s="7"/>
      <c r="AA1008" s="7"/>
      <c r="AB1008" s="6"/>
    </row>
    <row r="1009" spans="2:28" ht="30" customHeight="1">
      <c r="B1009" s="35" t="str">
        <f>IF(MONTH(F1008)&lt;&gt;MONTH(TableauCB[[#This Row],[Date d''éxigibilité]]),(TableauCB[[#This Row],[Date d''éxigibilité]]),"")</f>
        <v/>
      </c>
      <c r="C1009" s="11"/>
      <c r="D1009" s="11" t="s">
        <v>15</v>
      </c>
      <c r="E1009" s="11" t="s">
        <v>26</v>
      </c>
      <c r="F1009" s="34">
        <v>42840</v>
      </c>
      <c r="G1009"/>
      <c r="H1009"/>
      <c r="I1009" s="32"/>
      <c r="J1009"/>
      <c r="K1009" s="31"/>
      <c r="L1009" s="30">
        <v>54</v>
      </c>
      <c r="M1009" s="29"/>
      <c r="N1009" s="28">
        <f>IF(OR(TableauCB[[#This Row],[Etat]]="",TableauCB[[#This Row],[Etat]]="c"),IF(TableauCB[[#This Row],[Solde]]="","",N1008),N1008-TableauCB[[#This Row],[Débit]]+TableauCB[[#This Row],[Crédit]])</f>
        <v>6224.3360000000048</v>
      </c>
      <c r="O1009" s="27">
        <f>IF(TableauCB[[#This Row],[Etat]]="xc",O1008-TableauCB[[#This Row],[Débit]]+TableauCB[[#This Row],[Crédit]],O1008-TableauCB[[#This Row],[Débit]])</f>
        <v>1633.5999999999947</v>
      </c>
      <c r="P1009" s="27">
        <f>IF(AND(ISBLANK(TableauCB[[#This Row],[Débit]]),ISBLANK(TableauCB[[#This Row],[Crédit]])),"",P1008+TableauCB[[#This Row],[Crédit]]-TableauCB[[#This Row],[Débit]])</f>
        <v>9984.5860000000084</v>
      </c>
      <c r="Q1009" s="26"/>
      <c r="R1009" s="25"/>
      <c r="S1009" s="25"/>
      <c r="T1009" s="24"/>
      <c r="U1009" s="24"/>
      <c r="V1009" s="9"/>
      <c r="W1009" s="2"/>
      <c r="X1009" s="9"/>
      <c r="Y1009" s="8"/>
      <c r="Z1009" s="7"/>
      <c r="AA1009" s="7"/>
      <c r="AB1009" s="6"/>
    </row>
    <row r="1010" spans="2:28" ht="30" customHeight="1">
      <c r="B1010" s="35" t="str">
        <f>IF(MONTH(F1009)&lt;&gt;MONTH(TableauCB[[#This Row],[Date d''éxigibilité]]),(TableauCB[[#This Row],[Date d''éxigibilité]]),"")</f>
        <v/>
      </c>
      <c r="C1010" s="11"/>
      <c r="D1010" s="11" t="s">
        <v>15</v>
      </c>
      <c r="E1010" s="11" t="s">
        <v>25</v>
      </c>
      <c r="F1010" s="34">
        <v>42840</v>
      </c>
      <c r="G1010"/>
      <c r="H1010"/>
      <c r="I1010" s="32"/>
      <c r="J1010"/>
      <c r="K1010" s="31"/>
      <c r="L1010" s="30">
        <v>1142</v>
      </c>
      <c r="M1010" s="29"/>
      <c r="N1010" s="28">
        <f>IF(OR(TableauCB[[#This Row],[Etat]]="",TableauCB[[#This Row],[Etat]]="c"),IF(TableauCB[[#This Row],[Solde]]="","",N1009),N1009-TableauCB[[#This Row],[Débit]]+TableauCB[[#This Row],[Crédit]])</f>
        <v>6224.3360000000048</v>
      </c>
      <c r="O1010" s="27">
        <f>IF(TableauCB[[#This Row],[Etat]]="xc",O1009-TableauCB[[#This Row],[Débit]]+TableauCB[[#This Row],[Crédit]],O1009-TableauCB[[#This Row],[Débit]])</f>
        <v>491.59999999999468</v>
      </c>
      <c r="P1010" s="27">
        <f>IF(AND(ISBLANK(TableauCB[[#This Row],[Débit]]),ISBLANK(TableauCB[[#This Row],[Crédit]])),"",P1009+TableauCB[[#This Row],[Crédit]]-TableauCB[[#This Row],[Débit]])</f>
        <v>8842.5860000000084</v>
      </c>
      <c r="Q1010" s="26"/>
      <c r="R1010" s="25"/>
      <c r="S1010" s="25"/>
      <c r="T1010" s="24"/>
      <c r="U1010" s="24"/>
      <c r="V1010" s="9"/>
      <c r="W1010" s="2"/>
      <c r="X1010" s="9"/>
      <c r="Y1010" s="8"/>
      <c r="Z1010" s="7"/>
      <c r="AA1010" s="7"/>
      <c r="AB1010" s="6"/>
    </row>
    <row r="1011" spans="2:28" ht="30" customHeight="1">
      <c r="B1011" s="35" t="str">
        <f>IF(MONTH(F1010)&lt;&gt;MONTH(TableauCB[[#This Row],[Date d''éxigibilité]]),(TableauCB[[#This Row],[Date d''éxigibilité]]),"")</f>
        <v/>
      </c>
      <c r="C1011" s="11"/>
      <c r="D1011" s="11" t="s">
        <v>15</v>
      </c>
      <c r="E1011" s="11" t="s">
        <v>24</v>
      </c>
      <c r="F1011" s="34">
        <v>42840</v>
      </c>
      <c r="G1011"/>
      <c r="H1011"/>
      <c r="I1011" s="32"/>
      <c r="J1011"/>
      <c r="K1011" s="31"/>
      <c r="L1011" s="30">
        <v>572.47</v>
      </c>
      <c r="M1011" s="29"/>
      <c r="N1011" s="28">
        <f>IF(OR(TableauCB[[#This Row],[Etat]]="",TableauCB[[#This Row],[Etat]]="c"),IF(TableauCB[[#This Row],[Solde]]="","",N1010),N1010-TableauCB[[#This Row],[Débit]]+TableauCB[[#This Row],[Crédit]])</f>
        <v>6224.3360000000048</v>
      </c>
      <c r="O1011" s="27">
        <f>IF(TableauCB[[#This Row],[Etat]]="xc",O1010-TableauCB[[#This Row],[Débit]]+TableauCB[[#This Row],[Crédit]],O1010-TableauCB[[#This Row],[Débit]])</f>
        <v>-80.870000000005348</v>
      </c>
      <c r="P1011" s="27">
        <f>IF(AND(ISBLANK(TableauCB[[#This Row],[Débit]]),ISBLANK(TableauCB[[#This Row],[Crédit]])),"",P1010+TableauCB[[#This Row],[Crédit]]-TableauCB[[#This Row],[Débit]])</f>
        <v>8270.1160000000091</v>
      </c>
      <c r="Q1011" s="26"/>
      <c r="R1011" s="25"/>
      <c r="S1011" s="25"/>
      <c r="T1011" s="24"/>
      <c r="U1011" s="24"/>
      <c r="V1011" s="9"/>
      <c r="W1011" s="2"/>
      <c r="X1011" s="9"/>
      <c r="Y1011" s="8"/>
      <c r="Z1011" s="7"/>
      <c r="AA1011" s="7"/>
      <c r="AB1011" s="6"/>
    </row>
    <row r="1012" spans="2:28" ht="30" customHeight="1">
      <c r="B1012" s="35" t="str">
        <f>IF(MONTH(F1011)&lt;&gt;MONTH(TableauCB[[#This Row],[Date d''éxigibilité]]),(TableauCB[[#This Row],[Date d''éxigibilité]]),"")</f>
        <v/>
      </c>
      <c r="C1012" s="11"/>
      <c r="D1012" s="11" t="s">
        <v>15</v>
      </c>
      <c r="E1012" s="11" t="s">
        <v>27</v>
      </c>
      <c r="F1012" s="34">
        <v>42840</v>
      </c>
      <c r="G1012"/>
      <c r="H1012"/>
      <c r="I1012" s="32"/>
      <c r="J1012"/>
      <c r="K1012" s="31"/>
      <c r="L1012" s="30">
        <v>167.1</v>
      </c>
      <c r="M1012" s="29"/>
      <c r="N1012" s="28">
        <f>IF(OR(TableauCB[[#This Row],[Etat]]="",TableauCB[[#This Row],[Etat]]="c"),IF(TableauCB[[#This Row],[Solde]]="","",N1011),N1011-TableauCB[[#This Row],[Débit]]+TableauCB[[#This Row],[Crédit]])</f>
        <v>6224.3360000000048</v>
      </c>
      <c r="O1012" s="27">
        <f>IF(TableauCB[[#This Row],[Etat]]="xc",O1011-TableauCB[[#This Row],[Débit]]+TableauCB[[#This Row],[Crédit]],O1011-TableauCB[[#This Row],[Débit]])</f>
        <v>-247.97000000000534</v>
      </c>
      <c r="P1012" s="27">
        <f>IF(AND(ISBLANK(TableauCB[[#This Row],[Débit]]),ISBLANK(TableauCB[[#This Row],[Crédit]])),"",P1011+TableauCB[[#This Row],[Crédit]]-TableauCB[[#This Row],[Débit]])</f>
        <v>8103.0160000000087</v>
      </c>
      <c r="Q1012" s="26"/>
      <c r="R1012" s="25"/>
      <c r="S1012" s="25"/>
      <c r="T1012" s="24"/>
      <c r="U1012" s="24"/>
      <c r="V1012" s="9"/>
      <c r="W1012" s="2"/>
      <c r="X1012" s="9"/>
      <c r="Y1012" s="8"/>
      <c r="Z1012" s="7"/>
      <c r="AA1012" s="7"/>
      <c r="AB1012" s="6"/>
    </row>
    <row r="1013" spans="2:28" ht="30" customHeight="1">
      <c r="B1013" s="35" t="str">
        <f>IF(MONTH(F1012)&lt;&gt;MONTH(TableauCB[[#This Row],[Date d''éxigibilité]]),(TableauCB[[#This Row],[Date d''éxigibilité]]),"")</f>
        <v/>
      </c>
      <c r="C1013" s="11"/>
      <c r="D1013" s="11" t="s">
        <v>15</v>
      </c>
      <c r="E1013" s="11" t="s">
        <v>19</v>
      </c>
      <c r="F1013" s="34">
        <v>42840</v>
      </c>
      <c r="G1013"/>
      <c r="H1013"/>
      <c r="I1013" s="32"/>
      <c r="J1013"/>
      <c r="K1013" s="31"/>
      <c r="L1013" s="30">
        <v>53</v>
      </c>
      <c r="M1013" s="29"/>
      <c r="N1013" s="28">
        <f>IF(OR(TableauCB[[#This Row],[Etat]]="",TableauCB[[#This Row],[Etat]]="c"),IF(TableauCB[[#This Row],[Solde]]="","",N1012),N1012-TableauCB[[#This Row],[Débit]]+TableauCB[[#This Row],[Crédit]])</f>
        <v>6224.3360000000048</v>
      </c>
      <c r="O1013" s="27">
        <f>IF(TableauCB[[#This Row],[Etat]]="xc",O1012-TableauCB[[#This Row],[Débit]]+TableauCB[[#This Row],[Crédit]],O1012-TableauCB[[#This Row],[Débit]])</f>
        <v>-300.97000000000537</v>
      </c>
      <c r="P1013" s="27">
        <f>IF(AND(ISBLANK(TableauCB[[#This Row],[Débit]]),ISBLANK(TableauCB[[#This Row],[Crédit]])),"",P1012+TableauCB[[#This Row],[Crédit]]-TableauCB[[#This Row],[Débit]])</f>
        <v>8050.0160000000087</v>
      </c>
      <c r="Q1013" s="26"/>
      <c r="R1013" s="25"/>
      <c r="S1013" s="25"/>
      <c r="T1013" s="24"/>
      <c r="U1013" s="24"/>
      <c r="V1013" s="9"/>
      <c r="W1013" s="2"/>
      <c r="X1013" s="9"/>
      <c r="Y1013" s="8"/>
      <c r="Z1013" s="7"/>
      <c r="AA1013" s="7"/>
      <c r="AB1013" s="6"/>
    </row>
    <row r="1014" spans="2:28" ht="30" customHeight="1">
      <c r="B1014" s="35" t="str">
        <f>IF(MONTH(F1013)&lt;&gt;MONTH(TableauCB[[#This Row],[Date d''éxigibilité]]),(TableauCB[[#This Row],[Date d''éxigibilité]]),"")</f>
        <v/>
      </c>
      <c r="C1014" s="11"/>
      <c r="D1014" s="11" t="s">
        <v>17</v>
      </c>
      <c r="E1014" s="11" t="s">
        <v>16</v>
      </c>
      <c r="F1014" s="34">
        <v>42845</v>
      </c>
      <c r="G1014"/>
      <c r="H1014"/>
      <c r="I1014" s="32"/>
      <c r="J1014"/>
      <c r="K1014" s="31"/>
      <c r="L1014" s="30">
        <v>3.59</v>
      </c>
      <c r="M1014" s="29"/>
      <c r="N1014" s="28">
        <f>IF(OR(TableauCB[[#This Row],[Etat]]="",TableauCB[[#This Row],[Etat]]="c"),IF(TableauCB[[#This Row],[Solde]]="","",N1013),N1013-TableauCB[[#This Row],[Débit]]+TableauCB[[#This Row],[Crédit]])</f>
        <v>6224.3360000000048</v>
      </c>
      <c r="O1014" s="27">
        <f>IF(TableauCB[[#This Row],[Etat]]="xc",O1013-TableauCB[[#This Row],[Débit]]+TableauCB[[#This Row],[Crédit]],O1013-TableauCB[[#This Row],[Débit]])</f>
        <v>-304.56000000000535</v>
      </c>
      <c r="P1014" s="27">
        <f>IF(AND(ISBLANK(TableauCB[[#This Row],[Débit]]),ISBLANK(TableauCB[[#This Row],[Crédit]])),"",P1013+TableauCB[[#This Row],[Crédit]]-TableauCB[[#This Row],[Débit]])</f>
        <v>8046.4260000000086</v>
      </c>
      <c r="Q1014" s="26"/>
      <c r="R1014" s="25"/>
      <c r="S1014" s="25"/>
      <c r="T1014" s="24"/>
      <c r="U1014" s="24"/>
      <c r="V1014" s="9"/>
      <c r="W1014" s="2"/>
      <c r="X1014" s="9"/>
      <c r="Y1014" s="8"/>
      <c r="Z1014" s="7"/>
      <c r="AA1014" s="7"/>
      <c r="AB1014" s="6"/>
    </row>
    <row r="1015" spans="2:28" ht="30" customHeight="1">
      <c r="B1015" s="35" t="str">
        <f>IF(MONTH(F1014)&lt;&gt;MONTH(TableauCB[[#This Row],[Date d''éxigibilité]]),(TableauCB[[#This Row],[Date d''éxigibilité]]),"")</f>
        <v/>
      </c>
      <c r="C1015" s="11"/>
      <c r="D1015" s="11" t="s">
        <v>17</v>
      </c>
      <c r="E1015" s="11" t="s">
        <v>18</v>
      </c>
      <c r="F1015" s="34">
        <v>42846</v>
      </c>
      <c r="G1015"/>
      <c r="H1015"/>
      <c r="I1015" s="32"/>
      <c r="J1015"/>
      <c r="K1015" s="31"/>
      <c r="L1015" s="30">
        <v>45.6</v>
      </c>
      <c r="M1015" s="29"/>
      <c r="N1015" s="28">
        <f>IF(OR(TableauCB[[#This Row],[Etat]]="",TableauCB[[#This Row],[Etat]]="c"),IF(TableauCB[[#This Row],[Solde]]="","",N1014),N1014-TableauCB[[#This Row],[Débit]]+TableauCB[[#This Row],[Crédit]])</f>
        <v>6224.3360000000048</v>
      </c>
      <c r="O1015" s="27">
        <f>IF(TableauCB[[#This Row],[Etat]]="xc",O1014-TableauCB[[#This Row],[Débit]]+TableauCB[[#This Row],[Crédit]],O1014-TableauCB[[#This Row],[Débit]])</f>
        <v>-350.16000000000537</v>
      </c>
      <c r="P1015" s="27">
        <f>IF(AND(ISBLANK(TableauCB[[#This Row],[Débit]]),ISBLANK(TableauCB[[#This Row],[Crédit]])),"",P1014+TableauCB[[#This Row],[Crédit]]-TableauCB[[#This Row],[Débit]])</f>
        <v>8000.8260000000082</v>
      </c>
      <c r="Q1015" s="26"/>
      <c r="R1015" s="25"/>
      <c r="S1015" s="25"/>
      <c r="T1015" s="24"/>
      <c r="U1015" s="24"/>
      <c r="V1015" s="9"/>
      <c r="W1015" s="2"/>
      <c r="X1015" s="9"/>
      <c r="Y1015" s="8"/>
      <c r="Z1015" s="7"/>
      <c r="AA1015" s="7"/>
      <c r="AB1015" s="6"/>
    </row>
    <row r="1016" spans="2:28" ht="30" customHeight="1">
      <c r="B1016" s="35" t="str">
        <f>IF(MONTH(F1015)&lt;&gt;MONTH(TableauCB[[#This Row],[Date d''éxigibilité]]),(TableauCB[[#This Row],[Date d''éxigibilité]]),"")</f>
        <v/>
      </c>
      <c r="C1016" s="11"/>
      <c r="D1016" s="11" t="s">
        <v>11</v>
      </c>
      <c r="E1016" s="11" t="s">
        <v>10</v>
      </c>
      <c r="F1016" s="34">
        <v>42855</v>
      </c>
      <c r="G1016"/>
      <c r="H1016"/>
      <c r="I1016" s="32"/>
      <c r="J1016"/>
      <c r="K1016" s="31"/>
      <c r="L1016" s="30"/>
      <c r="M1016" s="29">
        <v>108</v>
      </c>
      <c r="N1016" s="28">
        <f>IF(OR(TableauCB[[#This Row],[Etat]]="",TableauCB[[#This Row],[Etat]]="c"),IF(TableauCB[[#This Row],[Solde]]="","",N1015),N1015-TableauCB[[#This Row],[Débit]]+TableauCB[[#This Row],[Crédit]])</f>
        <v>6224.3360000000048</v>
      </c>
      <c r="O1016" s="27">
        <f>IF(TableauCB[[#This Row],[Etat]]="xc",O1015-TableauCB[[#This Row],[Débit]]+TableauCB[[#This Row],[Crédit]],O1015-TableauCB[[#This Row],[Débit]])</f>
        <v>-350.16000000000537</v>
      </c>
      <c r="P1016" s="27">
        <f>IF(AND(ISBLANK(TableauCB[[#This Row],[Débit]]),ISBLANK(TableauCB[[#This Row],[Crédit]])),"",P1015+TableauCB[[#This Row],[Crédit]]-TableauCB[[#This Row],[Débit]])</f>
        <v>8108.8260000000082</v>
      </c>
      <c r="Q1016" s="26"/>
      <c r="R1016" s="25"/>
      <c r="S1016" s="25"/>
      <c r="T1016" s="24"/>
      <c r="U1016" s="24"/>
      <c r="V1016" s="9"/>
      <c r="W1016" s="2"/>
      <c r="X1016" s="9"/>
      <c r="Y1016" s="8"/>
      <c r="Z1016" s="7"/>
      <c r="AA1016" s="7"/>
      <c r="AB1016" s="6"/>
    </row>
    <row r="1017" spans="2:28" ht="30" customHeight="1">
      <c r="B1017" s="35" t="str">
        <f>IF(MONTH(F1016)&lt;&gt;MONTH(TableauCB[[#This Row],[Date d''éxigibilité]]),(TableauCB[[#This Row],[Date d''éxigibilité]]),"")</f>
        <v/>
      </c>
      <c r="C1017" s="11"/>
      <c r="D1017" s="11" t="s">
        <v>11</v>
      </c>
      <c r="E1017" s="11" t="s">
        <v>10</v>
      </c>
      <c r="F1017" s="34">
        <v>42855</v>
      </c>
      <c r="G1017"/>
      <c r="H1017"/>
      <c r="I1017" s="32"/>
      <c r="J1017"/>
      <c r="K1017" s="31"/>
      <c r="L1017" s="30"/>
      <c r="M1017" s="29">
        <v>198</v>
      </c>
      <c r="N1017" s="28">
        <f>IF(OR(TableauCB[[#This Row],[Etat]]="",TableauCB[[#This Row],[Etat]]="c"),IF(TableauCB[[#This Row],[Solde]]="","",N1016),N1016-TableauCB[[#This Row],[Débit]]+TableauCB[[#This Row],[Crédit]])</f>
        <v>6224.3360000000048</v>
      </c>
      <c r="O1017" s="27">
        <f>IF(TableauCB[[#This Row],[Etat]]="xc",O1016-TableauCB[[#This Row],[Débit]]+TableauCB[[#This Row],[Crédit]],O1016-TableauCB[[#This Row],[Débit]])</f>
        <v>-350.16000000000537</v>
      </c>
      <c r="P1017" s="27">
        <f>IF(AND(ISBLANK(TableauCB[[#This Row],[Débit]]),ISBLANK(TableauCB[[#This Row],[Crédit]])),"",P1016+TableauCB[[#This Row],[Crédit]]-TableauCB[[#This Row],[Débit]])</f>
        <v>8306.8260000000082</v>
      </c>
      <c r="Q1017" s="26"/>
      <c r="R1017" s="25"/>
      <c r="S1017" s="25"/>
      <c r="T1017" s="24"/>
      <c r="U1017" s="24"/>
      <c r="V1017" s="9"/>
      <c r="W1017" s="2"/>
      <c r="X1017" s="9"/>
      <c r="Y1017" s="8"/>
      <c r="Z1017" s="7"/>
      <c r="AA1017" s="7"/>
      <c r="AB1017" s="6"/>
    </row>
    <row r="1018" spans="2:28" ht="30" customHeight="1">
      <c r="B1018" s="35" t="str">
        <f>IF(MONTH(F1017)&lt;&gt;MONTH(TableauCB[[#This Row],[Date d''éxigibilité]]),(TableauCB[[#This Row],[Date d''éxigibilité]]),"")</f>
        <v/>
      </c>
      <c r="C1018" s="11"/>
      <c r="D1018" s="11" t="s">
        <v>11</v>
      </c>
      <c r="E1018" s="11" t="s">
        <v>10</v>
      </c>
      <c r="F1018" s="34">
        <v>42855</v>
      </c>
      <c r="G1018"/>
      <c r="H1018"/>
      <c r="I1018" s="32"/>
      <c r="J1018"/>
      <c r="K1018" s="31"/>
      <c r="L1018" s="30"/>
      <c r="M1018" s="29">
        <v>151.80000000000001</v>
      </c>
      <c r="N1018" s="28">
        <f>IF(OR(TableauCB[[#This Row],[Etat]]="",TableauCB[[#This Row],[Etat]]="c"),IF(TableauCB[[#This Row],[Solde]]="","",N1017),N1017-TableauCB[[#This Row],[Débit]]+TableauCB[[#This Row],[Crédit]])</f>
        <v>6224.3360000000048</v>
      </c>
      <c r="O1018" s="27">
        <f>IF(TableauCB[[#This Row],[Etat]]="xc",O1017-TableauCB[[#This Row],[Débit]]+TableauCB[[#This Row],[Crédit]],O1017-TableauCB[[#This Row],[Débit]])</f>
        <v>-350.16000000000537</v>
      </c>
      <c r="P1018" s="27">
        <f>IF(AND(ISBLANK(TableauCB[[#This Row],[Débit]]),ISBLANK(TableauCB[[#This Row],[Crédit]])),"",P1017+TableauCB[[#This Row],[Crédit]]-TableauCB[[#This Row],[Débit]])</f>
        <v>8458.6260000000075</v>
      </c>
      <c r="Q1018" s="26"/>
      <c r="R1018" s="25"/>
      <c r="S1018" s="25"/>
      <c r="T1018" s="24"/>
      <c r="U1018" s="24"/>
      <c r="V1018" s="9"/>
      <c r="W1018" s="2"/>
      <c r="X1018" s="9"/>
      <c r="Y1018" s="8"/>
      <c r="Z1018" s="7"/>
      <c r="AA1018" s="7"/>
      <c r="AB1018" s="6"/>
    </row>
    <row r="1019" spans="2:28" ht="30" customHeight="1">
      <c r="B1019" s="35" t="str">
        <f>IF(MONTH(F1018)&lt;&gt;MONTH(TableauCB[[#This Row],[Date d''éxigibilité]]),(TableauCB[[#This Row],[Date d''éxigibilité]]),"")</f>
        <v/>
      </c>
      <c r="C1019" s="11"/>
      <c r="D1019" s="11" t="s">
        <v>11</v>
      </c>
      <c r="E1019" s="11" t="s">
        <v>12</v>
      </c>
      <c r="F1019" s="34">
        <v>42855</v>
      </c>
      <c r="G1019"/>
      <c r="H1019"/>
      <c r="I1019" s="32"/>
      <c r="J1019"/>
      <c r="K1019" s="31"/>
      <c r="L1019" s="30"/>
      <c r="M1019" s="29">
        <v>522</v>
      </c>
      <c r="N1019" s="28">
        <f>IF(OR(TableauCB[[#This Row],[Etat]]="",TableauCB[[#This Row],[Etat]]="c"),IF(TableauCB[[#This Row],[Solde]]="","",N1018),N1018-TableauCB[[#This Row],[Débit]]+TableauCB[[#This Row],[Crédit]])</f>
        <v>6224.3360000000048</v>
      </c>
      <c r="O1019" s="27">
        <f>IF(TableauCB[[#This Row],[Etat]]="xc",O1018-TableauCB[[#This Row],[Débit]]+TableauCB[[#This Row],[Crédit]],O1018-TableauCB[[#This Row],[Débit]])</f>
        <v>-350.16000000000537</v>
      </c>
      <c r="P1019" s="27">
        <f>IF(AND(ISBLANK(TableauCB[[#This Row],[Débit]]),ISBLANK(TableauCB[[#This Row],[Crédit]])),"",P1018+TableauCB[[#This Row],[Crédit]]-TableauCB[[#This Row],[Débit]])</f>
        <v>8980.6260000000075</v>
      </c>
      <c r="Q1019" s="26"/>
      <c r="R1019" s="25"/>
      <c r="S1019" s="25"/>
      <c r="T1019" s="24"/>
      <c r="U1019" s="24"/>
      <c r="V1019" s="9"/>
      <c r="W1019" s="2"/>
      <c r="X1019" s="9"/>
      <c r="Y1019" s="8"/>
      <c r="Z1019" s="7"/>
      <c r="AA1019" s="7"/>
      <c r="AB1019" s="6"/>
    </row>
    <row r="1020" spans="2:28" ht="30" customHeight="1">
      <c r="B1020" s="35" t="str">
        <f>IF(MONTH(F1019)&lt;&gt;MONTH(TableauCB[[#This Row],[Date d''éxigibilité]]),(TableauCB[[#This Row],[Date d''éxigibilité]]),"")</f>
        <v/>
      </c>
      <c r="C1020" s="11"/>
      <c r="D1020" s="11" t="s">
        <v>11</v>
      </c>
      <c r="E1020" s="11" t="s">
        <v>10</v>
      </c>
      <c r="F1020" s="34">
        <v>42855</v>
      </c>
      <c r="G1020"/>
      <c r="H1020"/>
      <c r="I1020" s="32"/>
      <c r="J1020"/>
      <c r="K1020" s="31"/>
      <c r="L1020" s="30"/>
      <c r="M1020" s="29">
        <v>192</v>
      </c>
      <c r="N1020" s="28">
        <f>IF(OR(TableauCB[[#This Row],[Etat]]="",TableauCB[[#This Row],[Etat]]="c"),IF(TableauCB[[#This Row],[Solde]]="","",N1019),N1019-TableauCB[[#This Row],[Débit]]+TableauCB[[#This Row],[Crédit]])</f>
        <v>6224.3360000000048</v>
      </c>
      <c r="O1020" s="27">
        <f>IF(TableauCB[[#This Row],[Etat]]="xc",O1019-TableauCB[[#This Row],[Débit]]+TableauCB[[#This Row],[Crédit]],O1019-TableauCB[[#This Row],[Débit]])</f>
        <v>-350.16000000000537</v>
      </c>
      <c r="P1020" s="27">
        <f>IF(AND(ISBLANK(TableauCB[[#This Row],[Débit]]),ISBLANK(TableauCB[[#This Row],[Crédit]])),"",P1019+TableauCB[[#This Row],[Crédit]]-TableauCB[[#This Row],[Débit]])</f>
        <v>9172.6260000000075</v>
      </c>
      <c r="Q1020" s="26"/>
      <c r="R1020" s="4"/>
      <c r="S1020" s="4"/>
      <c r="T1020" s="24"/>
      <c r="U1020" s="24"/>
      <c r="V1020" s="9"/>
      <c r="W1020" s="2"/>
      <c r="X1020" s="9"/>
      <c r="Y1020" s="8"/>
      <c r="Z1020" s="7"/>
      <c r="AA1020" s="7"/>
      <c r="AB1020" s="6"/>
    </row>
    <row r="1021" spans="2:28" ht="30" customHeight="1">
      <c r="B1021" s="35" t="str">
        <f>IF(MONTH(F1020)&lt;&gt;MONTH(TableauCB[[#This Row],[Date d''éxigibilité]]),(TableauCB[[#This Row],[Date d''éxigibilité]]),"")</f>
        <v/>
      </c>
      <c r="C1021" s="11"/>
      <c r="D1021" s="11" t="s">
        <v>11</v>
      </c>
      <c r="E1021" s="11" t="s">
        <v>10</v>
      </c>
      <c r="F1021" s="34">
        <v>42855</v>
      </c>
      <c r="G1021"/>
      <c r="H1021"/>
      <c r="I1021" s="32"/>
      <c r="J1021"/>
      <c r="K1021" s="31"/>
      <c r="L1021" s="30"/>
      <c r="M1021" s="29">
        <v>624</v>
      </c>
      <c r="N1021" s="28">
        <f>IF(OR(TableauCB[[#This Row],[Etat]]="",TableauCB[[#This Row],[Etat]]="c"),IF(TableauCB[[#This Row],[Solde]]="","",N1020),N1020-TableauCB[[#This Row],[Débit]]+TableauCB[[#This Row],[Crédit]])</f>
        <v>6224.3360000000048</v>
      </c>
      <c r="O1021" s="27">
        <f>IF(TableauCB[[#This Row],[Etat]]="xc",O1020-TableauCB[[#This Row],[Débit]]+TableauCB[[#This Row],[Crédit]],O1020-TableauCB[[#This Row],[Débit]])</f>
        <v>-350.16000000000537</v>
      </c>
      <c r="P1021" s="27">
        <f>IF(AND(ISBLANK(TableauCB[[#This Row],[Débit]]),ISBLANK(TableauCB[[#This Row],[Crédit]])),"",P1020+TableauCB[[#This Row],[Crédit]]-TableauCB[[#This Row],[Débit]])</f>
        <v>9796.6260000000075</v>
      </c>
      <c r="Q1021" s="26"/>
      <c r="R1021" s="4"/>
      <c r="S1021" s="4"/>
      <c r="T1021" s="24"/>
      <c r="U1021" s="24"/>
      <c r="V1021" s="9"/>
      <c r="W1021" s="2"/>
      <c r="X1021" s="9"/>
      <c r="Y1021" s="8"/>
      <c r="Z1021" s="7"/>
      <c r="AA1021" s="7"/>
      <c r="AB1021" s="6"/>
    </row>
    <row r="1022" spans="2:28" ht="30" customHeight="1">
      <c r="B1022" s="35" t="str">
        <f>IF(MONTH(F1021)&lt;&gt;MONTH(TableauCB[[#This Row],[Date d''éxigibilité]]),(TableauCB[[#This Row],[Date d''éxigibilité]]),"")</f>
        <v/>
      </c>
      <c r="C1022" s="11"/>
      <c r="D1022" s="11" t="s">
        <v>11</v>
      </c>
      <c r="E1022" s="11" t="s">
        <v>12</v>
      </c>
      <c r="F1022" s="34">
        <v>42855</v>
      </c>
      <c r="G1022"/>
      <c r="H1022"/>
      <c r="I1022" s="32"/>
      <c r="J1022"/>
      <c r="K1022" s="31"/>
      <c r="L1022" s="30"/>
      <c r="M1022" s="29">
        <v>117.5</v>
      </c>
      <c r="N1022" s="28">
        <f>IF(OR(TableauCB[[#This Row],[Etat]]="",TableauCB[[#This Row],[Etat]]="c"),IF(TableauCB[[#This Row],[Solde]]="","",N1021),N1021-TableauCB[[#This Row],[Débit]]+TableauCB[[#This Row],[Crédit]])</f>
        <v>6224.3360000000048</v>
      </c>
      <c r="O1022" s="27">
        <f>IF(TableauCB[[#This Row],[Etat]]="xc",O1021-TableauCB[[#This Row],[Débit]]+TableauCB[[#This Row],[Crédit]],O1021-TableauCB[[#This Row],[Débit]])</f>
        <v>-350.16000000000537</v>
      </c>
      <c r="P1022" s="27">
        <f>IF(AND(ISBLANK(TableauCB[[#This Row],[Débit]]),ISBLANK(TableauCB[[#This Row],[Crédit]])),"",P1021+TableauCB[[#This Row],[Crédit]]-TableauCB[[#This Row],[Débit]])</f>
        <v>9914.1260000000075</v>
      </c>
      <c r="Q1022" s="26"/>
      <c r="R1022" s="25"/>
      <c r="S1022" s="25"/>
      <c r="T1022" s="24"/>
      <c r="U1022" s="24"/>
      <c r="V1022" s="9"/>
      <c r="W1022" s="2"/>
      <c r="X1022" s="9"/>
      <c r="Y1022" s="8"/>
      <c r="Z1022" s="7"/>
      <c r="AA1022" s="7"/>
      <c r="AB1022" s="6"/>
    </row>
    <row r="1023" spans="2:28" ht="30" customHeight="1">
      <c r="B1023" s="35" t="str">
        <f>IF(MONTH(F1022)&lt;&gt;MONTH(TableauCB[[#This Row],[Date d''éxigibilité]]),(TableauCB[[#This Row],[Date d''éxigibilité]]),"")</f>
        <v/>
      </c>
      <c r="C1023" s="11"/>
      <c r="D1023" s="11" t="s">
        <v>11</v>
      </c>
      <c r="E1023" s="11" t="s">
        <v>10</v>
      </c>
      <c r="F1023" s="34">
        <v>42855</v>
      </c>
      <c r="G1023"/>
      <c r="H1023"/>
      <c r="I1023" s="32"/>
      <c r="J1023"/>
      <c r="K1023" s="31"/>
      <c r="L1023" s="30"/>
      <c r="M1023" s="29">
        <v>96</v>
      </c>
      <c r="N1023" s="28">
        <f>IF(OR(TableauCB[[#This Row],[Etat]]="",TableauCB[[#This Row],[Etat]]="c"),IF(TableauCB[[#This Row],[Solde]]="","",N1022),N1022-TableauCB[[#This Row],[Débit]]+TableauCB[[#This Row],[Crédit]])</f>
        <v>6224.3360000000048</v>
      </c>
      <c r="O1023" s="27">
        <f>IF(TableauCB[[#This Row],[Etat]]="xc",O1022-TableauCB[[#This Row],[Débit]]+TableauCB[[#This Row],[Crédit]],O1022-TableauCB[[#This Row],[Débit]])</f>
        <v>-350.16000000000537</v>
      </c>
      <c r="P1023" s="27">
        <f>IF(AND(ISBLANK(TableauCB[[#This Row],[Débit]]),ISBLANK(TableauCB[[#This Row],[Crédit]])),"",P1022+TableauCB[[#This Row],[Crédit]]-TableauCB[[#This Row],[Débit]])</f>
        <v>10010.126000000007</v>
      </c>
      <c r="Q1023" s="26"/>
      <c r="R1023" s="25"/>
      <c r="S1023" s="25"/>
      <c r="T1023" s="24"/>
      <c r="U1023" s="24"/>
      <c r="V1023" s="9"/>
      <c r="W1023" s="2"/>
      <c r="X1023" s="9"/>
      <c r="Y1023" s="8"/>
      <c r="Z1023" s="7"/>
      <c r="AA1023" s="7"/>
      <c r="AB1023" s="6"/>
    </row>
    <row r="1024" spans="2:28" ht="14.1" customHeight="1">
      <c r="B1024" s="35" t="str">
        <f>IF(MONTH(F1023)&lt;&gt;MONTH(TableauCB[[#This Row],[Date d''éxigibilité]]),(TableauCB[[#This Row],[Date d''éxigibilité]]),"")</f>
        <v/>
      </c>
      <c r="C1024" s="11"/>
      <c r="D1024" s="11" t="s">
        <v>9</v>
      </c>
      <c r="E1024" s="11" t="s">
        <v>8</v>
      </c>
      <c r="F1024" s="34">
        <v>42855</v>
      </c>
      <c r="G1024"/>
      <c r="H1024"/>
      <c r="I1024" s="32"/>
      <c r="J1024"/>
      <c r="K1024" s="31"/>
      <c r="L1024" s="30">
        <v>240</v>
      </c>
      <c r="M1024" s="29"/>
      <c r="N1024" s="28">
        <f>IF(OR(TableauCB[[#This Row],[Etat]]="",TableauCB[[#This Row],[Etat]]="c"),IF(TableauCB[[#This Row],[Solde]]="","",N1023),N1023-TableauCB[[#This Row],[Débit]]+TableauCB[[#This Row],[Crédit]])</f>
        <v>6224.3360000000048</v>
      </c>
      <c r="O1024" s="27">
        <f>IF(TableauCB[[#This Row],[Etat]]="xc",O1023-TableauCB[[#This Row],[Débit]]+TableauCB[[#This Row],[Crédit]],O1023-TableauCB[[#This Row],[Débit]])</f>
        <v>-590.16000000000531</v>
      </c>
      <c r="P1024" s="27">
        <f>IF(AND(ISBLANK(TableauCB[[#This Row],[Débit]]),ISBLANK(TableauCB[[#This Row],[Crédit]])),"",P1023+TableauCB[[#This Row],[Crédit]]-TableauCB[[#This Row],[Débit]])</f>
        <v>9770.1260000000075</v>
      </c>
      <c r="Q1024" s="26"/>
      <c r="R1024" s="36"/>
      <c r="S1024" s="36"/>
      <c r="T1024" s="24"/>
      <c r="U1024" s="24"/>
      <c r="V1024" s="9"/>
      <c r="W1024" s="2"/>
      <c r="X1024" s="9"/>
      <c r="Y1024" s="8"/>
      <c r="Z1024" s="7"/>
      <c r="AA1024" s="7"/>
      <c r="AB1024" s="6"/>
    </row>
    <row r="1025" spans="2:28" ht="14.1" customHeight="1">
      <c r="B1025" s="35" t="str">
        <f>IF(MONTH(F1024)&lt;&gt;MONTH(TableauCB[[#This Row],[Date d''éxigibilité]]),(TableauCB[[#This Row],[Date d''éxigibilité]]),"")</f>
        <v/>
      </c>
      <c r="C1025" s="11"/>
      <c r="D1025" s="11" t="s">
        <v>5</v>
      </c>
      <c r="E1025" s="11" t="s">
        <v>7</v>
      </c>
      <c r="F1025" s="34">
        <v>42855</v>
      </c>
      <c r="G1025"/>
      <c r="H1025"/>
      <c r="I1025" s="32"/>
      <c r="J1025"/>
      <c r="K1025" s="31"/>
      <c r="L1025" s="30">
        <v>600</v>
      </c>
      <c r="M1025" s="29"/>
      <c r="N1025" s="28">
        <f>IF(OR(TableauCB[[#This Row],[Etat]]="",TableauCB[[#This Row],[Etat]]="c"),IF(TableauCB[[#This Row],[Solde]]="","",N1024),N1024-TableauCB[[#This Row],[Débit]]+TableauCB[[#This Row],[Crédit]])</f>
        <v>6224.3360000000048</v>
      </c>
      <c r="O1025" s="27">
        <f>IF(TableauCB[[#This Row],[Etat]]="xc",O1024-TableauCB[[#This Row],[Débit]]+TableauCB[[#This Row],[Crédit]],O1024-TableauCB[[#This Row],[Débit]])</f>
        <v>-1190.1600000000053</v>
      </c>
      <c r="P1025" s="27">
        <f>IF(AND(ISBLANK(TableauCB[[#This Row],[Débit]]),ISBLANK(TableauCB[[#This Row],[Crédit]])),"",P1024+TableauCB[[#This Row],[Crédit]]-TableauCB[[#This Row],[Débit]])</f>
        <v>9170.1260000000075</v>
      </c>
      <c r="Q1025" s="26"/>
      <c r="R1025" s="25"/>
      <c r="S1025" s="25"/>
      <c r="T1025" s="24"/>
      <c r="U1025" s="24"/>
      <c r="V1025" s="9"/>
      <c r="W1025" s="2"/>
      <c r="X1025" s="9"/>
      <c r="Y1025" s="8"/>
      <c r="Z1025" s="7"/>
      <c r="AA1025" s="7"/>
      <c r="AB1025" s="6"/>
    </row>
    <row r="1026" spans="2:28" ht="14.1" customHeight="1">
      <c r="B1026" s="35" t="str">
        <f>IF(MONTH(F1025)&lt;&gt;MONTH(TableauCB[[#This Row],[Date d''éxigibilité]]),(TableauCB[[#This Row],[Date d''éxigibilité]]),"")</f>
        <v/>
      </c>
      <c r="C1026" s="11"/>
      <c r="D1026" s="11" t="s">
        <v>5</v>
      </c>
      <c r="E1026" s="11" t="s">
        <v>6</v>
      </c>
      <c r="F1026" s="34">
        <v>42855</v>
      </c>
      <c r="G1026"/>
      <c r="H1026"/>
      <c r="I1026" s="32"/>
      <c r="J1026"/>
      <c r="K1026" s="31"/>
      <c r="L1026" s="30">
        <v>291.3</v>
      </c>
      <c r="M1026" s="29"/>
      <c r="N1026" s="28">
        <f>IF(OR(TableauCB[[#This Row],[Etat]]="",TableauCB[[#This Row],[Etat]]="c"),IF(TableauCB[[#This Row],[Solde]]="","",N1025),N1025-TableauCB[[#This Row],[Débit]]+TableauCB[[#This Row],[Crédit]])</f>
        <v>6224.3360000000048</v>
      </c>
      <c r="O1026" s="27">
        <f>IF(TableauCB[[#This Row],[Etat]]="xc",O1025-TableauCB[[#This Row],[Débit]]+TableauCB[[#This Row],[Crédit]],O1025-TableauCB[[#This Row],[Débit]])</f>
        <v>-1481.4600000000053</v>
      </c>
      <c r="P1026" s="27">
        <f>IF(AND(ISBLANK(TableauCB[[#This Row],[Débit]]),ISBLANK(TableauCB[[#This Row],[Crédit]])),"",P1025+TableauCB[[#This Row],[Crédit]]-TableauCB[[#This Row],[Débit]])</f>
        <v>8878.8260000000082</v>
      </c>
      <c r="Q1026" s="26"/>
      <c r="R1026" s="25"/>
      <c r="S1026" s="25"/>
      <c r="T1026" s="24"/>
      <c r="U1026" s="24"/>
      <c r="V1026" s="9"/>
      <c r="W1026" s="2"/>
      <c r="X1026" s="9"/>
      <c r="Y1026" s="8"/>
      <c r="Z1026" s="7"/>
      <c r="AA1026" s="7"/>
      <c r="AB1026" s="6"/>
    </row>
    <row r="1027" spans="2:28" ht="14.1" customHeight="1">
      <c r="B1027" s="35" t="str">
        <f>IF(MONTH(F1026)&lt;&gt;MONTH(TableauCB[[#This Row],[Date d''éxigibilité]]),(TableauCB[[#This Row],[Date d''éxigibilité]]),"")</f>
        <v/>
      </c>
      <c r="C1027" s="11"/>
      <c r="D1027" s="11" t="s">
        <v>11</v>
      </c>
      <c r="E1027" s="11" t="s">
        <v>10</v>
      </c>
      <c r="F1027" s="34">
        <v>42855</v>
      </c>
      <c r="G1027"/>
      <c r="H1027"/>
      <c r="I1027" s="32"/>
      <c r="J1027"/>
      <c r="K1027" s="31"/>
      <c r="L1027" s="30"/>
      <c r="M1027" s="29">
        <v>504</v>
      </c>
      <c r="N1027" s="28">
        <f>IF(OR(TableauCB[[#This Row],[Etat]]="",TableauCB[[#This Row],[Etat]]="c"),IF(TableauCB[[#This Row],[Solde]]="","",N1026),N1026-TableauCB[[#This Row],[Débit]]+TableauCB[[#This Row],[Crédit]])</f>
        <v>6224.3360000000048</v>
      </c>
      <c r="O1027" s="27">
        <f>IF(TableauCB[[#This Row],[Etat]]="xc",O1026-TableauCB[[#This Row],[Débit]]+TableauCB[[#This Row],[Crédit]],O1026-TableauCB[[#This Row],[Débit]])</f>
        <v>-1481.4600000000053</v>
      </c>
      <c r="P1027" s="27">
        <f>IF(AND(ISBLANK(TableauCB[[#This Row],[Débit]]),ISBLANK(TableauCB[[#This Row],[Crédit]])),"",P1026+TableauCB[[#This Row],[Crédit]]-TableauCB[[#This Row],[Débit]])</f>
        <v>9382.8260000000082</v>
      </c>
      <c r="Q1027" s="26"/>
      <c r="R1027" s="25"/>
      <c r="S1027" s="25"/>
      <c r="T1027" s="24"/>
      <c r="U1027" s="24"/>
      <c r="V1027" s="9"/>
      <c r="W1027" s="2"/>
      <c r="X1027" s="9"/>
      <c r="Y1027" s="8"/>
      <c r="Z1027" s="7"/>
      <c r="AA1027" s="7"/>
      <c r="AB1027" s="6"/>
    </row>
    <row r="1028" spans="2:28" ht="14.1" customHeight="1">
      <c r="B1028" s="35" t="str">
        <f>IF(MONTH(F1027)&lt;&gt;MONTH(TableauCB[[#This Row],[Date d''éxigibilité]]),(TableauCB[[#This Row],[Date d''éxigibilité]]),"")</f>
        <v/>
      </c>
      <c r="C1028" s="11"/>
      <c r="D1028" s="11" t="s">
        <v>11</v>
      </c>
      <c r="E1028" s="11" t="s">
        <v>12</v>
      </c>
      <c r="F1028" s="34">
        <v>42855</v>
      </c>
      <c r="G1028"/>
      <c r="H1028"/>
      <c r="I1028" s="32"/>
      <c r="J1028"/>
      <c r="K1028" s="31"/>
      <c r="L1028" s="30"/>
      <c r="M1028" s="29">
        <v>180</v>
      </c>
      <c r="N1028" s="28">
        <f>IF(OR(TableauCB[[#This Row],[Etat]]="",TableauCB[[#This Row],[Etat]]="c"),IF(TableauCB[[#This Row],[Solde]]="","",N1027),N1027-TableauCB[[#This Row],[Débit]]+TableauCB[[#This Row],[Crédit]])</f>
        <v>6224.3360000000048</v>
      </c>
      <c r="O1028" s="27">
        <f>IF(TableauCB[[#This Row],[Etat]]="xc",O1027-TableauCB[[#This Row],[Débit]]+TableauCB[[#This Row],[Crédit]],O1027-TableauCB[[#This Row],[Débit]])</f>
        <v>-1481.4600000000053</v>
      </c>
      <c r="P1028" s="27">
        <f>IF(AND(ISBLANK(TableauCB[[#This Row],[Débit]]),ISBLANK(TableauCB[[#This Row],[Crédit]])),"",P1027+TableauCB[[#This Row],[Crédit]]-TableauCB[[#This Row],[Débit]])</f>
        <v>9562.8260000000082</v>
      </c>
      <c r="Q1028" s="26"/>
      <c r="R1028" s="25"/>
      <c r="S1028" s="25"/>
      <c r="T1028" s="24"/>
      <c r="U1028" s="24"/>
      <c r="V1028" s="9"/>
      <c r="W1028" s="2"/>
      <c r="X1028" s="9"/>
      <c r="Y1028" s="8"/>
      <c r="Z1028" s="7"/>
      <c r="AA1028" s="7"/>
      <c r="AB1028" s="6"/>
    </row>
    <row r="1029" spans="2:28" ht="14.1" customHeight="1">
      <c r="B1029" s="35" t="str">
        <f>IF(MONTH(F1028)&lt;&gt;MONTH(TableauCB[[#This Row],[Date d''éxigibilité]]),(TableauCB[[#This Row],[Date d''éxigibilité]]),"")</f>
        <v/>
      </c>
      <c r="C1029" s="11"/>
      <c r="D1029" s="11" t="s">
        <v>15</v>
      </c>
      <c r="E1029" s="11" t="s">
        <v>14</v>
      </c>
      <c r="F1029" s="34">
        <v>42855</v>
      </c>
      <c r="G1029"/>
      <c r="H1029"/>
      <c r="I1029" s="32"/>
      <c r="J1029"/>
      <c r="K1029" s="31"/>
      <c r="L1029" s="30">
        <v>210</v>
      </c>
      <c r="M1029" s="29"/>
      <c r="N1029" s="28">
        <f>IF(OR(TableauCB[[#This Row],[Etat]]="",TableauCB[[#This Row],[Etat]]="c"),IF(TableauCB[[#This Row],[Solde]]="","",N1028),N1028-TableauCB[[#This Row],[Débit]]+TableauCB[[#This Row],[Crédit]])</f>
        <v>6224.3360000000048</v>
      </c>
      <c r="O1029" s="27">
        <f>IF(TableauCB[[#This Row],[Etat]]="xc",O1028-TableauCB[[#This Row],[Débit]]+TableauCB[[#This Row],[Crédit]],O1028-TableauCB[[#This Row],[Débit]])</f>
        <v>-1691.4600000000053</v>
      </c>
      <c r="P1029" s="27">
        <f>IF(AND(ISBLANK(TableauCB[[#This Row],[Débit]]),ISBLANK(TableauCB[[#This Row],[Crédit]])),"",P1028+TableauCB[[#This Row],[Crédit]]-TableauCB[[#This Row],[Débit]])</f>
        <v>9352.8260000000082</v>
      </c>
      <c r="Q1029" s="26"/>
      <c r="R1029" s="4"/>
      <c r="S1029" s="39"/>
      <c r="T1029" s="24"/>
      <c r="U1029" s="24"/>
      <c r="V1029" s="9"/>
      <c r="W1029" s="2"/>
      <c r="X1029" s="9"/>
      <c r="Y1029" s="8"/>
      <c r="Z1029" s="7"/>
      <c r="AA1029" s="7"/>
      <c r="AB1029" s="6"/>
    </row>
    <row r="1030" spans="2:28" ht="14.1" customHeight="1">
      <c r="B1030" s="35">
        <f>IF(MONTH(F1029)&lt;&gt;MONTH(TableauCB[[#This Row],[Date d''éxigibilité]]),(TableauCB[[#This Row],[Date d''éxigibilité]]),"")</f>
        <v>42858</v>
      </c>
      <c r="C1030" s="11"/>
      <c r="D1030" s="11" t="s">
        <v>15</v>
      </c>
      <c r="E1030" s="11" t="s">
        <v>23</v>
      </c>
      <c r="F1030" s="34">
        <v>42858</v>
      </c>
      <c r="G1030"/>
      <c r="H1030"/>
      <c r="I1030" s="32"/>
      <c r="J1030"/>
      <c r="K1030" s="31"/>
      <c r="L1030" s="30">
        <v>684</v>
      </c>
      <c r="M1030" s="29"/>
      <c r="N1030" s="28">
        <f>IF(OR(TableauCB[[#This Row],[Etat]]="",TableauCB[[#This Row],[Etat]]="c"),IF(TableauCB[[#This Row],[Solde]]="","",N1029),N1029-TableauCB[[#This Row],[Débit]]+TableauCB[[#This Row],[Crédit]])</f>
        <v>6224.3360000000048</v>
      </c>
      <c r="O1030" s="27">
        <f>IF(TableauCB[[#This Row],[Etat]]="xc",O1029-TableauCB[[#This Row],[Débit]]+TableauCB[[#This Row],[Crédit]],O1029-TableauCB[[#This Row],[Débit]])</f>
        <v>-2375.4600000000055</v>
      </c>
      <c r="P1030" s="27">
        <f>IF(AND(ISBLANK(TableauCB[[#This Row],[Débit]]),ISBLANK(TableauCB[[#This Row],[Crédit]])),"",P1029+TableauCB[[#This Row],[Crédit]]-TableauCB[[#This Row],[Débit]])</f>
        <v>8668.8260000000082</v>
      </c>
      <c r="Q1030" s="26"/>
      <c r="R1030" s="4"/>
      <c r="S1030" s="39"/>
      <c r="T1030" s="24"/>
      <c r="U1030" s="24"/>
      <c r="V1030" s="9"/>
      <c r="W1030" s="2"/>
      <c r="X1030" s="9"/>
      <c r="Y1030" s="8"/>
      <c r="Z1030" s="7"/>
      <c r="AA1030" s="7"/>
      <c r="AB1030" s="6"/>
    </row>
    <row r="1031" spans="2:28" ht="14.1" customHeight="1">
      <c r="B1031" s="35" t="str">
        <f>IF(MONTH(F1030)&lt;&gt;MONTH(TableauCB[[#This Row],[Date d''éxigibilité]]),(TableauCB[[#This Row],[Date d''éxigibilité]]),"")</f>
        <v/>
      </c>
      <c r="C1031" s="11"/>
      <c r="D1031" s="11" t="s">
        <v>22</v>
      </c>
      <c r="E1031" s="11" t="s">
        <v>21</v>
      </c>
      <c r="F1031" s="34">
        <v>42860</v>
      </c>
      <c r="G1031"/>
      <c r="H1031"/>
      <c r="I1031" s="32"/>
      <c r="J1031"/>
      <c r="K1031" s="31"/>
      <c r="L1031" s="30">
        <v>22.4</v>
      </c>
      <c r="M1031" s="29"/>
      <c r="N1031" s="28">
        <f>IF(OR(TableauCB[[#This Row],[Etat]]="",TableauCB[[#This Row],[Etat]]="c"),IF(TableauCB[[#This Row],[Solde]]="","",N1030),N1030-TableauCB[[#This Row],[Débit]]+TableauCB[[#This Row],[Crédit]])</f>
        <v>6224.3360000000048</v>
      </c>
      <c r="O1031" s="27">
        <f>IF(TableauCB[[#This Row],[Etat]]="xc",O1030-TableauCB[[#This Row],[Débit]]+TableauCB[[#This Row],[Crédit]],O1030-TableauCB[[#This Row],[Débit]])</f>
        <v>-2397.8600000000056</v>
      </c>
      <c r="P1031" s="27">
        <f>IF(AND(ISBLANK(TableauCB[[#This Row],[Débit]]),ISBLANK(TableauCB[[#This Row],[Crédit]])),"",P1030+TableauCB[[#This Row],[Crédit]]-TableauCB[[#This Row],[Débit]])</f>
        <v>8646.4260000000086</v>
      </c>
      <c r="Q1031" s="26"/>
      <c r="R1031" s="28"/>
      <c r="S1031" s="4"/>
      <c r="T1031" s="24"/>
      <c r="U1031" s="24"/>
      <c r="V1031" s="9"/>
      <c r="W1031" s="2"/>
      <c r="X1031" s="9"/>
      <c r="Y1031" s="8"/>
      <c r="Z1031" s="7"/>
      <c r="AA1031" s="7"/>
      <c r="AB1031" s="6"/>
    </row>
    <row r="1032" spans="2:28" ht="14.1" customHeight="1">
      <c r="B1032" s="35" t="str">
        <f>IF(MONTH(F1031)&lt;&gt;MONTH(TableauCB[[#This Row],[Date d''éxigibilité]]),(TableauCB[[#This Row],[Date d''éxigibilité]]),"")</f>
        <v/>
      </c>
      <c r="C1032" s="11"/>
      <c r="D1032" s="11" t="s">
        <v>15</v>
      </c>
      <c r="E1032" s="11" t="s">
        <v>19</v>
      </c>
      <c r="F1032" s="34">
        <v>42870</v>
      </c>
      <c r="G1032"/>
      <c r="H1032"/>
      <c r="I1032" s="32"/>
      <c r="J1032"/>
      <c r="K1032" s="31"/>
      <c r="L1032" s="30">
        <v>53</v>
      </c>
      <c r="M1032" s="29"/>
      <c r="N1032" s="28">
        <f>IF(OR(TableauCB[[#This Row],[Etat]]="",TableauCB[[#This Row],[Etat]]="c"),IF(TableauCB[[#This Row],[Solde]]="","",N1031),N1031-TableauCB[[#This Row],[Débit]]+TableauCB[[#This Row],[Crédit]])</f>
        <v>6224.3360000000048</v>
      </c>
      <c r="O1032" s="27">
        <f>IF(TableauCB[[#This Row],[Etat]]="xc",O1031-TableauCB[[#This Row],[Débit]]+TableauCB[[#This Row],[Crédit]],O1031-TableauCB[[#This Row],[Débit]])</f>
        <v>-2450.8600000000056</v>
      </c>
      <c r="P1032" s="27">
        <f>IF(AND(ISBLANK(TableauCB[[#This Row],[Débit]]),ISBLANK(TableauCB[[#This Row],[Crédit]])),"",P1031+TableauCB[[#This Row],[Crédit]]-TableauCB[[#This Row],[Débit]])</f>
        <v>8593.4260000000086</v>
      </c>
      <c r="Q1032" s="26"/>
      <c r="R1032" s="25"/>
      <c r="S1032" s="25"/>
      <c r="T1032" s="24"/>
      <c r="U1032" s="24"/>
      <c r="V1032" s="9"/>
      <c r="W1032" s="2"/>
      <c r="X1032" s="9"/>
      <c r="Y1032" s="8"/>
      <c r="Z1032" s="7"/>
      <c r="AA1032" s="7"/>
      <c r="AB1032" s="6"/>
    </row>
    <row r="1033" spans="2:28" ht="14.1" customHeight="1">
      <c r="B1033" s="35" t="str">
        <f>IF(MONTH(F1032)&lt;&gt;MONTH(TableauCB[[#This Row],[Date d''éxigibilité]]),(TableauCB[[#This Row],[Date d''éxigibilité]]),"")</f>
        <v/>
      </c>
      <c r="C1033" s="11"/>
      <c r="D1033" s="11" t="s">
        <v>17</v>
      </c>
      <c r="E1033" s="11" t="s">
        <v>16</v>
      </c>
      <c r="F1033" s="34">
        <v>42875</v>
      </c>
      <c r="G1033"/>
      <c r="H1033"/>
      <c r="I1033" s="32"/>
      <c r="J1033"/>
      <c r="K1033" s="31"/>
      <c r="L1033" s="30">
        <v>3.59</v>
      </c>
      <c r="M1033" s="29"/>
      <c r="N1033" s="28">
        <f>IF(OR(TableauCB[[#This Row],[Etat]]="",TableauCB[[#This Row],[Etat]]="c"),IF(TableauCB[[#This Row],[Solde]]="","",N1032),N1032-TableauCB[[#This Row],[Débit]]+TableauCB[[#This Row],[Crédit]])</f>
        <v>6224.3360000000048</v>
      </c>
      <c r="O1033" s="27">
        <f>IF(TableauCB[[#This Row],[Etat]]="xc",O1032-TableauCB[[#This Row],[Débit]]+TableauCB[[#This Row],[Crédit]],O1032-TableauCB[[#This Row],[Débit]])</f>
        <v>-2454.4500000000057</v>
      </c>
      <c r="P1033" s="27">
        <f>IF(AND(ISBLANK(TableauCB[[#This Row],[Débit]]),ISBLANK(TableauCB[[#This Row],[Crédit]])),"",P1032+TableauCB[[#This Row],[Crédit]]-TableauCB[[#This Row],[Débit]])</f>
        <v>8589.8360000000084</v>
      </c>
      <c r="Q1033" s="26"/>
      <c r="R1033" s="25"/>
      <c r="S1033" s="25"/>
      <c r="T1033" s="24"/>
      <c r="U1033" s="24"/>
      <c r="V1033" s="9"/>
      <c r="W1033" s="2"/>
      <c r="X1033" s="9"/>
      <c r="Y1033" s="8"/>
      <c r="Z1033" s="7"/>
      <c r="AA1033" s="7"/>
      <c r="AB1033" s="6"/>
    </row>
    <row r="1034" spans="2:28" ht="14.1" customHeight="1">
      <c r="B1034" s="35" t="str">
        <f>IF(MONTH(F1033)&lt;&gt;MONTH(TableauCB[[#This Row],[Date d''éxigibilité]]),(TableauCB[[#This Row],[Date d''éxigibilité]]),"")</f>
        <v/>
      </c>
      <c r="C1034" s="11"/>
      <c r="D1034" s="11" t="s">
        <v>17</v>
      </c>
      <c r="E1034" s="11" t="s">
        <v>18</v>
      </c>
      <c r="F1034" s="34">
        <v>42876</v>
      </c>
      <c r="G1034"/>
      <c r="H1034"/>
      <c r="I1034" s="32"/>
      <c r="J1034"/>
      <c r="K1034" s="31"/>
      <c r="L1034" s="30">
        <v>45.6</v>
      </c>
      <c r="M1034" s="29"/>
      <c r="N1034" s="28">
        <f>IF(OR(TableauCB[[#This Row],[Etat]]="",TableauCB[[#This Row],[Etat]]="c"),IF(TableauCB[[#This Row],[Solde]]="","",N1033),N1033-TableauCB[[#This Row],[Débit]]+TableauCB[[#This Row],[Crédit]])</f>
        <v>6224.3360000000048</v>
      </c>
      <c r="O1034" s="27">
        <f>IF(TableauCB[[#This Row],[Etat]]="xc",O1033-TableauCB[[#This Row],[Débit]]+TableauCB[[#This Row],[Crédit]],O1033-TableauCB[[#This Row],[Débit]])</f>
        <v>-2500.0500000000056</v>
      </c>
      <c r="P1034" s="27">
        <f>IF(AND(ISBLANK(TableauCB[[#This Row],[Débit]]),ISBLANK(TableauCB[[#This Row],[Crédit]])),"",P1033+TableauCB[[#This Row],[Crédit]]-TableauCB[[#This Row],[Débit]])</f>
        <v>8544.2360000000081</v>
      </c>
      <c r="Q1034" s="26"/>
      <c r="R1034" s="25"/>
      <c r="S1034" s="25"/>
      <c r="T1034" s="24"/>
      <c r="U1034" s="24"/>
      <c r="V1034" s="9"/>
      <c r="W1034" s="2"/>
      <c r="X1034" s="9"/>
      <c r="Y1034" s="8"/>
      <c r="Z1034" s="7"/>
      <c r="AA1034" s="7"/>
      <c r="AB1034" s="6"/>
    </row>
    <row r="1035" spans="2:28" ht="14.1" customHeight="1">
      <c r="B1035" s="35" t="str">
        <f>IF(MONTH(F1034)&lt;&gt;MONTH(TableauCB[[#This Row],[Date d''éxigibilité]]),(TableauCB[[#This Row],[Date d''éxigibilité]]),"")</f>
        <v/>
      </c>
      <c r="C1035" s="11"/>
      <c r="D1035" s="11" t="s">
        <v>32</v>
      </c>
      <c r="E1035" s="11" t="s">
        <v>12</v>
      </c>
      <c r="F1035" s="34">
        <v>42885</v>
      </c>
      <c r="G1035"/>
      <c r="H1035"/>
      <c r="I1035" s="32"/>
      <c r="J1035"/>
      <c r="K1035" s="31"/>
      <c r="L1035" s="30"/>
      <c r="M1035" s="29">
        <v>144</v>
      </c>
      <c r="N1035" s="28">
        <f>IF(OR(TableauCB[[#This Row],[Etat]]="",TableauCB[[#This Row],[Etat]]="c"),IF(TableauCB[[#This Row],[Solde]]="","",N1034),N1034-TableauCB[[#This Row],[Débit]]+TableauCB[[#This Row],[Crédit]])</f>
        <v>6224.3360000000048</v>
      </c>
      <c r="O1035" s="27">
        <f>IF(TableauCB[[#This Row],[Etat]]="xc",O1034-TableauCB[[#This Row],[Débit]]+TableauCB[[#This Row],[Crédit]],O1034-TableauCB[[#This Row],[Débit]])</f>
        <v>-2500.0500000000056</v>
      </c>
      <c r="P1035" s="27">
        <f>IF(AND(ISBLANK(TableauCB[[#This Row],[Débit]]),ISBLANK(TableauCB[[#This Row],[Crédit]])),"",P1034+TableauCB[[#This Row],[Crédit]]-TableauCB[[#This Row],[Débit]])</f>
        <v>8688.2360000000081</v>
      </c>
      <c r="Q1035" s="26"/>
      <c r="R1035" s="25"/>
      <c r="S1035" s="25"/>
      <c r="T1035" s="24"/>
      <c r="U1035" s="24"/>
      <c r="V1035" s="9"/>
      <c r="W1035" s="2"/>
      <c r="X1035" s="9"/>
      <c r="Y1035" s="8"/>
      <c r="Z1035" s="7"/>
      <c r="AA1035" s="7"/>
      <c r="AB1035" s="6"/>
    </row>
    <row r="1036" spans="2:28" ht="14.1" customHeight="1">
      <c r="B1036" s="35" t="str">
        <f>IF(MONTH(F1035)&lt;&gt;MONTH(TableauCB[[#This Row],[Date d''éxigibilité]]),(TableauCB[[#This Row],[Date d''éxigibilité]]),"")</f>
        <v/>
      </c>
      <c r="C1036" s="11"/>
      <c r="D1036" s="11" t="s">
        <v>11</v>
      </c>
      <c r="E1036" s="11" t="s">
        <v>10</v>
      </c>
      <c r="F1036" s="34">
        <v>42885</v>
      </c>
      <c r="G1036"/>
      <c r="H1036"/>
      <c r="I1036" s="32"/>
      <c r="J1036"/>
      <c r="K1036" s="31"/>
      <c r="L1036" s="30"/>
      <c r="M1036" s="29">
        <v>108</v>
      </c>
      <c r="N1036" s="28">
        <f>IF(OR(TableauCB[[#This Row],[Etat]]="",TableauCB[[#This Row],[Etat]]="c"),IF(TableauCB[[#This Row],[Solde]]="","",N1035),N1035-TableauCB[[#This Row],[Débit]]+TableauCB[[#This Row],[Crédit]])</f>
        <v>6224.3360000000048</v>
      </c>
      <c r="O1036" s="27">
        <f>IF(TableauCB[[#This Row],[Etat]]="xc",O1035-TableauCB[[#This Row],[Débit]]+TableauCB[[#This Row],[Crédit]],O1035-TableauCB[[#This Row],[Débit]])</f>
        <v>-2500.0500000000056</v>
      </c>
      <c r="P1036" s="27">
        <f>IF(AND(ISBLANK(TableauCB[[#This Row],[Débit]]),ISBLANK(TableauCB[[#This Row],[Crédit]])),"",P1035+TableauCB[[#This Row],[Crédit]]-TableauCB[[#This Row],[Débit]])</f>
        <v>8796.2360000000081</v>
      </c>
      <c r="Q1036" s="26"/>
      <c r="R1036" s="25"/>
      <c r="S1036" s="25"/>
      <c r="T1036" s="24"/>
      <c r="U1036" s="24"/>
      <c r="V1036" s="9"/>
      <c r="W1036" s="2"/>
      <c r="X1036" s="9"/>
      <c r="Y1036" s="8"/>
      <c r="Z1036" s="7"/>
      <c r="AA1036" s="7"/>
      <c r="AB1036" s="6"/>
    </row>
    <row r="1037" spans="2:28" ht="14.1" customHeight="1">
      <c r="B1037" s="35"/>
      <c r="C1037" s="11"/>
      <c r="D1037" s="11" t="s">
        <v>11</v>
      </c>
      <c r="E1037" s="11" t="s">
        <v>10</v>
      </c>
      <c r="F1037" s="34">
        <v>42885</v>
      </c>
      <c r="G1037"/>
      <c r="H1037"/>
      <c r="I1037" s="32"/>
      <c r="J1037"/>
      <c r="K1037" s="31"/>
      <c r="L1037" s="30"/>
      <c r="M1037" s="29">
        <v>198</v>
      </c>
      <c r="N1037" s="28">
        <f>IF(OR(TableauCB[[#This Row],[Etat]]="",TableauCB[[#This Row],[Etat]]="c"),IF(TableauCB[[#This Row],[Solde]]="","",N1036),N1036-TableauCB[[#This Row],[Débit]]+TableauCB[[#This Row],[Crédit]])</f>
        <v>6224.3360000000048</v>
      </c>
      <c r="O1037" s="27">
        <f>IF(TableauCB[[#This Row],[Etat]]="xc",O1036-TableauCB[[#This Row],[Débit]]+TableauCB[[#This Row],[Crédit]],O1036-TableauCB[[#This Row],[Débit]])</f>
        <v>-2500.0500000000056</v>
      </c>
      <c r="P1037" s="27">
        <f>IF(AND(ISBLANK(TableauCB[[#This Row],[Débit]]),ISBLANK(TableauCB[[#This Row],[Crédit]])),"",P1036+TableauCB[[#This Row],[Crédit]]-TableauCB[[#This Row],[Débit]])</f>
        <v>8994.2360000000081</v>
      </c>
      <c r="Q1037" s="26"/>
      <c r="R1037" s="25"/>
      <c r="S1037" s="25"/>
      <c r="T1037" s="24"/>
      <c r="U1037" s="24"/>
      <c r="V1037" s="9"/>
      <c r="W1037" s="2"/>
      <c r="X1037" s="9"/>
      <c r="Y1037" s="8"/>
      <c r="Z1037" s="7"/>
      <c r="AA1037" s="7"/>
      <c r="AB1037" s="6"/>
    </row>
    <row r="1038" spans="2:28" ht="14.1" customHeight="1">
      <c r="B1038" s="35"/>
      <c r="C1038" s="11"/>
      <c r="D1038" s="11" t="s">
        <v>11</v>
      </c>
      <c r="E1038" s="11" t="s">
        <v>10</v>
      </c>
      <c r="F1038" s="34">
        <v>42885</v>
      </c>
      <c r="G1038"/>
      <c r="H1038"/>
      <c r="I1038" s="32"/>
      <c r="J1038"/>
      <c r="K1038" s="31"/>
      <c r="L1038" s="30"/>
      <c r="M1038" s="29">
        <v>151.80000000000001</v>
      </c>
      <c r="N1038" s="28">
        <f>IF(OR(TableauCB[[#This Row],[Etat]]="",TableauCB[[#This Row],[Etat]]="c"),IF(TableauCB[[#This Row],[Solde]]="","",N1037),N1037-TableauCB[[#This Row],[Débit]]+TableauCB[[#This Row],[Crédit]])</f>
        <v>6224.3360000000048</v>
      </c>
      <c r="O1038" s="27">
        <f>IF(TableauCB[[#This Row],[Etat]]="xc",O1037-TableauCB[[#This Row],[Débit]]+TableauCB[[#This Row],[Crédit]],O1037-TableauCB[[#This Row],[Débit]])</f>
        <v>-2500.0500000000056</v>
      </c>
      <c r="P1038" s="27">
        <f>IF(AND(ISBLANK(TableauCB[[#This Row],[Débit]]),ISBLANK(TableauCB[[#This Row],[Crédit]])),"",P1037+TableauCB[[#This Row],[Crédit]]-TableauCB[[#This Row],[Débit]])</f>
        <v>9146.0360000000073</v>
      </c>
      <c r="Q1038" s="26"/>
      <c r="R1038" s="25"/>
      <c r="S1038" s="25"/>
      <c r="T1038" s="24"/>
      <c r="U1038" s="24"/>
      <c r="V1038" s="9"/>
      <c r="W1038" s="2"/>
      <c r="X1038" s="9"/>
      <c r="Y1038" s="8"/>
      <c r="Z1038" s="7"/>
      <c r="AA1038" s="7"/>
      <c r="AB1038" s="6"/>
    </row>
    <row r="1039" spans="2:28" ht="14.1" customHeight="1">
      <c r="B1039" s="35"/>
      <c r="C1039" s="11"/>
      <c r="D1039" s="11" t="s">
        <v>11</v>
      </c>
      <c r="E1039" s="11" t="s">
        <v>12</v>
      </c>
      <c r="F1039" s="34">
        <v>42885</v>
      </c>
      <c r="G1039"/>
      <c r="H1039"/>
      <c r="I1039" s="32"/>
      <c r="J1039"/>
      <c r="K1039" s="31"/>
      <c r="L1039" s="30"/>
      <c r="M1039" s="29">
        <v>522</v>
      </c>
      <c r="N1039" s="28">
        <f>IF(OR(TableauCB[[#This Row],[Etat]]="",TableauCB[[#This Row],[Etat]]="c"),IF(TableauCB[[#This Row],[Solde]]="","",N1038),N1038-TableauCB[[#This Row],[Débit]]+TableauCB[[#This Row],[Crédit]])</f>
        <v>6224.3360000000048</v>
      </c>
      <c r="O1039" s="27">
        <f>IF(TableauCB[[#This Row],[Etat]]="xc",O1038-TableauCB[[#This Row],[Débit]]+TableauCB[[#This Row],[Crédit]],O1038-TableauCB[[#This Row],[Débit]])</f>
        <v>-2500.0500000000056</v>
      </c>
      <c r="P1039" s="27">
        <f>IF(AND(ISBLANK(TableauCB[[#This Row],[Débit]]),ISBLANK(TableauCB[[#This Row],[Crédit]])),"",P1038+TableauCB[[#This Row],[Crédit]]-TableauCB[[#This Row],[Débit]])</f>
        <v>9668.0360000000073</v>
      </c>
      <c r="Q1039" s="26"/>
      <c r="R1039" s="25"/>
      <c r="S1039" s="25"/>
      <c r="T1039" s="24"/>
      <c r="U1039" s="24"/>
      <c r="V1039" s="9"/>
      <c r="W1039" s="2"/>
      <c r="X1039" s="9"/>
      <c r="Y1039" s="8"/>
      <c r="Z1039" s="7"/>
      <c r="AA1039" s="7"/>
      <c r="AB1039" s="6"/>
    </row>
    <row r="1040" spans="2:28" ht="14.1" customHeight="1">
      <c r="B1040" s="35"/>
      <c r="C1040" s="11"/>
      <c r="D1040" s="11" t="s">
        <v>11</v>
      </c>
      <c r="E1040" s="11" t="s">
        <v>10</v>
      </c>
      <c r="F1040" s="34">
        <v>42885</v>
      </c>
      <c r="G1040"/>
      <c r="H1040"/>
      <c r="I1040" s="32"/>
      <c r="J1040"/>
      <c r="K1040" s="31"/>
      <c r="L1040" s="30"/>
      <c r="M1040" s="29">
        <v>192</v>
      </c>
      <c r="N1040" s="28">
        <f>IF(OR(TableauCB[[#This Row],[Etat]]="",TableauCB[[#This Row],[Etat]]="c"),IF(TableauCB[[#This Row],[Solde]]="","",N1039),N1039-TableauCB[[#This Row],[Débit]]+TableauCB[[#This Row],[Crédit]])</f>
        <v>6224.3360000000048</v>
      </c>
      <c r="O1040" s="27">
        <f>IF(TableauCB[[#This Row],[Etat]]="xc",O1039-TableauCB[[#This Row],[Débit]]+TableauCB[[#This Row],[Crédit]],O1039-TableauCB[[#This Row],[Débit]])</f>
        <v>-2500.0500000000056</v>
      </c>
      <c r="P1040" s="27">
        <f>IF(AND(ISBLANK(TableauCB[[#This Row],[Débit]]),ISBLANK(TableauCB[[#This Row],[Crédit]])),"",P1039+TableauCB[[#This Row],[Crédit]]-TableauCB[[#This Row],[Débit]])</f>
        <v>9860.0360000000073</v>
      </c>
      <c r="Q1040" s="26"/>
      <c r="R1040" s="25"/>
      <c r="S1040" s="25"/>
      <c r="T1040" s="24"/>
      <c r="U1040" s="24"/>
      <c r="V1040" s="9"/>
      <c r="W1040" s="2"/>
      <c r="X1040" s="9"/>
      <c r="Y1040" s="8"/>
      <c r="Z1040" s="7"/>
      <c r="AA1040" s="7"/>
      <c r="AB1040" s="6"/>
    </row>
    <row r="1041" spans="2:28" ht="14.1" customHeight="1">
      <c r="B1041" s="35"/>
      <c r="C1041" s="11"/>
      <c r="D1041" s="11" t="s">
        <v>11</v>
      </c>
      <c r="E1041" s="11" t="s">
        <v>10</v>
      </c>
      <c r="F1041" s="34">
        <v>42885</v>
      </c>
      <c r="G1041"/>
      <c r="H1041"/>
      <c r="I1041" s="32"/>
      <c r="J1041"/>
      <c r="K1041" s="31"/>
      <c r="L1041" s="30"/>
      <c r="M1041" s="29">
        <v>624</v>
      </c>
      <c r="N1041" s="28">
        <f>IF(OR(TableauCB[[#This Row],[Etat]]="",TableauCB[[#This Row],[Etat]]="c"),IF(TableauCB[[#This Row],[Solde]]="","",N1040),N1040-TableauCB[[#This Row],[Débit]]+TableauCB[[#This Row],[Crédit]])</f>
        <v>6224.3360000000048</v>
      </c>
      <c r="O1041" s="27">
        <f>IF(TableauCB[[#This Row],[Etat]]="xc",O1040-TableauCB[[#This Row],[Débit]]+TableauCB[[#This Row],[Crédit]],O1040-TableauCB[[#This Row],[Débit]])</f>
        <v>-2500.0500000000056</v>
      </c>
      <c r="P1041" s="27">
        <f>IF(AND(ISBLANK(TableauCB[[#This Row],[Débit]]),ISBLANK(TableauCB[[#This Row],[Crédit]])),"",P1040+TableauCB[[#This Row],[Crédit]]-TableauCB[[#This Row],[Débit]])</f>
        <v>10484.036000000007</v>
      </c>
      <c r="Q1041" s="26"/>
      <c r="R1041" s="25"/>
      <c r="S1041" s="25"/>
      <c r="T1041" s="24"/>
      <c r="U1041" s="24"/>
      <c r="V1041" s="9"/>
      <c r="W1041" s="2"/>
      <c r="X1041" s="9"/>
      <c r="Y1041" s="8"/>
      <c r="Z1041" s="7"/>
      <c r="AA1041" s="7"/>
      <c r="AB1041" s="6"/>
    </row>
    <row r="1042" spans="2:28" ht="14.1" customHeight="1">
      <c r="B1042" s="35"/>
      <c r="C1042" s="11"/>
      <c r="D1042" s="11" t="s">
        <v>11</v>
      </c>
      <c r="E1042" s="11" t="s">
        <v>12</v>
      </c>
      <c r="F1042" s="34">
        <v>42885</v>
      </c>
      <c r="G1042"/>
      <c r="H1042"/>
      <c r="I1042" s="32"/>
      <c r="J1042"/>
      <c r="K1042" s="31"/>
      <c r="L1042" s="30"/>
      <c r="M1042" s="29">
        <v>117.5</v>
      </c>
      <c r="N1042" s="28">
        <f>IF(OR(TableauCB[[#This Row],[Etat]]="",TableauCB[[#This Row],[Etat]]="c"),IF(TableauCB[[#This Row],[Solde]]="","",N1041),N1041-TableauCB[[#This Row],[Débit]]+TableauCB[[#This Row],[Crédit]])</f>
        <v>6224.3360000000048</v>
      </c>
      <c r="O1042" s="27">
        <f>IF(TableauCB[[#This Row],[Etat]]="xc",O1041-TableauCB[[#This Row],[Débit]]+TableauCB[[#This Row],[Crédit]],O1041-TableauCB[[#This Row],[Débit]])</f>
        <v>-2500.0500000000056</v>
      </c>
      <c r="P1042" s="27">
        <f>IF(AND(ISBLANK(TableauCB[[#This Row],[Débit]]),ISBLANK(TableauCB[[#This Row],[Crédit]])),"",P1041+TableauCB[[#This Row],[Crédit]]-TableauCB[[#This Row],[Débit]])</f>
        <v>10601.536000000007</v>
      </c>
      <c r="Q1042" s="26"/>
      <c r="R1042" s="25"/>
      <c r="S1042" s="25"/>
      <c r="T1042" s="24"/>
      <c r="U1042" s="24"/>
      <c r="V1042" s="9"/>
      <c r="W1042" s="2"/>
      <c r="X1042" s="9"/>
      <c r="Y1042" s="8"/>
      <c r="Z1042" s="7"/>
      <c r="AA1042" s="7"/>
      <c r="AB1042" s="6"/>
    </row>
    <row r="1043" spans="2:28" ht="14.1" customHeight="1">
      <c r="B1043" s="35"/>
      <c r="C1043" s="11"/>
      <c r="D1043" s="11" t="s">
        <v>15</v>
      </c>
      <c r="E1043" s="11" t="s">
        <v>14</v>
      </c>
      <c r="F1043" s="34">
        <v>42885</v>
      </c>
      <c r="G1043"/>
      <c r="H1043"/>
      <c r="I1043" s="32"/>
      <c r="J1043"/>
      <c r="K1043" s="31"/>
      <c r="L1043" s="30">
        <v>210</v>
      </c>
      <c r="M1043" s="29"/>
      <c r="N1043" s="28">
        <f>IF(OR(TableauCB[[#This Row],[Etat]]="",TableauCB[[#This Row],[Etat]]="c"),IF(TableauCB[[#This Row],[Solde]]="","",N1042),N1042-TableauCB[[#This Row],[Débit]]+TableauCB[[#This Row],[Crédit]])</f>
        <v>6224.3360000000048</v>
      </c>
      <c r="O1043" s="27">
        <f>IF(TableauCB[[#This Row],[Etat]]="xc",O1042-TableauCB[[#This Row],[Débit]]+TableauCB[[#This Row],[Crédit]],O1042-TableauCB[[#This Row],[Débit]])</f>
        <v>-2710.0500000000056</v>
      </c>
      <c r="P1043" s="27">
        <f>IF(AND(ISBLANK(TableauCB[[#This Row],[Débit]]),ISBLANK(TableauCB[[#This Row],[Crédit]])),"",P1042+TableauCB[[#This Row],[Crédit]]-TableauCB[[#This Row],[Débit]])</f>
        <v>10391.536000000007</v>
      </c>
      <c r="Q1043" s="26"/>
      <c r="R1043" s="25"/>
      <c r="S1043" s="25"/>
      <c r="T1043" s="24"/>
      <c r="U1043" s="24"/>
      <c r="V1043" s="9"/>
      <c r="W1043" s="2"/>
      <c r="X1043" s="9"/>
      <c r="Y1043" s="8"/>
      <c r="Z1043" s="7"/>
      <c r="AA1043" s="7"/>
      <c r="AB1043" s="6"/>
    </row>
    <row r="1044" spans="2:28" ht="14.1" customHeight="1">
      <c r="B1044" s="35"/>
      <c r="C1044" s="11"/>
      <c r="D1044" s="11" t="s">
        <v>11</v>
      </c>
      <c r="E1044" s="11" t="s">
        <v>10</v>
      </c>
      <c r="F1044" s="34">
        <v>42885</v>
      </c>
      <c r="G1044"/>
      <c r="H1044"/>
      <c r="I1044" s="32"/>
      <c r="J1044"/>
      <c r="K1044" s="31"/>
      <c r="L1044" s="30"/>
      <c r="M1044" s="29">
        <v>96</v>
      </c>
      <c r="N1044" s="28">
        <f>IF(OR(TableauCB[[#This Row],[Etat]]="",TableauCB[[#This Row],[Etat]]="c"),IF(TableauCB[[#This Row],[Solde]]="","",N1043),N1043-TableauCB[[#This Row],[Débit]]+TableauCB[[#This Row],[Crédit]])</f>
        <v>6224.3360000000048</v>
      </c>
      <c r="O1044" s="27">
        <f>IF(TableauCB[[#This Row],[Etat]]="xc",O1043-TableauCB[[#This Row],[Débit]]+TableauCB[[#This Row],[Crédit]],O1043-TableauCB[[#This Row],[Débit]])</f>
        <v>-2710.0500000000056</v>
      </c>
      <c r="P1044" s="27">
        <f>IF(AND(ISBLANK(TableauCB[[#This Row],[Débit]]),ISBLANK(TableauCB[[#This Row],[Crédit]])),"",P1043+TableauCB[[#This Row],[Crédit]]-TableauCB[[#This Row],[Débit]])</f>
        <v>10487.536000000007</v>
      </c>
      <c r="Q1044" s="26"/>
      <c r="R1044" s="25"/>
      <c r="S1044" s="25"/>
      <c r="T1044" s="24"/>
      <c r="U1044" s="24"/>
      <c r="V1044" s="9"/>
      <c r="W1044" s="2"/>
      <c r="X1044" s="9"/>
      <c r="Y1044" s="8"/>
      <c r="Z1044" s="7"/>
      <c r="AA1044" s="7"/>
      <c r="AB1044" s="6"/>
    </row>
    <row r="1045" spans="2:28" ht="14.1" customHeight="1">
      <c r="B1045" s="35"/>
      <c r="C1045" s="11"/>
      <c r="D1045" s="11" t="s">
        <v>9</v>
      </c>
      <c r="E1045" s="11" t="s">
        <v>8</v>
      </c>
      <c r="F1045" s="34">
        <v>42885</v>
      </c>
      <c r="G1045"/>
      <c r="H1045"/>
      <c r="I1045" s="32"/>
      <c r="J1045"/>
      <c r="K1045" s="31"/>
      <c r="L1045" s="30">
        <v>240</v>
      </c>
      <c r="M1045" s="29"/>
      <c r="N1045" s="28">
        <f>IF(OR(TableauCB[[#This Row],[Etat]]="",TableauCB[[#This Row],[Etat]]="c"),IF(TableauCB[[#This Row],[Solde]]="","",N1044),N1044-TableauCB[[#This Row],[Débit]]+TableauCB[[#This Row],[Crédit]])</f>
        <v>6224.3360000000048</v>
      </c>
      <c r="O1045" s="27">
        <f>IF(TableauCB[[#This Row],[Etat]]="xc",O1044-TableauCB[[#This Row],[Débit]]+TableauCB[[#This Row],[Crédit]],O1044-TableauCB[[#This Row],[Débit]])</f>
        <v>-2950.0500000000056</v>
      </c>
      <c r="P1045" s="27">
        <f>IF(AND(ISBLANK(TableauCB[[#This Row],[Débit]]),ISBLANK(TableauCB[[#This Row],[Crédit]])),"",P1044+TableauCB[[#This Row],[Crédit]]-TableauCB[[#This Row],[Débit]])</f>
        <v>10247.536000000007</v>
      </c>
      <c r="Q1045" s="26"/>
      <c r="R1045" s="25"/>
      <c r="S1045" s="25"/>
      <c r="T1045" s="24"/>
      <c r="U1045" s="24"/>
      <c r="V1045" s="9"/>
      <c r="W1045" s="2"/>
      <c r="X1045" s="9"/>
      <c r="Y1045" s="8"/>
      <c r="Z1045" s="7"/>
      <c r="AA1045" s="7"/>
      <c r="AB1045" s="6"/>
    </row>
    <row r="1046" spans="2:28" ht="14.1" customHeight="1">
      <c r="B1046" s="35"/>
      <c r="C1046" s="11"/>
      <c r="D1046" s="11" t="s">
        <v>5</v>
      </c>
      <c r="E1046" s="11" t="s">
        <v>7</v>
      </c>
      <c r="F1046" s="34">
        <v>42885</v>
      </c>
      <c r="G1046"/>
      <c r="H1046"/>
      <c r="I1046" s="32"/>
      <c r="J1046"/>
      <c r="K1046" s="31"/>
      <c r="L1046" s="30">
        <v>600</v>
      </c>
      <c r="M1046" s="29"/>
      <c r="N1046" s="28">
        <f>IF(OR(TableauCB[[#This Row],[Etat]]="",TableauCB[[#This Row],[Etat]]="c"),IF(TableauCB[[#This Row],[Solde]]="","",N1045),N1045-TableauCB[[#This Row],[Débit]]+TableauCB[[#This Row],[Crédit]])</f>
        <v>6224.3360000000048</v>
      </c>
      <c r="O1046" s="27">
        <f>IF(TableauCB[[#This Row],[Etat]]="xc",O1045-TableauCB[[#This Row],[Débit]]+TableauCB[[#This Row],[Crédit]],O1045-TableauCB[[#This Row],[Débit]])</f>
        <v>-3550.0500000000056</v>
      </c>
      <c r="P1046" s="27">
        <f>IF(AND(ISBLANK(TableauCB[[#This Row],[Débit]]),ISBLANK(TableauCB[[#This Row],[Crédit]])),"",P1045+TableauCB[[#This Row],[Crédit]]-TableauCB[[#This Row],[Débit]])</f>
        <v>9647.5360000000073</v>
      </c>
      <c r="Q1046" s="26"/>
      <c r="R1046" s="25"/>
      <c r="S1046" s="25"/>
      <c r="T1046" s="24"/>
      <c r="U1046" s="24"/>
      <c r="V1046" s="9"/>
      <c r="W1046" s="2"/>
      <c r="X1046" s="9"/>
      <c r="Y1046" s="8"/>
      <c r="Z1046" s="7"/>
      <c r="AA1046" s="7"/>
      <c r="AB1046" s="6"/>
    </row>
    <row r="1047" spans="2:28" ht="14.1" customHeight="1">
      <c r="B1047" s="35" t="str">
        <f>IF(MONTH(F1036)&lt;&gt;MONTH(TableauCB[[#This Row],[Date d''éxigibilité]]),(TableauCB[[#This Row],[Date d''éxigibilité]]),"")</f>
        <v/>
      </c>
      <c r="C1047" s="11"/>
      <c r="D1047" s="11" t="s">
        <v>5</v>
      </c>
      <c r="E1047" s="11" t="s">
        <v>6</v>
      </c>
      <c r="F1047" s="34">
        <v>42885</v>
      </c>
      <c r="G1047"/>
      <c r="H1047"/>
      <c r="I1047" s="32"/>
      <c r="J1047"/>
      <c r="K1047" s="31"/>
      <c r="L1047" s="30">
        <v>291.3</v>
      </c>
      <c r="M1047" s="29"/>
      <c r="N1047" s="28">
        <f>IF(OR(TableauCB[[#This Row],[Etat]]="",TableauCB[[#This Row],[Etat]]="c"),IF(TableauCB[[#This Row],[Solde]]="","",N1046),N1046-TableauCB[[#This Row],[Débit]]+TableauCB[[#This Row],[Crédit]])</f>
        <v>6224.3360000000048</v>
      </c>
      <c r="O1047" s="27">
        <f>IF(TableauCB[[#This Row],[Etat]]="xc",O1046-TableauCB[[#This Row],[Débit]]+TableauCB[[#This Row],[Crédit]],O1046-TableauCB[[#This Row],[Débit]])</f>
        <v>-3841.3500000000058</v>
      </c>
      <c r="P1047" s="27">
        <f>IF(AND(ISBLANK(TableauCB[[#This Row],[Débit]]),ISBLANK(TableauCB[[#This Row],[Crédit]])),"",P1046+TableauCB[[#This Row],[Crédit]]-TableauCB[[#This Row],[Débit]])</f>
        <v>9356.2360000000081</v>
      </c>
      <c r="Q1047" s="26"/>
      <c r="R1047" s="25"/>
      <c r="S1047" s="25"/>
      <c r="T1047" s="24"/>
      <c r="U1047" s="24"/>
      <c r="V1047" s="9"/>
      <c r="W1047" s="2"/>
      <c r="X1047" s="9"/>
      <c r="Y1047" s="8"/>
      <c r="Z1047" s="7"/>
      <c r="AA1047" s="7"/>
      <c r="AB1047" s="6"/>
    </row>
    <row r="1048" spans="2:28" ht="14.1" customHeight="1">
      <c r="B1048" s="35" t="str">
        <f>IF(MONTH(F1047)&lt;&gt;MONTH(TableauCB[[#This Row],[Date d''éxigibilité]]),(TableauCB[[#This Row],[Date d''éxigibilité]]),"")</f>
        <v/>
      </c>
      <c r="C1048" s="11"/>
      <c r="D1048" s="11" t="s">
        <v>11</v>
      </c>
      <c r="E1048" s="11" t="s">
        <v>12</v>
      </c>
      <c r="F1048" s="34">
        <v>42885</v>
      </c>
      <c r="G1048"/>
      <c r="H1048"/>
      <c r="I1048" s="32"/>
      <c r="J1048"/>
      <c r="K1048" s="31"/>
      <c r="L1048" s="30"/>
      <c r="M1048" s="29">
        <v>180</v>
      </c>
      <c r="N1048" s="28">
        <f>IF(OR(TableauCB[[#This Row],[Etat]]="",TableauCB[[#This Row],[Etat]]="c"),IF(TableauCB[[#This Row],[Solde]]="","",N1047),N1047-TableauCB[[#This Row],[Débit]]+TableauCB[[#This Row],[Crédit]])</f>
        <v>6224.3360000000048</v>
      </c>
      <c r="O1048" s="27">
        <f>IF(TableauCB[[#This Row],[Etat]]="xc",O1047-TableauCB[[#This Row],[Débit]]+TableauCB[[#This Row],[Crédit]],O1047-TableauCB[[#This Row],[Débit]])</f>
        <v>-3841.3500000000058</v>
      </c>
      <c r="P1048" s="27">
        <f>IF(AND(ISBLANK(TableauCB[[#This Row],[Débit]]),ISBLANK(TableauCB[[#This Row],[Crédit]])),"",P1047+TableauCB[[#This Row],[Crédit]]-TableauCB[[#This Row],[Débit]])</f>
        <v>9536.2360000000081</v>
      </c>
      <c r="Q1048" s="26"/>
      <c r="R1048" s="25"/>
      <c r="S1048" s="25"/>
      <c r="T1048" s="24"/>
      <c r="U1048" s="24"/>
      <c r="V1048" s="9"/>
      <c r="W1048" s="2"/>
      <c r="X1048" s="9"/>
      <c r="Y1048" s="8"/>
      <c r="Z1048" s="7"/>
      <c r="AA1048" s="7"/>
      <c r="AB1048" s="6"/>
    </row>
    <row r="1049" spans="2:28" ht="14.1" customHeight="1">
      <c r="B1049" s="35" t="str">
        <f>IF(MONTH(F1048)&lt;&gt;MONTH(TableauCB[[#This Row],[Date d''éxigibilité]]),(TableauCB[[#This Row],[Date d''éxigibilité]]),"")</f>
        <v/>
      </c>
      <c r="C1049" s="11"/>
      <c r="D1049" s="11" t="s">
        <v>11</v>
      </c>
      <c r="E1049" s="11" t="s">
        <v>10</v>
      </c>
      <c r="F1049" s="34">
        <v>42885</v>
      </c>
      <c r="G1049"/>
      <c r="H1049"/>
      <c r="I1049" s="32"/>
      <c r="J1049"/>
      <c r="K1049" s="31"/>
      <c r="L1049" s="30"/>
      <c r="M1049" s="29">
        <v>504</v>
      </c>
      <c r="N1049" s="28">
        <f>IF(OR(TableauCB[[#This Row],[Etat]]="",TableauCB[[#This Row],[Etat]]="c"),IF(TableauCB[[#This Row],[Solde]]="","",N1048),N1048-TableauCB[[#This Row],[Débit]]+TableauCB[[#This Row],[Crédit]])</f>
        <v>6224.3360000000048</v>
      </c>
      <c r="O1049" s="27">
        <f>IF(TableauCB[[#This Row],[Etat]]="xc",O1048-TableauCB[[#This Row],[Débit]]+TableauCB[[#This Row],[Crédit]],O1048-TableauCB[[#This Row],[Débit]])</f>
        <v>-3841.3500000000058</v>
      </c>
      <c r="P1049" s="27">
        <f>IF(AND(ISBLANK(TableauCB[[#This Row],[Débit]]),ISBLANK(TableauCB[[#This Row],[Crédit]])),"",P1048+TableauCB[[#This Row],[Crédit]]-TableauCB[[#This Row],[Débit]])</f>
        <v>10040.236000000008</v>
      </c>
      <c r="Q1049" s="26"/>
      <c r="R1049" s="25"/>
      <c r="S1049" s="25"/>
      <c r="T1049" s="24"/>
      <c r="U1049" s="24"/>
      <c r="V1049" s="9"/>
      <c r="W1049" s="2"/>
      <c r="X1049" s="9"/>
      <c r="Y1049" s="8"/>
      <c r="Z1049" s="7"/>
      <c r="AA1049" s="7"/>
      <c r="AB1049" s="6"/>
    </row>
    <row r="1050" spans="2:28" ht="14.1" customHeight="1">
      <c r="B1050" s="35">
        <f>IF(MONTH(F1049)&lt;&gt;MONTH(TableauCB[[#This Row],[Date d''éxigibilité]]),(TableauCB[[#This Row],[Date d''éxigibilité]]),"")</f>
        <v>42889</v>
      </c>
      <c r="C1050" s="11"/>
      <c r="D1050" s="11" t="s">
        <v>9</v>
      </c>
      <c r="E1050" s="11" t="s">
        <v>31</v>
      </c>
      <c r="F1050" s="34">
        <v>42889</v>
      </c>
      <c r="G1050"/>
      <c r="H1050"/>
      <c r="I1050" s="32"/>
      <c r="J1050"/>
      <c r="K1050" s="31"/>
      <c r="L1050" s="30">
        <v>480</v>
      </c>
      <c r="M1050" s="29"/>
      <c r="N1050" s="28">
        <f>IF(OR(TableauCB[[#This Row],[Etat]]="",TableauCB[[#This Row],[Etat]]="c"),IF(TableauCB[[#This Row],[Solde]]="","",N1049),N1049-TableauCB[[#This Row],[Débit]]+TableauCB[[#This Row],[Crédit]])</f>
        <v>6224.3360000000048</v>
      </c>
      <c r="O1050" s="27">
        <f>IF(TableauCB[[#This Row],[Etat]]="xc",O1049-TableauCB[[#This Row],[Débit]]+TableauCB[[#This Row],[Crédit]],O1049-TableauCB[[#This Row],[Débit]])</f>
        <v>-4321.3500000000058</v>
      </c>
      <c r="P1050" s="27">
        <f>IF(AND(ISBLANK(TableauCB[[#This Row],[Débit]]),ISBLANK(TableauCB[[#This Row],[Crédit]])),"",P1049+TableauCB[[#This Row],[Crédit]]-TableauCB[[#This Row],[Débit]])</f>
        <v>9560.2360000000081</v>
      </c>
      <c r="Q1050" s="26"/>
      <c r="R1050" s="25"/>
      <c r="S1050" s="25"/>
      <c r="T1050" s="24"/>
      <c r="U1050" s="24"/>
      <c r="V1050" s="9"/>
      <c r="W1050" s="2"/>
      <c r="X1050" s="9"/>
      <c r="Y1050" s="8"/>
      <c r="Z1050" s="7"/>
      <c r="AA1050" s="7"/>
      <c r="AB1050" s="6"/>
    </row>
    <row r="1051" spans="2:28" ht="14.1" customHeight="1">
      <c r="B1051" s="35" t="str">
        <f>IF(MONTH(F1050)&lt;&gt;MONTH(TableauCB[[#This Row],[Date d''éxigibilité]]),(TableauCB[[#This Row],[Date d''éxigibilité]]),"")</f>
        <v/>
      </c>
      <c r="C1051" s="11"/>
      <c r="D1051" s="11" t="s">
        <v>22</v>
      </c>
      <c r="E1051" s="11" t="s">
        <v>21</v>
      </c>
      <c r="F1051" s="34">
        <v>42895</v>
      </c>
      <c r="G1051"/>
      <c r="H1051"/>
      <c r="I1051" s="32"/>
      <c r="J1051"/>
      <c r="K1051" s="31"/>
      <c r="L1051" s="30">
        <v>22.4</v>
      </c>
      <c r="M1051" s="29"/>
      <c r="N1051" s="28">
        <f>IF(OR(TableauCB[[#This Row],[Etat]]="",TableauCB[[#This Row],[Etat]]="c"),IF(TableauCB[[#This Row],[Solde]]="","",N1050),N1050-TableauCB[[#This Row],[Débit]]+TableauCB[[#This Row],[Crédit]])</f>
        <v>6224.3360000000048</v>
      </c>
      <c r="O1051" s="27">
        <f>IF(TableauCB[[#This Row],[Etat]]="xc",O1050-TableauCB[[#This Row],[Débit]]+TableauCB[[#This Row],[Crédit]],O1050-TableauCB[[#This Row],[Débit]])</f>
        <v>-4343.7500000000055</v>
      </c>
      <c r="P1051" s="27">
        <f>IF(AND(ISBLANK(TableauCB[[#This Row],[Débit]]),ISBLANK(TableauCB[[#This Row],[Crédit]])),"",P1050+TableauCB[[#This Row],[Crédit]]-TableauCB[[#This Row],[Débit]])</f>
        <v>9537.8360000000084</v>
      </c>
      <c r="Q1051" s="26"/>
      <c r="R1051" s="25"/>
      <c r="S1051" s="25"/>
      <c r="T1051" s="24"/>
      <c r="U1051" s="24"/>
      <c r="V1051" s="9"/>
      <c r="W1051" s="2"/>
      <c r="X1051" s="9"/>
      <c r="Y1051" s="8"/>
      <c r="Z1051" s="7"/>
      <c r="AA1051" s="7"/>
      <c r="AB1051" s="6"/>
    </row>
    <row r="1052" spans="2:28" ht="14.1" customHeight="1">
      <c r="B1052" s="35" t="str">
        <f>IF(MONTH(F1051)&lt;&gt;MONTH(TableauCB[[#This Row],[Date d''éxigibilité]]),(TableauCB[[#This Row],[Date d''éxigibilité]]),"")</f>
        <v/>
      </c>
      <c r="C1052" s="11"/>
      <c r="D1052" s="11" t="s">
        <v>15</v>
      </c>
      <c r="E1052" s="11" t="s">
        <v>19</v>
      </c>
      <c r="F1052" s="34">
        <v>42901</v>
      </c>
      <c r="G1052"/>
      <c r="H1052"/>
      <c r="I1052" s="32"/>
      <c r="J1052"/>
      <c r="K1052" s="31"/>
      <c r="L1052" s="30">
        <v>53</v>
      </c>
      <c r="M1052" s="29"/>
      <c r="N1052" s="28">
        <f>IF(OR(TableauCB[[#This Row],[Etat]]="",TableauCB[[#This Row],[Etat]]="c"),IF(TableauCB[[#This Row],[Solde]]="","",N1051),N1051-TableauCB[[#This Row],[Débit]]+TableauCB[[#This Row],[Crédit]])</f>
        <v>6224.3360000000048</v>
      </c>
      <c r="O1052" s="27">
        <f>IF(TableauCB[[#This Row],[Etat]]="xc",O1051-TableauCB[[#This Row],[Débit]]+TableauCB[[#This Row],[Crédit]],O1051-TableauCB[[#This Row],[Débit]])</f>
        <v>-4396.7500000000055</v>
      </c>
      <c r="P1052" s="27">
        <f>IF(AND(ISBLANK(TableauCB[[#This Row],[Débit]]),ISBLANK(TableauCB[[#This Row],[Crédit]])),"",P1051+TableauCB[[#This Row],[Crédit]]-TableauCB[[#This Row],[Débit]])</f>
        <v>9484.8360000000084</v>
      </c>
      <c r="Q1052" s="26"/>
      <c r="R1052" s="25"/>
      <c r="S1052" s="25"/>
      <c r="T1052" s="24"/>
      <c r="U1052" s="24"/>
      <c r="V1052" s="9"/>
      <c r="W1052" s="2"/>
      <c r="X1052" s="9"/>
      <c r="Y1052" s="8"/>
      <c r="Z1052" s="7"/>
      <c r="AA1052" s="7"/>
      <c r="AB1052" s="6"/>
    </row>
    <row r="1053" spans="2:28" ht="14.1" customHeight="1">
      <c r="B1053" s="35" t="str">
        <f>IF(MONTH(F1052)&lt;&gt;MONTH(TableauCB[[#This Row],[Date d''éxigibilité]]),(TableauCB[[#This Row],[Date d''éxigibilité]]),"")</f>
        <v/>
      </c>
      <c r="C1053" s="11"/>
      <c r="D1053" s="11" t="s">
        <v>17</v>
      </c>
      <c r="E1053" s="11" t="s">
        <v>16</v>
      </c>
      <c r="F1053" s="34">
        <v>42906</v>
      </c>
      <c r="G1053"/>
      <c r="H1053"/>
      <c r="I1053" s="32"/>
      <c r="J1053"/>
      <c r="K1053" s="31"/>
      <c r="L1053" s="30">
        <v>3.59</v>
      </c>
      <c r="M1053" s="29"/>
      <c r="N1053" s="28">
        <f>IF(OR(TableauCB[[#This Row],[Etat]]="",TableauCB[[#This Row],[Etat]]="c"),IF(TableauCB[[#This Row],[Solde]]="","",N1052),N1052-TableauCB[[#This Row],[Débit]]+TableauCB[[#This Row],[Crédit]])</f>
        <v>6224.3360000000048</v>
      </c>
      <c r="O1053" s="27">
        <f>IF(TableauCB[[#This Row],[Etat]]="xc",O1052-TableauCB[[#This Row],[Débit]]+TableauCB[[#This Row],[Crédit]],O1052-TableauCB[[#This Row],[Débit]])</f>
        <v>-4400.3400000000056</v>
      </c>
      <c r="P1053" s="27">
        <f>IF(AND(ISBLANK(TableauCB[[#This Row],[Débit]]),ISBLANK(TableauCB[[#This Row],[Crédit]])),"",P1052+TableauCB[[#This Row],[Crédit]]-TableauCB[[#This Row],[Débit]])</f>
        <v>9481.2460000000083</v>
      </c>
      <c r="Q1053" s="26"/>
      <c r="R1053" s="25"/>
      <c r="S1053" s="25"/>
      <c r="T1053" s="24"/>
      <c r="U1053" s="24"/>
      <c r="V1053" s="9"/>
      <c r="W1053" s="2"/>
      <c r="X1053" s="9"/>
      <c r="Y1053" s="8"/>
      <c r="Z1053" s="7"/>
      <c r="AA1053" s="7"/>
      <c r="AB1053" s="6"/>
    </row>
    <row r="1054" spans="2:28" ht="14.1" customHeight="1">
      <c r="B1054" s="35" t="str">
        <f>IF(MONTH(F1053)&lt;&gt;MONTH(TableauCB[[#This Row],[Date d''éxigibilité]]),(TableauCB[[#This Row],[Date d''éxigibilité]]),"")</f>
        <v/>
      </c>
      <c r="C1054" s="11"/>
      <c r="D1054" s="11" t="s">
        <v>17</v>
      </c>
      <c r="E1054" s="11" t="s">
        <v>18</v>
      </c>
      <c r="F1054" s="34">
        <v>42907</v>
      </c>
      <c r="G1054"/>
      <c r="H1054"/>
      <c r="I1054" s="32"/>
      <c r="J1054"/>
      <c r="K1054" s="31"/>
      <c r="L1054" s="30">
        <v>45.6</v>
      </c>
      <c r="M1054" s="29"/>
      <c r="N1054" s="28">
        <f>IF(OR(TableauCB[[#This Row],[Etat]]="",TableauCB[[#This Row],[Etat]]="c"),IF(TableauCB[[#This Row],[Solde]]="","",N1053),N1053-TableauCB[[#This Row],[Débit]]+TableauCB[[#This Row],[Crédit]])</f>
        <v>6224.3360000000048</v>
      </c>
      <c r="O1054" s="27">
        <f>IF(TableauCB[[#This Row],[Etat]]="xc",O1053-TableauCB[[#This Row],[Débit]]+TableauCB[[#This Row],[Crédit]],O1053-TableauCB[[#This Row],[Débit]])</f>
        <v>-4445.940000000006</v>
      </c>
      <c r="P1054" s="27">
        <f>IF(AND(ISBLANK(TableauCB[[#This Row],[Débit]]),ISBLANK(TableauCB[[#This Row],[Crédit]])),"",P1053+TableauCB[[#This Row],[Crédit]]-TableauCB[[#This Row],[Débit]])</f>
        <v>9435.6460000000079</v>
      </c>
      <c r="Q1054" s="26"/>
      <c r="R1054" s="25"/>
      <c r="S1054" s="25"/>
      <c r="T1054" s="24"/>
      <c r="U1054" s="24"/>
      <c r="V1054" s="9"/>
      <c r="W1054" s="2"/>
      <c r="X1054" s="9"/>
      <c r="Y1054" s="8"/>
      <c r="Z1054" s="7"/>
      <c r="AA1054" s="7"/>
      <c r="AB1054" s="6"/>
    </row>
    <row r="1055" spans="2:28" ht="14.1" customHeight="1">
      <c r="B1055" s="35" t="str">
        <f>IF(MONTH(F1054)&lt;&gt;MONTH(TableauCB[[#This Row],[Date d''éxigibilité]]),(TableauCB[[#This Row],[Date d''éxigibilité]]),"")</f>
        <v/>
      </c>
      <c r="C1055" s="11"/>
      <c r="D1055" s="11" t="s">
        <v>15</v>
      </c>
      <c r="E1055" s="11" t="s">
        <v>14</v>
      </c>
      <c r="F1055" s="34">
        <v>42916</v>
      </c>
      <c r="G1055"/>
      <c r="H1055"/>
      <c r="I1055" s="32"/>
      <c r="J1055"/>
      <c r="K1055" s="31"/>
      <c r="L1055" s="30">
        <v>210</v>
      </c>
      <c r="M1055" s="29"/>
      <c r="N1055" s="28">
        <f>IF(OR(TableauCB[[#This Row],[Etat]]="",TableauCB[[#This Row],[Etat]]="c"),IF(TableauCB[[#This Row],[Solde]]="","",N1054),N1054-TableauCB[[#This Row],[Débit]]+TableauCB[[#This Row],[Crédit]])</f>
        <v>6224.3360000000048</v>
      </c>
      <c r="O1055" s="27">
        <f>IF(TableauCB[[#This Row],[Etat]]="xc",O1054-TableauCB[[#This Row],[Débit]]+TableauCB[[#This Row],[Crédit]],O1054-TableauCB[[#This Row],[Débit]])</f>
        <v>-4655.940000000006</v>
      </c>
      <c r="P1055" s="27">
        <f>IF(AND(ISBLANK(TableauCB[[#This Row],[Débit]]),ISBLANK(TableauCB[[#This Row],[Crédit]])),"",P1054+TableauCB[[#This Row],[Crédit]]-TableauCB[[#This Row],[Débit]])</f>
        <v>9225.6460000000079</v>
      </c>
      <c r="Q1055" s="26"/>
      <c r="R1055" s="25"/>
      <c r="S1055" s="25"/>
      <c r="T1055" s="24"/>
      <c r="U1055" s="24"/>
      <c r="V1055" s="9"/>
      <c r="W1055" s="2"/>
      <c r="X1055" s="9"/>
      <c r="Y1055" s="8"/>
      <c r="Z1055" s="7"/>
      <c r="AA1055" s="7"/>
      <c r="AB1055" s="6"/>
    </row>
    <row r="1056" spans="2:28" ht="14.1" customHeight="1">
      <c r="B1056" s="35" t="str">
        <f>IF(MONTH(F1055)&lt;&gt;MONTH(TableauCB[[#This Row],[Date d''éxigibilité]]),(TableauCB[[#This Row],[Date d''éxigibilité]]),"")</f>
        <v/>
      </c>
      <c r="C1056" s="11"/>
      <c r="D1056" s="11" t="s">
        <v>11</v>
      </c>
      <c r="E1056" s="11" t="s">
        <v>12</v>
      </c>
      <c r="F1056" s="34">
        <v>42916</v>
      </c>
      <c r="G1056"/>
      <c r="H1056"/>
      <c r="I1056" s="32"/>
      <c r="J1056"/>
      <c r="K1056" s="31"/>
      <c r="L1056" s="30"/>
      <c r="M1056" s="29">
        <v>180</v>
      </c>
      <c r="N1056" s="28">
        <f>IF(OR(TableauCB[[#This Row],[Etat]]="",TableauCB[[#This Row],[Etat]]="c"),IF(TableauCB[[#This Row],[Solde]]="","",N1055),N1055-TableauCB[[#This Row],[Débit]]+TableauCB[[#This Row],[Crédit]])</f>
        <v>6224.3360000000048</v>
      </c>
      <c r="O1056" s="27">
        <f>IF(TableauCB[[#This Row],[Etat]]="xc",O1055-TableauCB[[#This Row],[Débit]]+TableauCB[[#This Row],[Crédit]],O1055-TableauCB[[#This Row],[Débit]])</f>
        <v>-4655.940000000006</v>
      </c>
      <c r="P1056" s="27">
        <f>IF(AND(ISBLANK(TableauCB[[#This Row],[Débit]]),ISBLANK(TableauCB[[#This Row],[Crédit]])),"",P1055+TableauCB[[#This Row],[Crédit]]-TableauCB[[#This Row],[Débit]])</f>
        <v>9405.6460000000079</v>
      </c>
      <c r="Q1056" s="26"/>
      <c r="R1056" s="25"/>
      <c r="S1056" s="25"/>
      <c r="T1056" s="24"/>
      <c r="U1056" s="24"/>
      <c r="V1056" s="9"/>
      <c r="W1056" s="2"/>
      <c r="X1056" s="9"/>
      <c r="Y1056" s="8"/>
      <c r="Z1056" s="7"/>
      <c r="AA1056" s="7"/>
      <c r="AB1056" s="6"/>
    </row>
    <row r="1057" spans="2:28" ht="14.1" customHeight="1">
      <c r="B1057" s="35" t="str">
        <f>IF(MONTH(F1056)&lt;&gt;MONTH(TableauCB[[#This Row],[Date d''éxigibilité]]),(TableauCB[[#This Row],[Date d''éxigibilité]]),"")</f>
        <v/>
      </c>
      <c r="C1057" s="11"/>
      <c r="D1057" s="11" t="s">
        <v>11</v>
      </c>
      <c r="E1057" s="11" t="s">
        <v>10</v>
      </c>
      <c r="F1057" s="34">
        <v>42916</v>
      </c>
      <c r="G1057"/>
      <c r="H1057"/>
      <c r="I1057" s="32"/>
      <c r="J1057"/>
      <c r="K1057" s="31"/>
      <c r="L1057" s="30"/>
      <c r="M1057" s="29">
        <v>504</v>
      </c>
      <c r="N1057" s="28">
        <f>IF(OR(TableauCB[[#This Row],[Etat]]="",TableauCB[[#This Row],[Etat]]="c"),IF(TableauCB[[#This Row],[Solde]]="","",N1056),N1056-TableauCB[[#This Row],[Débit]]+TableauCB[[#This Row],[Crédit]])</f>
        <v>6224.3360000000048</v>
      </c>
      <c r="O1057" s="27">
        <f>IF(TableauCB[[#This Row],[Etat]]="xc",O1056-TableauCB[[#This Row],[Débit]]+TableauCB[[#This Row],[Crédit]],O1056-TableauCB[[#This Row],[Débit]])</f>
        <v>-4655.940000000006</v>
      </c>
      <c r="P1057" s="27">
        <f>IF(AND(ISBLANK(TableauCB[[#This Row],[Débit]]),ISBLANK(TableauCB[[#This Row],[Crédit]])),"",P1056+TableauCB[[#This Row],[Crédit]]-TableauCB[[#This Row],[Débit]])</f>
        <v>9909.6460000000079</v>
      </c>
      <c r="Q1057" s="26"/>
      <c r="R1057" s="25"/>
      <c r="S1057" s="25"/>
      <c r="T1057" s="24"/>
      <c r="U1057" s="24"/>
      <c r="V1057" s="9"/>
      <c r="W1057" s="2"/>
      <c r="X1057" s="9"/>
      <c r="Y1057" s="8"/>
      <c r="Z1057" s="7"/>
      <c r="AA1057" s="7"/>
      <c r="AB1057" s="6"/>
    </row>
    <row r="1058" spans="2:28" ht="14.1" customHeight="1">
      <c r="B1058" s="35" t="str">
        <f>IF(MONTH(F1057)&lt;&gt;MONTH(TableauCB[[#This Row],[Date d''éxigibilité]]),(TableauCB[[#This Row],[Date d''éxigibilité]]),"")</f>
        <v/>
      </c>
      <c r="C1058" s="11"/>
      <c r="D1058" s="11" t="s">
        <v>11</v>
      </c>
      <c r="E1058" s="11" t="s">
        <v>10</v>
      </c>
      <c r="F1058" s="34">
        <v>42916</v>
      </c>
      <c r="G1058"/>
      <c r="H1058"/>
      <c r="I1058" s="32"/>
      <c r="J1058"/>
      <c r="K1058" s="31"/>
      <c r="L1058" s="30"/>
      <c r="M1058" s="29">
        <v>108</v>
      </c>
      <c r="N1058" s="28">
        <f>IF(OR(TableauCB[[#This Row],[Etat]]="",TableauCB[[#This Row],[Etat]]="c"),IF(TableauCB[[#This Row],[Solde]]="","",N1057),N1057-TableauCB[[#This Row],[Débit]]+TableauCB[[#This Row],[Crédit]])</f>
        <v>6224.3360000000048</v>
      </c>
      <c r="O1058" s="27">
        <f>IF(TableauCB[[#This Row],[Etat]]="xc",O1057-TableauCB[[#This Row],[Débit]]+TableauCB[[#This Row],[Crédit]],O1057-TableauCB[[#This Row],[Débit]])</f>
        <v>-4655.940000000006</v>
      </c>
      <c r="P1058" s="27">
        <f>IF(AND(ISBLANK(TableauCB[[#This Row],[Débit]]),ISBLANK(TableauCB[[#This Row],[Crédit]])),"",P1057+TableauCB[[#This Row],[Crédit]]-TableauCB[[#This Row],[Débit]])</f>
        <v>10017.646000000008</v>
      </c>
      <c r="Q1058" s="26"/>
      <c r="R1058" s="25"/>
      <c r="S1058" s="25"/>
      <c r="T1058" s="24"/>
      <c r="U1058" s="24"/>
      <c r="V1058" s="9"/>
      <c r="W1058" s="2"/>
      <c r="X1058" s="9"/>
      <c r="Y1058" s="8"/>
      <c r="Z1058" s="7"/>
      <c r="AA1058" s="7"/>
      <c r="AB1058" s="6"/>
    </row>
    <row r="1059" spans="2:28" ht="14.1" customHeight="1">
      <c r="B1059" s="35" t="str">
        <f>IF(MONTH(F1058)&lt;&gt;MONTH(TableauCB[[#This Row],[Date d''éxigibilité]]),(TableauCB[[#This Row],[Date d''éxigibilité]]),"")</f>
        <v/>
      </c>
      <c r="C1059" s="11"/>
      <c r="D1059" s="11" t="s">
        <v>11</v>
      </c>
      <c r="E1059" s="11" t="s">
        <v>10</v>
      </c>
      <c r="F1059" s="34">
        <v>42916</v>
      </c>
      <c r="G1059"/>
      <c r="H1059"/>
      <c r="I1059" s="32"/>
      <c r="J1059"/>
      <c r="K1059" s="31"/>
      <c r="L1059" s="30"/>
      <c r="M1059" s="29">
        <v>198</v>
      </c>
      <c r="N1059" s="28">
        <f>IF(OR(TableauCB[[#This Row],[Etat]]="",TableauCB[[#This Row],[Etat]]="c"),IF(TableauCB[[#This Row],[Solde]]="","",N1058),N1058-TableauCB[[#This Row],[Débit]]+TableauCB[[#This Row],[Crédit]])</f>
        <v>6224.3360000000048</v>
      </c>
      <c r="O1059" s="27">
        <f>IF(TableauCB[[#This Row],[Etat]]="xc",O1058-TableauCB[[#This Row],[Débit]]+TableauCB[[#This Row],[Crédit]],O1058-TableauCB[[#This Row],[Débit]])</f>
        <v>-4655.940000000006</v>
      </c>
      <c r="P1059" s="27">
        <f>IF(AND(ISBLANK(TableauCB[[#This Row],[Débit]]),ISBLANK(TableauCB[[#This Row],[Crédit]])),"",P1058+TableauCB[[#This Row],[Crédit]]-TableauCB[[#This Row],[Débit]])</f>
        <v>10215.646000000008</v>
      </c>
      <c r="Q1059" s="26"/>
      <c r="R1059" s="25"/>
      <c r="S1059" s="25"/>
      <c r="T1059" s="24"/>
      <c r="U1059" s="24"/>
      <c r="V1059" s="9"/>
      <c r="W1059" s="2"/>
      <c r="X1059" s="9"/>
      <c r="Y1059" s="8"/>
      <c r="Z1059" s="7"/>
      <c r="AA1059" s="7"/>
      <c r="AB1059" s="6"/>
    </row>
    <row r="1060" spans="2:28" ht="14.1" customHeight="1">
      <c r="B1060" s="35" t="str">
        <f>IF(MONTH(F1059)&lt;&gt;MONTH(TableauCB[[#This Row],[Date d''éxigibilité]]),(TableauCB[[#This Row],[Date d''éxigibilité]]),"")</f>
        <v/>
      </c>
      <c r="C1060" s="11"/>
      <c r="D1060" s="11" t="s">
        <v>11</v>
      </c>
      <c r="E1060" s="11" t="s">
        <v>10</v>
      </c>
      <c r="F1060" s="34">
        <v>42916</v>
      </c>
      <c r="G1060"/>
      <c r="H1060"/>
      <c r="I1060" s="32"/>
      <c r="J1060"/>
      <c r="K1060" s="31"/>
      <c r="L1060" s="30"/>
      <c r="M1060" s="29">
        <v>151.80000000000001</v>
      </c>
      <c r="N1060" s="28">
        <f>IF(OR(TableauCB[[#This Row],[Etat]]="",TableauCB[[#This Row],[Etat]]="c"),IF(TableauCB[[#This Row],[Solde]]="","",N1059),N1059-TableauCB[[#This Row],[Débit]]+TableauCB[[#This Row],[Crédit]])</f>
        <v>6224.3360000000048</v>
      </c>
      <c r="O1060" s="27">
        <f>IF(TableauCB[[#This Row],[Etat]]="xc",O1059-TableauCB[[#This Row],[Débit]]+TableauCB[[#This Row],[Crédit]],O1059-TableauCB[[#This Row],[Débit]])</f>
        <v>-4655.940000000006</v>
      </c>
      <c r="P1060" s="27">
        <f>IF(AND(ISBLANK(TableauCB[[#This Row],[Débit]]),ISBLANK(TableauCB[[#This Row],[Crédit]])),"",P1059+TableauCB[[#This Row],[Crédit]]-TableauCB[[#This Row],[Débit]])</f>
        <v>10367.446000000007</v>
      </c>
      <c r="Q1060" s="26"/>
      <c r="R1060" s="25"/>
      <c r="S1060" s="25"/>
      <c r="T1060" s="24"/>
      <c r="U1060" s="24"/>
      <c r="V1060" s="9"/>
      <c r="W1060" s="2"/>
      <c r="X1060" s="9"/>
      <c r="Y1060" s="8"/>
      <c r="Z1060" s="7"/>
      <c r="AA1060" s="7"/>
      <c r="AB1060" s="6"/>
    </row>
    <row r="1061" spans="2:28" ht="14.1" customHeight="1">
      <c r="B1061" s="35" t="str">
        <f>IF(MONTH(F1060)&lt;&gt;MONTH(TableauCB[[#This Row],[Date d''éxigibilité]]),(TableauCB[[#This Row],[Date d''éxigibilité]]),"")</f>
        <v/>
      </c>
      <c r="C1061" s="11"/>
      <c r="D1061" s="11" t="s">
        <v>11</v>
      </c>
      <c r="E1061" s="11" t="s">
        <v>12</v>
      </c>
      <c r="F1061" s="34">
        <v>42916</v>
      </c>
      <c r="G1061"/>
      <c r="H1061"/>
      <c r="I1061" s="32"/>
      <c r="J1061"/>
      <c r="K1061" s="31"/>
      <c r="L1061" s="30"/>
      <c r="M1061" s="29">
        <v>522</v>
      </c>
      <c r="N1061" s="28">
        <f>IF(OR(TableauCB[[#This Row],[Etat]]="",TableauCB[[#This Row],[Etat]]="c"),IF(TableauCB[[#This Row],[Solde]]="","",N1060),N1060-TableauCB[[#This Row],[Débit]]+TableauCB[[#This Row],[Crédit]])</f>
        <v>6224.3360000000048</v>
      </c>
      <c r="O1061" s="27">
        <f>IF(TableauCB[[#This Row],[Etat]]="xc",O1060-TableauCB[[#This Row],[Débit]]+TableauCB[[#This Row],[Crédit]],O1060-TableauCB[[#This Row],[Débit]])</f>
        <v>-4655.940000000006</v>
      </c>
      <c r="P1061" s="27">
        <f>IF(AND(ISBLANK(TableauCB[[#This Row],[Débit]]),ISBLANK(TableauCB[[#This Row],[Crédit]])),"",P1060+TableauCB[[#This Row],[Crédit]]-TableauCB[[#This Row],[Débit]])</f>
        <v>10889.446000000007</v>
      </c>
      <c r="Q1061" s="26"/>
      <c r="R1061" s="25"/>
      <c r="S1061" s="25"/>
      <c r="T1061" s="24"/>
      <c r="U1061" s="24"/>
      <c r="V1061" s="9"/>
      <c r="W1061" s="2"/>
      <c r="X1061" s="9"/>
      <c r="Y1061" s="8"/>
      <c r="Z1061" s="7"/>
      <c r="AA1061" s="7"/>
      <c r="AB1061" s="6"/>
    </row>
    <row r="1062" spans="2:28" ht="14.1" customHeight="1">
      <c r="B1062" s="35" t="str">
        <f>IF(MONTH(F1061)&lt;&gt;MONTH(TableauCB[[#This Row],[Date d''éxigibilité]]),(TableauCB[[#This Row],[Date d''éxigibilité]]),"")</f>
        <v/>
      </c>
      <c r="C1062" s="11"/>
      <c r="D1062" s="11" t="s">
        <v>11</v>
      </c>
      <c r="E1062" s="11" t="s">
        <v>10</v>
      </c>
      <c r="F1062" s="34">
        <v>42916</v>
      </c>
      <c r="G1062"/>
      <c r="H1062"/>
      <c r="I1062" s="32"/>
      <c r="J1062"/>
      <c r="K1062" s="31"/>
      <c r="L1062" s="30"/>
      <c r="M1062" s="29">
        <v>192</v>
      </c>
      <c r="N1062" s="28">
        <f>IF(OR(TableauCB[[#This Row],[Etat]]="",TableauCB[[#This Row],[Etat]]="c"),IF(TableauCB[[#This Row],[Solde]]="","",N1061),N1061-TableauCB[[#This Row],[Débit]]+TableauCB[[#This Row],[Crédit]])</f>
        <v>6224.3360000000048</v>
      </c>
      <c r="O1062" s="27">
        <f>IF(TableauCB[[#This Row],[Etat]]="xc",O1061-TableauCB[[#This Row],[Débit]]+TableauCB[[#This Row],[Crédit]],O1061-TableauCB[[#This Row],[Débit]])</f>
        <v>-4655.940000000006</v>
      </c>
      <c r="P1062" s="27">
        <f>IF(AND(ISBLANK(TableauCB[[#This Row],[Débit]]),ISBLANK(TableauCB[[#This Row],[Crédit]])),"",P1061+TableauCB[[#This Row],[Crédit]]-TableauCB[[#This Row],[Débit]])</f>
        <v>11081.446000000007</v>
      </c>
      <c r="Q1062" s="26"/>
      <c r="R1062" s="25"/>
      <c r="S1062" s="25"/>
      <c r="T1062" s="24"/>
      <c r="U1062" s="24"/>
      <c r="V1062" s="9"/>
      <c r="W1062" s="2"/>
      <c r="X1062" s="9"/>
      <c r="Y1062" s="8"/>
      <c r="Z1062" s="7"/>
      <c r="AA1062" s="7"/>
      <c r="AB1062" s="6"/>
    </row>
    <row r="1063" spans="2:28" ht="14.1" customHeight="1">
      <c r="B1063" s="35" t="str">
        <f>IF(MONTH(F1062)&lt;&gt;MONTH(TableauCB[[#This Row],[Date d''éxigibilité]]),(TableauCB[[#This Row],[Date d''éxigibilité]]),"")</f>
        <v/>
      </c>
      <c r="C1063" s="11"/>
      <c r="D1063" s="11" t="s">
        <v>11</v>
      </c>
      <c r="E1063" s="11" t="s">
        <v>10</v>
      </c>
      <c r="F1063" s="34">
        <v>42916</v>
      </c>
      <c r="G1063"/>
      <c r="H1063"/>
      <c r="I1063" s="32"/>
      <c r="J1063"/>
      <c r="K1063" s="31"/>
      <c r="L1063" s="30"/>
      <c r="M1063" s="29">
        <v>624</v>
      </c>
      <c r="N1063" s="28">
        <f>IF(OR(TableauCB[[#This Row],[Etat]]="",TableauCB[[#This Row],[Etat]]="c"),IF(TableauCB[[#This Row],[Solde]]="","",N1062),N1062-TableauCB[[#This Row],[Débit]]+TableauCB[[#This Row],[Crédit]])</f>
        <v>6224.3360000000048</v>
      </c>
      <c r="O1063" s="27">
        <f>IF(TableauCB[[#This Row],[Etat]]="xc",O1062-TableauCB[[#This Row],[Débit]]+TableauCB[[#This Row],[Crédit]],O1062-TableauCB[[#This Row],[Débit]])</f>
        <v>-4655.940000000006</v>
      </c>
      <c r="P1063" s="27">
        <f>IF(AND(ISBLANK(TableauCB[[#This Row],[Débit]]),ISBLANK(TableauCB[[#This Row],[Crédit]])),"",P1062+TableauCB[[#This Row],[Crédit]]-TableauCB[[#This Row],[Débit]])</f>
        <v>11705.446000000007</v>
      </c>
      <c r="Q1063" s="26"/>
      <c r="R1063" s="25"/>
      <c r="S1063" s="25"/>
      <c r="T1063" s="24"/>
      <c r="U1063" s="24"/>
      <c r="V1063" s="9"/>
      <c r="W1063" s="2"/>
      <c r="X1063" s="9"/>
      <c r="Y1063" s="8"/>
      <c r="Z1063" s="7"/>
      <c r="AA1063" s="7"/>
      <c r="AB1063" s="6"/>
    </row>
    <row r="1064" spans="2:28" ht="14.1" customHeight="1">
      <c r="B1064" s="35" t="str">
        <f>IF(MONTH(F1063)&lt;&gt;MONTH(TableauCB[[#This Row],[Date d''éxigibilité]]),(TableauCB[[#This Row],[Date d''éxigibilité]]),"")</f>
        <v/>
      </c>
      <c r="C1064" s="11"/>
      <c r="D1064" s="11" t="s">
        <v>11</v>
      </c>
      <c r="E1064" s="11" t="s">
        <v>12</v>
      </c>
      <c r="F1064" s="34">
        <v>42916</v>
      </c>
      <c r="G1064"/>
      <c r="H1064"/>
      <c r="I1064" s="32"/>
      <c r="J1064"/>
      <c r="K1064" s="31"/>
      <c r="L1064" s="30"/>
      <c r="M1064" s="29">
        <v>117.5</v>
      </c>
      <c r="N1064" s="28">
        <f>IF(OR(TableauCB[[#This Row],[Etat]]="",TableauCB[[#This Row],[Etat]]="c"),IF(TableauCB[[#This Row],[Solde]]="","",N1063),N1063-TableauCB[[#This Row],[Débit]]+TableauCB[[#This Row],[Crédit]])</f>
        <v>6224.3360000000048</v>
      </c>
      <c r="O1064" s="27">
        <f>IF(TableauCB[[#This Row],[Etat]]="xc",O1063-TableauCB[[#This Row],[Débit]]+TableauCB[[#This Row],[Crédit]],O1063-TableauCB[[#This Row],[Débit]])</f>
        <v>-4655.940000000006</v>
      </c>
      <c r="P1064" s="27">
        <f>IF(AND(ISBLANK(TableauCB[[#This Row],[Débit]]),ISBLANK(TableauCB[[#This Row],[Crédit]])),"",P1063+TableauCB[[#This Row],[Crédit]]-TableauCB[[#This Row],[Débit]])</f>
        <v>11822.946000000007</v>
      </c>
      <c r="Q1064" s="26"/>
      <c r="R1064" s="25"/>
      <c r="S1064" s="25"/>
      <c r="T1064" s="24"/>
      <c r="U1064" s="24"/>
      <c r="V1064" s="9"/>
      <c r="W1064" s="2"/>
      <c r="X1064" s="9"/>
      <c r="Y1064" s="8"/>
      <c r="Z1064" s="7"/>
      <c r="AA1064" s="7"/>
      <c r="AB1064" s="6"/>
    </row>
    <row r="1065" spans="2:28" ht="14.1" customHeight="1">
      <c r="B1065" s="35" t="str">
        <f>IF(MONTH(F1064)&lt;&gt;MONTH(TableauCB[[#This Row],[Date d''éxigibilité]]),(TableauCB[[#This Row],[Date d''éxigibilité]]),"")</f>
        <v/>
      </c>
      <c r="C1065" s="11"/>
      <c r="D1065" s="11" t="s">
        <v>11</v>
      </c>
      <c r="E1065" s="11" t="s">
        <v>10</v>
      </c>
      <c r="F1065" s="34">
        <v>42916</v>
      </c>
      <c r="G1065"/>
      <c r="H1065"/>
      <c r="I1065" s="32"/>
      <c r="J1065"/>
      <c r="K1065" s="31"/>
      <c r="L1065" s="30"/>
      <c r="M1065" s="29">
        <v>96</v>
      </c>
      <c r="N1065" s="28">
        <f>IF(OR(TableauCB[[#This Row],[Etat]]="",TableauCB[[#This Row],[Etat]]="c"),IF(TableauCB[[#This Row],[Solde]]="","",N1064),N1064-TableauCB[[#This Row],[Débit]]+TableauCB[[#This Row],[Crédit]])</f>
        <v>6224.3360000000048</v>
      </c>
      <c r="O1065" s="27">
        <f>IF(TableauCB[[#This Row],[Etat]]="xc",O1064-TableauCB[[#This Row],[Débit]]+TableauCB[[#This Row],[Crédit]],O1064-TableauCB[[#This Row],[Débit]])</f>
        <v>-4655.940000000006</v>
      </c>
      <c r="P1065" s="27">
        <f>IF(AND(ISBLANK(TableauCB[[#This Row],[Débit]]),ISBLANK(TableauCB[[#This Row],[Crédit]])),"",P1064+TableauCB[[#This Row],[Crédit]]-TableauCB[[#This Row],[Débit]])</f>
        <v>11918.946000000007</v>
      </c>
      <c r="Q1065" s="26"/>
      <c r="R1065" s="25"/>
      <c r="S1065" s="25"/>
      <c r="T1065" s="24"/>
      <c r="U1065" s="24"/>
      <c r="V1065" s="9"/>
      <c r="W1065" s="2"/>
      <c r="X1065" s="9"/>
      <c r="Y1065" s="8"/>
      <c r="Z1065" s="7"/>
      <c r="AA1065" s="7"/>
      <c r="AB1065" s="6"/>
    </row>
    <row r="1066" spans="2:28" ht="14.1" customHeight="1">
      <c r="B1066" s="35" t="str">
        <f>IF(MONTH(F1065)&lt;&gt;MONTH(TableauCB[[#This Row],[Date d''éxigibilité]]),(TableauCB[[#This Row],[Date d''éxigibilité]]),"")</f>
        <v/>
      </c>
      <c r="C1066" s="11"/>
      <c r="D1066" s="11" t="s">
        <v>9</v>
      </c>
      <c r="E1066" s="11" t="s">
        <v>8</v>
      </c>
      <c r="F1066" s="34">
        <v>42916</v>
      </c>
      <c r="G1066"/>
      <c r="H1066"/>
      <c r="I1066" s="32"/>
      <c r="J1066"/>
      <c r="K1066" s="31"/>
      <c r="L1066" s="30">
        <v>240</v>
      </c>
      <c r="M1066" s="29"/>
      <c r="N1066" s="28">
        <f>IF(OR(TableauCB[[#This Row],[Etat]]="",TableauCB[[#This Row],[Etat]]="c"),IF(TableauCB[[#This Row],[Solde]]="","",N1065),N1065-TableauCB[[#This Row],[Débit]]+TableauCB[[#This Row],[Crédit]])</f>
        <v>6224.3360000000048</v>
      </c>
      <c r="O1066" s="27">
        <f>IF(TableauCB[[#This Row],[Etat]]="xc",O1065-TableauCB[[#This Row],[Débit]]+TableauCB[[#This Row],[Crédit]],O1065-TableauCB[[#This Row],[Débit]])</f>
        <v>-4895.940000000006</v>
      </c>
      <c r="P1066" s="27">
        <f>IF(AND(ISBLANK(TableauCB[[#This Row],[Débit]]),ISBLANK(TableauCB[[#This Row],[Crédit]])),"",P1065+TableauCB[[#This Row],[Crédit]]-TableauCB[[#This Row],[Débit]])</f>
        <v>11678.946000000007</v>
      </c>
      <c r="Q1066" s="26"/>
      <c r="R1066" s="25"/>
      <c r="S1066" s="25"/>
      <c r="T1066" s="24"/>
      <c r="U1066" s="24"/>
      <c r="V1066" s="9"/>
      <c r="W1066" s="2"/>
      <c r="X1066" s="9"/>
      <c r="Y1066" s="8"/>
      <c r="Z1066" s="7"/>
      <c r="AA1066" s="7"/>
      <c r="AB1066" s="6"/>
    </row>
    <row r="1067" spans="2:28" ht="14.1" customHeight="1">
      <c r="B1067" s="35" t="str">
        <f>IF(MONTH(F1066)&lt;&gt;MONTH(TableauCB[[#This Row],[Date d''éxigibilité]]),(TableauCB[[#This Row],[Date d''éxigibilité]]),"")</f>
        <v/>
      </c>
      <c r="C1067" s="11"/>
      <c r="D1067" s="11" t="s">
        <v>5</v>
      </c>
      <c r="E1067" s="11" t="s">
        <v>7</v>
      </c>
      <c r="F1067" s="34">
        <v>42916</v>
      </c>
      <c r="G1067"/>
      <c r="H1067"/>
      <c r="I1067" s="32"/>
      <c r="J1067"/>
      <c r="K1067" s="31"/>
      <c r="L1067" s="30">
        <v>600</v>
      </c>
      <c r="M1067" s="29"/>
      <c r="N1067" s="28">
        <f>IF(OR(TableauCB[[#This Row],[Etat]]="",TableauCB[[#This Row],[Etat]]="c"),IF(TableauCB[[#This Row],[Solde]]="","",N1066),N1066-TableauCB[[#This Row],[Débit]]+TableauCB[[#This Row],[Crédit]])</f>
        <v>6224.3360000000048</v>
      </c>
      <c r="O1067" s="27">
        <f>IF(TableauCB[[#This Row],[Etat]]="xc",O1066-TableauCB[[#This Row],[Débit]]+TableauCB[[#This Row],[Crédit]],O1066-TableauCB[[#This Row],[Débit]])</f>
        <v>-5495.940000000006</v>
      </c>
      <c r="P1067" s="27">
        <f>IF(AND(ISBLANK(TableauCB[[#This Row],[Débit]]),ISBLANK(TableauCB[[#This Row],[Crédit]])),"",P1066+TableauCB[[#This Row],[Crédit]]-TableauCB[[#This Row],[Débit]])</f>
        <v>11078.946000000007</v>
      </c>
      <c r="Q1067" s="26"/>
      <c r="R1067" s="25"/>
      <c r="S1067" s="25"/>
      <c r="T1067" s="24"/>
      <c r="U1067" s="24"/>
      <c r="V1067" s="9"/>
      <c r="W1067" s="2"/>
      <c r="X1067" s="9"/>
      <c r="Y1067" s="8"/>
      <c r="Z1067" s="7"/>
      <c r="AA1067" s="7"/>
      <c r="AB1067" s="6"/>
    </row>
    <row r="1068" spans="2:28" ht="14.1" customHeight="1">
      <c r="B1068" s="35" t="str">
        <f>IF(MONTH(F1067)&lt;&gt;MONTH(TableauCB[[#This Row],[Date d''éxigibilité]]),(TableauCB[[#This Row],[Date d''éxigibilité]]),"")</f>
        <v/>
      </c>
      <c r="C1068" s="11"/>
      <c r="D1068" s="11" t="s">
        <v>5</v>
      </c>
      <c r="E1068" s="11" t="s">
        <v>6</v>
      </c>
      <c r="F1068" s="34">
        <v>42916</v>
      </c>
      <c r="G1068"/>
      <c r="H1068"/>
      <c r="I1068" s="32"/>
      <c r="J1068"/>
      <c r="K1068" s="31"/>
      <c r="L1068" s="30">
        <v>291.3</v>
      </c>
      <c r="M1068" s="29"/>
      <c r="N1068" s="28">
        <f>IF(OR(TableauCB[[#This Row],[Etat]]="",TableauCB[[#This Row],[Etat]]="c"),IF(TableauCB[[#This Row],[Solde]]="","",N1067),N1067-TableauCB[[#This Row],[Débit]]+TableauCB[[#This Row],[Crédit]])</f>
        <v>6224.3360000000048</v>
      </c>
      <c r="O1068" s="27">
        <f>IF(TableauCB[[#This Row],[Etat]]="xc",O1067-TableauCB[[#This Row],[Débit]]+TableauCB[[#This Row],[Crédit]],O1067-TableauCB[[#This Row],[Débit]])</f>
        <v>-5787.2400000000061</v>
      </c>
      <c r="P1068" s="27">
        <f>IF(AND(ISBLANK(TableauCB[[#This Row],[Débit]]),ISBLANK(TableauCB[[#This Row],[Crédit]])),"",P1067+TableauCB[[#This Row],[Crédit]]-TableauCB[[#This Row],[Débit]])</f>
        <v>10787.646000000008</v>
      </c>
      <c r="Q1068" s="26"/>
      <c r="R1068" s="25"/>
      <c r="S1068" s="25"/>
      <c r="T1068" s="24"/>
      <c r="U1068" s="24"/>
      <c r="V1068" s="9"/>
      <c r="W1068" s="2"/>
      <c r="X1068" s="9"/>
      <c r="Y1068" s="8"/>
      <c r="Z1068" s="7"/>
      <c r="AA1068" s="7"/>
      <c r="AB1068" s="6"/>
    </row>
    <row r="1069" spans="2:28" ht="14.1" customHeight="1">
      <c r="B1069" s="35">
        <f>IF(MONTH(F1068)&lt;&gt;MONTH(TableauCB[[#This Row],[Date d''éxigibilité]]),(TableauCB[[#This Row],[Date d''éxigibilité]]),"")</f>
        <v>42925</v>
      </c>
      <c r="C1069" s="11"/>
      <c r="D1069" s="11" t="s">
        <v>22</v>
      </c>
      <c r="E1069" s="11" t="s">
        <v>21</v>
      </c>
      <c r="F1069" s="34">
        <v>42925</v>
      </c>
      <c r="G1069"/>
      <c r="H1069"/>
      <c r="I1069" s="32"/>
      <c r="J1069"/>
      <c r="K1069" s="31"/>
      <c r="L1069" s="30">
        <v>22.4</v>
      </c>
      <c r="M1069" s="29"/>
      <c r="N1069" s="28">
        <f>IF(OR(TableauCB[[#This Row],[Etat]]="",TableauCB[[#This Row],[Etat]]="c"),IF(TableauCB[[#This Row],[Solde]]="","",N1068),N1068-TableauCB[[#This Row],[Débit]]+TableauCB[[#This Row],[Crédit]])</f>
        <v>6224.3360000000048</v>
      </c>
      <c r="O1069" s="27">
        <f>IF(TableauCB[[#This Row],[Etat]]="xc",O1068-TableauCB[[#This Row],[Débit]]+TableauCB[[#This Row],[Crédit]],O1068-TableauCB[[#This Row],[Débit]])</f>
        <v>-5809.6400000000058</v>
      </c>
      <c r="P1069" s="27">
        <f>IF(AND(ISBLANK(TableauCB[[#This Row],[Débit]]),ISBLANK(TableauCB[[#This Row],[Crédit]])),"",P1068+TableauCB[[#This Row],[Crédit]]-TableauCB[[#This Row],[Débit]])</f>
        <v>10765.246000000008</v>
      </c>
      <c r="Q1069" s="26"/>
      <c r="R1069" s="25"/>
      <c r="S1069" s="25"/>
      <c r="T1069" s="24"/>
      <c r="U1069" s="24"/>
      <c r="V1069" s="9"/>
      <c r="W1069" s="2"/>
      <c r="X1069" s="9"/>
      <c r="Y1069" s="8"/>
      <c r="Z1069" s="7"/>
      <c r="AA1069" s="7"/>
      <c r="AB1069" s="6"/>
    </row>
    <row r="1070" spans="2:28" ht="14.1" customHeight="1">
      <c r="B1070" s="35" t="str">
        <f>IF(MONTH(F1069)&lt;&gt;MONTH(TableauCB[[#This Row],[Date d''éxigibilité]]),(TableauCB[[#This Row],[Date d''éxigibilité]]),"")</f>
        <v/>
      </c>
      <c r="C1070" s="11"/>
      <c r="D1070" s="11" t="s">
        <v>15</v>
      </c>
      <c r="E1070" s="11" t="s">
        <v>27</v>
      </c>
      <c r="F1070" s="34">
        <v>42928</v>
      </c>
      <c r="G1070"/>
      <c r="H1070"/>
      <c r="I1070" s="32"/>
      <c r="J1070"/>
      <c r="K1070" s="31"/>
      <c r="L1070" s="30">
        <v>170</v>
      </c>
      <c r="M1070" s="29"/>
      <c r="N1070" s="28">
        <f>IF(OR(TableauCB[[#This Row],[Etat]]="",TableauCB[[#This Row],[Etat]]="c"),IF(TableauCB[[#This Row],[Solde]]="","",N1069),N1069-TableauCB[[#This Row],[Débit]]+TableauCB[[#This Row],[Crédit]])</f>
        <v>6224.3360000000048</v>
      </c>
      <c r="O1070" s="27">
        <f>IF(TableauCB[[#This Row],[Etat]]="xc",O1069-TableauCB[[#This Row],[Débit]]+TableauCB[[#This Row],[Crédit]],O1069-TableauCB[[#This Row],[Débit]])</f>
        <v>-5979.6400000000058</v>
      </c>
      <c r="P1070" s="27">
        <f>IF(AND(ISBLANK(TableauCB[[#This Row],[Débit]]),ISBLANK(TableauCB[[#This Row],[Crédit]])),"",P1069+TableauCB[[#This Row],[Crédit]]-TableauCB[[#This Row],[Débit]])</f>
        <v>10595.246000000008</v>
      </c>
      <c r="Q1070" s="26"/>
      <c r="R1070" s="25"/>
      <c r="S1070" s="25"/>
      <c r="T1070" s="24"/>
      <c r="U1070" s="24"/>
      <c r="V1070" s="9"/>
      <c r="W1070" s="2"/>
      <c r="X1070" s="9"/>
      <c r="Y1070" s="8"/>
      <c r="Z1070" s="7"/>
      <c r="AA1070" s="7"/>
      <c r="AB1070" s="6"/>
    </row>
    <row r="1071" spans="2:28" ht="14.1" customHeight="1">
      <c r="B1071" s="35" t="str">
        <f>IF(MONTH(F1070)&lt;&gt;MONTH(TableauCB[[#This Row],[Date d''éxigibilité]]),(TableauCB[[#This Row],[Date d''éxigibilité]]),"")</f>
        <v/>
      </c>
      <c r="C1071" s="11"/>
      <c r="D1071" s="11" t="s">
        <v>15</v>
      </c>
      <c r="E1071" s="11" t="s">
        <v>19</v>
      </c>
      <c r="F1071" s="34">
        <v>42929</v>
      </c>
      <c r="G1071"/>
      <c r="H1071"/>
      <c r="I1071" s="32"/>
      <c r="J1071"/>
      <c r="K1071" s="31"/>
      <c r="L1071" s="30">
        <v>53</v>
      </c>
      <c r="M1071" s="29"/>
      <c r="N1071" s="28">
        <f>IF(OR(TableauCB[[#This Row],[Etat]]="",TableauCB[[#This Row],[Etat]]="c"),IF(TableauCB[[#This Row],[Solde]]="","",N1070),N1070-TableauCB[[#This Row],[Débit]]+TableauCB[[#This Row],[Crédit]])</f>
        <v>6224.3360000000048</v>
      </c>
      <c r="O1071" s="27">
        <f>IF(TableauCB[[#This Row],[Etat]]="xc",O1070-TableauCB[[#This Row],[Débit]]+TableauCB[[#This Row],[Crédit]],O1070-TableauCB[[#This Row],[Débit]])</f>
        <v>-6032.6400000000058</v>
      </c>
      <c r="P1071" s="27">
        <f>IF(AND(ISBLANK(TableauCB[[#This Row],[Débit]]),ISBLANK(TableauCB[[#This Row],[Crédit]])),"",P1070+TableauCB[[#This Row],[Crédit]]-TableauCB[[#This Row],[Débit]])</f>
        <v>10542.246000000008</v>
      </c>
      <c r="Q1071" s="26"/>
      <c r="R1071" s="25"/>
      <c r="S1071" s="25"/>
      <c r="T1071" s="24"/>
      <c r="U1071" s="24"/>
      <c r="V1071" s="9"/>
      <c r="W1071" s="2"/>
      <c r="X1071" s="9"/>
      <c r="Y1071" s="8"/>
      <c r="Z1071" s="7"/>
      <c r="AA1071" s="7"/>
      <c r="AB1071" s="6"/>
    </row>
    <row r="1072" spans="2:28" ht="14.1" customHeight="1">
      <c r="B1072" s="35" t="str">
        <f>IF(MONTH(F1071)&lt;&gt;MONTH(TableauCB[[#This Row],[Date d''éxigibilité]]),(TableauCB[[#This Row],[Date d''éxigibilité]]),"")</f>
        <v/>
      </c>
      <c r="C1072" s="11"/>
      <c r="D1072" s="11" t="s">
        <v>15</v>
      </c>
      <c r="E1072" s="11" t="s">
        <v>26</v>
      </c>
      <c r="F1072" s="34">
        <v>42929</v>
      </c>
      <c r="G1072"/>
      <c r="H1072"/>
      <c r="I1072" s="32"/>
      <c r="J1072"/>
      <c r="K1072" s="31"/>
      <c r="L1072" s="30">
        <v>10</v>
      </c>
      <c r="M1072" s="29"/>
      <c r="N1072" s="28">
        <f>IF(OR(TableauCB[[#This Row],[Etat]]="",TableauCB[[#This Row],[Etat]]="c"),IF(TableauCB[[#This Row],[Solde]]="","",N1071),N1071-TableauCB[[#This Row],[Débit]]+TableauCB[[#This Row],[Crédit]])</f>
        <v>6224.3360000000048</v>
      </c>
      <c r="O1072" s="27">
        <f>IF(TableauCB[[#This Row],[Etat]]="xc",O1071-TableauCB[[#This Row],[Débit]]+TableauCB[[#This Row],[Crédit]],O1071-TableauCB[[#This Row],[Débit]])</f>
        <v>-6042.6400000000058</v>
      </c>
      <c r="P1072" s="27">
        <f>IF(AND(ISBLANK(TableauCB[[#This Row],[Débit]]),ISBLANK(TableauCB[[#This Row],[Crédit]])),"",P1071+TableauCB[[#This Row],[Crédit]]-TableauCB[[#This Row],[Débit]])</f>
        <v>10532.246000000008</v>
      </c>
      <c r="Q1072" s="26"/>
      <c r="R1072" s="25"/>
      <c r="S1072" s="25"/>
      <c r="T1072" s="24"/>
      <c r="U1072" s="24"/>
      <c r="V1072" s="9"/>
      <c r="W1072" s="2"/>
      <c r="X1072" s="9"/>
      <c r="Y1072" s="8"/>
      <c r="Z1072" s="7"/>
      <c r="AA1072" s="7"/>
      <c r="AB1072" s="6"/>
    </row>
    <row r="1073" spans="2:28" ht="14.1" customHeight="1">
      <c r="B1073" s="35" t="str">
        <f>IF(MONTH(F1072)&lt;&gt;MONTH(TableauCB[[#This Row],[Date d''éxigibilité]]),(TableauCB[[#This Row],[Date d''éxigibilité]]),"")</f>
        <v/>
      </c>
      <c r="C1073" s="11"/>
      <c r="D1073" s="11" t="s">
        <v>15</v>
      </c>
      <c r="E1073" s="11" t="s">
        <v>26</v>
      </c>
      <c r="F1073" s="34">
        <v>42929</v>
      </c>
      <c r="G1073"/>
      <c r="H1073"/>
      <c r="I1073" s="32"/>
      <c r="J1073"/>
      <c r="K1073" s="31"/>
      <c r="L1073" s="30">
        <v>68</v>
      </c>
      <c r="M1073" s="29"/>
      <c r="N1073" s="28">
        <f>IF(OR(TableauCB[[#This Row],[Etat]]="",TableauCB[[#This Row],[Etat]]="c"),IF(TableauCB[[#This Row],[Solde]]="","",N1072),N1072-TableauCB[[#This Row],[Débit]]+TableauCB[[#This Row],[Crédit]])</f>
        <v>6224.3360000000048</v>
      </c>
      <c r="O1073" s="27">
        <f>IF(TableauCB[[#This Row],[Etat]]="xc",O1072-TableauCB[[#This Row],[Débit]]+TableauCB[[#This Row],[Crédit]],O1072-TableauCB[[#This Row],[Débit]])</f>
        <v>-6110.6400000000058</v>
      </c>
      <c r="P1073" s="27">
        <f>IF(AND(ISBLANK(TableauCB[[#This Row],[Débit]]),ISBLANK(TableauCB[[#This Row],[Crédit]])),"",P1072+TableauCB[[#This Row],[Crédit]]-TableauCB[[#This Row],[Débit]])</f>
        <v>10464.246000000008</v>
      </c>
      <c r="Q1073" s="26"/>
      <c r="R1073" s="25"/>
      <c r="S1073" s="25"/>
      <c r="T1073" s="24"/>
      <c r="U1073" s="24"/>
      <c r="V1073" s="9"/>
      <c r="W1073" s="2"/>
      <c r="X1073" s="9"/>
      <c r="Y1073" s="8"/>
      <c r="Z1073" s="7"/>
      <c r="AA1073" s="7"/>
      <c r="AB1073" s="6"/>
    </row>
    <row r="1074" spans="2:28" ht="14.1" customHeight="1">
      <c r="B1074" s="35" t="str">
        <f>IF(MONTH(F1073)&lt;&gt;MONTH(TableauCB[[#This Row],[Date d''éxigibilité]]),(TableauCB[[#This Row],[Date d''éxigibilité]]),"")</f>
        <v/>
      </c>
      <c r="C1074" s="11"/>
      <c r="D1074" s="11" t="s">
        <v>15</v>
      </c>
      <c r="E1074" s="11" t="s">
        <v>25</v>
      </c>
      <c r="F1074" s="34">
        <v>42929</v>
      </c>
      <c r="G1074"/>
      <c r="H1074"/>
      <c r="I1074" s="32"/>
      <c r="J1074"/>
      <c r="K1074" s="31"/>
      <c r="L1074" s="30">
        <v>1728</v>
      </c>
      <c r="M1074" s="29"/>
      <c r="N1074" s="28">
        <f>IF(OR(TableauCB[[#This Row],[Etat]]="",TableauCB[[#This Row],[Etat]]="c"),IF(TableauCB[[#This Row],[Solde]]="","",N1073),N1073-TableauCB[[#This Row],[Débit]]+TableauCB[[#This Row],[Crédit]])</f>
        <v>6224.3360000000048</v>
      </c>
      <c r="O1074" s="27">
        <f>IF(TableauCB[[#This Row],[Etat]]="xc",O1073-TableauCB[[#This Row],[Débit]]+TableauCB[[#This Row],[Crédit]],O1073-TableauCB[[#This Row],[Débit]])</f>
        <v>-7838.6400000000058</v>
      </c>
      <c r="P1074" s="27">
        <f>IF(AND(ISBLANK(TableauCB[[#This Row],[Débit]]),ISBLANK(TableauCB[[#This Row],[Crédit]])),"",P1073+TableauCB[[#This Row],[Crédit]]-TableauCB[[#This Row],[Débit]])</f>
        <v>8736.2460000000083</v>
      </c>
      <c r="Q1074" s="26"/>
      <c r="R1074" s="25"/>
      <c r="S1074" s="25"/>
      <c r="T1074" s="24"/>
      <c r="U1074" s="24"/>
      <c r="V1074" s="9"/>
      <c r="W1074" s="2"/>
      <c r="X1074" s="9"/>
      <c r="Y1074" s="8"/>
      <c r="Z1074" s="7"/>
      <c r="AA1074" s="7"/>
      <c r="AB1074" s="6"/>
    </row>
    <row r="1075" spans="2:28" ht="14.1" customHeight="1">
      <c r="B1075" s="35" t="str">
        <f>IF(MONTH(F1074)&lt;&gt;MONTH(TableauCB[[#This Row],[Date d''éxigibilité]]),(TableauCB[[#This Row],[Date d''éxigibilité]]),"")</f>
        <v/>
      </c>
      <c r="C1075" s="11"/>
      <c r="D1075" s="11" t="s">
        <v>15</v>
      </c>
      <c r="E1075" s="11" t="s">
        <v>24</v>
      </c>
      <c r="F1075" s="34">
        <v>42929</v>
      </c>
      <c r="G1075"/>
      <c r="H1075"/>
      <c r="I1075" s="32"/>
      <c r="J1075"/>
      <c r="K1075" s="31"/>
      <c r="L1075" s="30">
        <f>537+206</f>
        <v>743</v>
      </c>
      <c r="M1075" s="29"/>
      <c r="N1075" s="28">
        <f>IF(OR(TableauCB[[#This Row],[Etat]]="",TableauCB[[#This Row],[Etat]]="c"),IF(TableauCB[[#This Row],[Solde]]="","",N1074),N1074-TableauCB[[#This Row],[Débit]]+TableauCB[[#This Row],[Crédit]])</f>
        <v>6224.3360000000048</v>
      </c>
      <c r="O1075" s="27">
        <f>IF(TableauCB[[#This Row],[Etat]]="xc",O1074-TableauCB[[#This Row],[Débit]]+TableauCB[[#This Row],[Crédit]],O1074-TableauCB[[#This Row],[Débit]])</f>
        <v>-8581.6400000000067</v>
      </c>
      <c r="P1075" s="27">
        <f>IF(AND(ISBLANK(TableauCB[[#This Row],[Débit]]),ISBLANK(TableauCB[[#This Row],[Crédit]])),"",P1074+TableauCB[[#This Row],[Crédit]]-TableauCB[[#This Row],[Débit]])</f>
        <v>7993.2460000000083</v>
      </c>
      <c r="Q1075" s="26"/>
      <c r="R1075" s="25"/>
      <c r="S1075" s="25"/>
      <c r="T1075" s="24"/>
      <c r="U1075" s="24"/>
      <c r="V1075" s="9"/>
      <c r="W1075" s="2"/>
      <c r="X1075" s="9"/>
      <c r="Y1075" s="8"/>
      <c r="Z1075" s="7"/>
      <c r="AA1075" s="7"/>
      <c r="AB1075" s="6"/>
    </row>
    <row r="1076" spans="2:28" ht="14.1" customHeight="1">
      <c r="B1076" s="35" t="str">
        <f>IF(MONTH(F1075)&lt;&gt;MONTH(TableauCB[[#This Row],[Date d''éxigibilité]]),(TableauCB[[#This Row],[Date d''éxigibilité]]),"")</f>
        <v/>
      </c>
      <c r="C1076" s="11"/>
      <c r="D1076" s="11" t="s">
        <v>30</v>
      </c>
      <c r="E1076" s="11" t="s">
        <v>29</v>
      </c>
      <c r="F1076" s="34">
        <v>42934</v>
      </c>
      <c r="G1076"/>
      <c r="H1076"/>
      <c r="I1076" s="32"/>
      <c r="J1076"/>
      <c r="K1076" s="31"/>
      <c r="L1076" s="30">
        <v>112.05</v>
      </c>
      <c r="M1076" s="29"/>
      <c r="N1076" s="28">
        <f>IF(OR(TableauCB[[#This Row],[Etat]]="",TableauCB[[#This Row],[Etat]]="c"),IF(TableauCB[[#This Row],[Solde]]="","",N1075),N1075-TableauCB[[#This Row],[Débit]]+TableauCB[[#This Row],[Crédit]])</f>
        <v>6224.3360000000048</v>
      </c>
      <c r="O1076" s="27">
        <f>IF(TableauCB[[#This Row],[Etat]]="xc",O1075-TableauCB[[#This Row],[Débit]]+TableauCB[[#This Row],[Crédit]],O1075-TableauCB[[#This Row],[Débit]])</f>
        <v>-8693.690000000006</v>
      </c>
      <c r="P1076" s="27">
        <f>IF(AND(ISBLANK(TableauCB[[#This Row],[Débit]]),ISBLANK(TableauCB[[#This Row],[Crédit]])),"",P1075+TableauCB[[#This Row],[Crédit]]-TableauCB[[#This Row],[Débit]])</f>
        <v>7881.1960000000081</v>
      </c>
      <c r="Q1076" s="26"/>
      <c r="R1076" s="25"/>
      <c r="S1076" s="25"/>
      <c r="T1076" s="24"/>
      <c r="U1076" s="24"/>
      <c r="V1076" s="9"/>
      <c r="W1076" s="2"/>
      <c r="X1076" s="9"/>
      <c r="Y1076" s="8"/>
      <c r="Z1076" s="7"/>
      <c r="AA1076" s="7"/>
      <c r="AB1076" s="6"/>
    </row>
    <row r="1077" spans="2:28" ht="14.1" customHeight="1">
      <c r="B1077" s="35" t="str">
        <f>IF(MONTH(F1076)&lt;&gt;MONTH(TableauCB[[#This Row],[Date d''éxigibilité]]),(TableauCB[[#This Row],[Date d''éxigibilité]]),"")</f>
        <v/>
      </c>
      <c r="C1077" s="11"/>
      <c r="D1077" s="11" t="s">
        <v>17</v>
      </c>
      <c r="E1077" s="11" t="s">
        <v>16</v>
      </c>
      <c r="F1077" s="34">
        <v>42936</v>
      </c>
      <c r="G1077"/>
      <c r="H1077"/>
      <c r="I1077" s="32"/>
      <c r="J1077"/>
      <c r="K1077" s="31"/>
      <c r="L1077" s="30">
        <v>3.59</v>
      </c>
      <c r="M1077" s="29"/>
      <c r="N1077" s="28">
        <f>IF(OR(TableauCB[[#This Row],[Etat]]="",TableauCB[[#This Row],[Etat]]="c"),IF(TableauCB[[#This Row],[Solde]]="","",N1076),N1076-TableauCB[[#This Row],[Débit]]+TableauCB[[#This Row],[Crédit]])</f>
        <v>6224.3360000000048</v>
      </c>
      <c r="O1077" s="27">
        <f>IF(TableauCB[[#This Row],[Etat]]="xc",O1076-TableauCB[[#This Row],[Débit]]+TableauCB[[#This Row],[Crédit]],O1076-TableauCB[[#This Row],[Débit]])</f>
        <v>-8697.2800000000061</v>
      </c>
      <c r="P1077" s="27">
        <f>IF(AND(ISBLANK(TableauCB[[#This Row],[Débit]]),ISBLANK(TableauCB[[#This Row],[Crédit]])),"",P1076+TableauCB[[#This Row],[Crédit]]-TableauCB[[#This Row],[Débit]])</f>
        <v>7877.606000000008</v>
      </c>
      <c r="Q1077" s="26"/>
      <c r="R1077" s="25"/>
      <c r="S1077" s="25"/>
      <c r="T1077" s="24"/>
      <c r="U1077" s="24"/>
      <c r="V1077" s="9"/>
      <c r="W1077" s="2"/>
      <c r="X1077" s="9"/>
      <c r="Y1077" s="8"/>
      <c r="Z1077" s="7"/>
      <c r="AA1077" s="7"/>
      <c r="AB1077" s="6"/>
    </row>
    <row r="1078" spans="2:28" ht="14.1" customHeight="1">
      <c r="B1078" s="35" t="str">
        <f>IF(MONTH(F1077)&lt;&gt;MONTH(TableauCB[[#This Row],[Date d''éxigibilité]]),(TableauCB[[#This Row],[Date d''éxigibilité]]),"")</f>
        <v/>
      </c>
      <c r="C1078" s="11"/>
      <c r="D1078" s="11" t="s">
        <v>15</v>
      </c>
      <c r="E1078" s="11" t="s">
        <v>23</v>
      </c>
      <c r="F1078" s="34">
        <v>42937</v>
      </c>
      <c r="G1078"/>
      <c r="H1078"/>
      <c r="I1078" s="32"/>
      <c r="J1078"/>
      <c r="K1078" s="31"/>
      <c r="L1078" s="30">
        <v>2020</v>
      </c>
      <c r="M1078" s="29"/>
      <c r="N1078" s="28">
        <f>IF(OR(TableauCB[[#This Row],[Etat]]="",TableauCB[[#This Row],[Etat]]="c"),IF(TableauCB[[#This Row],[Solde]]="","",N1077),N1077-TableauCB[[#This Row],[Débit]]+TableauCB[[#This Row],[Crédit]])</f>
        <v>6224.3360000000048</v>
      </c>
      <c r="O1078" s="27">
        <f>IF(TableauCB[[#This Row],[Etat]]="xc",O1077-TableauCB[[#This Row],[Débit]]+TableauCB[[#This Row],[Crédit]],O1077-TableauCB[[#This Row],[Débit]])</f>
        <v>-10717.280000000006</v>
      </c>
      <c r="P1078" s="27">
        <f>IF(AND(ISBLANK(TableauCB[[#This Row],[Débit]]),ISBLANK(TableauCB[[#This Row],[Crédit]])),"",P1077+TableauCB[[#This Row],[Crédit]]-TableauCB[[#This Row],[Débit]])</f>
        <v>5857.606000000008</v>
      </c>
      <c r="Q1078" s="26"/>
      <c r="R1078" s="25"/>
      <c r="S1078" s="25"/>
      <c r="T1078" s="24"/>
      <c r="U1078" s="24"/>
      <c r="V1078" s="9"/>
      <c r="W1078" s="2"/>
      <c r="X1078" s="9"/>
      <c r="Y1078" s="8"/>
      <c r="Z1078" s="7"/>
      <c r="AA1078" s="7"/>
      <c r="AB1078" s="6"/>
    </row>
    <row r="1079" spans="2:28" ht="14.1" customHeight="1">
      <c r="B1079" s="35" t="str">
        <f>IF(MONTH(F1078)&lt;&gt;MONTH(TableauCB[[#This Row],[Date d''éxigibilité]]),(TableauCB[[#This Row],[Date d''éxigibilité]]),"")</f>
        <v/>
      </c>
      <c r="C1079" s="11"/>
      <c r="D1079" s="11" t="s">
        <v>17</v>
      </c>
      <c r="E1079" s="11" t="s">
        <v>18</v>
      </c>
      <c r="F1079" s="34">
        <v>42937</v>
      </c>
      <c r="G1079"/>
      <c r="H1079"/>
      <c r="I1079" s="32"/>
      <c r="J1079"/>
      <c r="K1079" s="31"/>
      <c r="L1079" s="30">
        <v>45.6</v>
      </c>
      <c r="M1079" s="29"/>
      <c r="N1079" s="28">
        <f>IF(OR(TableauCB[[#This Row],[Etat]]="",TableauCB[[#This Row],[Etat]]="c"),IF(TableauCB[[#This Row],[Solde]]="","",N1078),N1078-TableauCB[[#This Row],[Débit]]+TableauCB[[#This Row],[Crédit]])</f>
        <v>6224.3360000000048</v>
      </c>
      <c r="O1079" s="27">
        <f>IF(TableauCB[[#This Row],[Etat]]="xc",O1078-TableauCB[[#This Row],[Débit]]+TableauCB[[#This Row],[Crédit]],O1078-TableauCB[[#This Row],[Débit]])</f>
        <v>-10762.880000000006</v>
      </c>
      <c r="P1079" s="27">
        <f>IF(AND(ISBLANK(TableauCB[[#This Row],[Débit]]),ISBLANK(TableauCB[[#This Row],[Crédit]])),"",P1078+TableauCB[[#This Row],[Crédit]]-TableauCB[[#This Row],[Débit]])</f>
        <v>5812.0060000000076</v>
      </c>
      <c r="Q1079" s="26"/>
      <c r="R1079" s="25"/>
      <c r="S1079" s="25"/>
      <c r="T1079" s="24"/>
      <c r="U1079" s="24"/>
      <c r="V1079" s="9"/>
      <c r="W1079" s="2"/>
      <c r="X1079" s="9"/>
      <c r="Y1079" s="8"/>
      <c r="Z1079" s="7"/>
      <c r="AA1079" s="7"/>
      <c r="AB1079" s="6"/>
    </row>
    <row r="1080" spans="2:28" ht="14.1" customHeight="1">
      <c r="B1080" s="35" t="str">
        <f>IF(MONTH(F1079)&lt;&gt;MONTH(TableauCB[[#This Row],[Date d''éxigibilité]]),(TableauCB[[#This Row],[Date d''éxigibilité]]),"")</f>
        <v/>
      </c>
      <c r="C1080" s="11"/>
      <c r="D1080" s="11" t="s">
        <v>15</v>
      </c>
      <c r="E1080" s="11" t="s">
        <v>14</v>
      </c>
      <c r="F1080" s="34">
        <v>42946</v>
      </c>
      <c r="G1080"/>
      <c r="H1080"/>
      <c r="I1080" s="32"/>
      <c r="J1080"/>
      <c r="K1080" s="31"/>
      <c r="L1080" s="30">
        <v>210</v>
      </c>
      <c r="M1080" s="29"/>
      <c r="N1080" s="28">
        <f>IF(OR(TableauCB[[#This Row],[Etat]]="",TableauCB[[#This Row],[Etat]]="c"),IF(TableauCB[[#This Row],[Solde]]="","",N1079),N1079-TableauCB[[#This Row],[Débit]]+TableauCB[[#This Row],[Crédit]])</f>
        <v>6224.3360000000048</v>
      </c>
      <c r="O1080" s="27">
        <f>IF(TableauCB[[#This Row],[Etat]]="xc",O1079-TableauCB[[#This Row],[Débit]]+TableauCB[[#This Row],[Crédit]],O1079-TableauCB[[#This Row],[Débit]])</f>
        <v>-10972.880000000006</v>
      </c>
      <c r="P1080" s="27">
        <f>IF(AND(ISBLANK(TableauCB[[#This Row],[Débit]]),ISBLANK(TableauCB[[#This Row],[Crédit]])),"",P1079+TableauCB[[#This Row],[Crédit]]-TableauCB[[#This Row],[Débit]])</f>
        <v>5602.0060000000076</v>
      </c>
      <c r="Q1080" s="26"/>
      <c r="R1080" s="25"/>
      <c r="S1080" s="25"/>
      <c r="T1080" s="24"/>
      <c r="U1080" s="24"/>
      <c r="V1080" s="9"/>
      <c r="W1080" s="2"/>
      <c r="X1080" s="9"/>
      <c r="Y1080" s="8"/>
      <c r="Z1080" s="7"/>
      <c r="AA1080" s="7"/>
      <c r="AB1080" s="6"/>
    </row>
    <row r="1081" spans="2:28" ht="14.1" customHeight="1">
      <c r="B1081" s="35" t="str">
        <f>IF(MONTH(F1080)&lt;&gt;MONTH(TableauCB[[#This Row],[Date d''éxigibilité]]),(TableauCB[[#This Row],[Date d''éxigibilité]]),"")</f>
        <v/>
      </c>
      <c r="C1081" s="11"/>
      <c r="D1081" s="11" t="s">
        <v>11</v>
      </c>
      <c r="E1081" s="11" t="s">
        <v>12</v>
      </c>
      <c r="F1081" s="34">
        <v>42946</v>
      </c>
      <c r="G1081"/>
      <c r="H1081"/>
      <c r="I1081" s="32"/>
      <c r="J1081"/>
      <c r="K1081" s="31"/>
      <c r="L1081" s="30"/>
      <c r="M1081" s="29">
        <v>180</v>
      </c>
      <c r="N1081" s="28">
        <f>IF(OR(TableauCB[[#This Row],[Etat]]="",TableauCB[[#This Row],[Etat]]="c"),IF(TableauCB[[#This Row],[Solde]]="","",N1080),N1080-TableauCB[[#This Row],[Débit]]+TableauCB[[#This Row],[Crédit]])</f>
        <v>6224.3360000000048</v>
      </c>
      <c r="O1081" s="27">
        <f>IF(TableauCB[[#This Row],[Etat]]="xc",O1080-TableauCB[[#This Row],[Débit]]+TableauCB[[#This Row],[Crédit]],O1080-TableauCB[[#This Row],[Débit]])</f>
        <v>-10972.880000000006</v>
      </c>
      <c r="P1081" s="27">
        <f>IF(AND(ISBLANK(TableauCB[[#This Row],[Débit]]),ISBLANK(TableauCB[[#This Row],[Crédit]])),"",P1080+TableauCB[[#This Row],[Crédit]]-TableauCB[[#This Row],[Débit]])</f>
        <v>5782.0060000000076</v>
      </c>
      <c r="Q1081" s="26"/>
      <c r="R1081" s="25"/>
      <c r="S1081" s="25"/>
      <c r="T1081" s="24"/>
      <c r="U1081" s="24"/>
      <c r="V1081" s="9"/>
      <c r="W1081" s="2"/>
      <c r="X1081" s="9"/>
      <c r="Y1081" s="8"/>
      <c r="Z1081" s="7"/>
      <c r="AA1081" s="7"/>
      <c r="AB1081" s="6"/>
    </row>
    <row r="1082" spans="2:28" ht="14.1" customHeight="1">
      <c r="B1082" s="35" t="str">
        <f>IF(MONTH(F1081)&lt;&gt;MONTH(TableauCB[[#This Row],[Date d''éxigibilité]]),(TableauCB[[#This Row],[Date d''éxigibilité]]),"")</f>
        <v/>
      </c>
      <c r="C1082" s="11"/>
      <c r="D1082" s="11" t="s">
        <v>11</v>
      </c>
      <c r="E1082" s="11" t="s">
        <v>10</v>
      </c>
      <c r="F1082" s="34">
        <v>42946</v>
      </c>
      <c r="G1082"/>
      <c r="H1082"/>
      <c r="I1082" s="32"/>
      <c r="J1082"/>
      <c r="K1082" s="31"/>
      <c r="L1082" s="30"/>
      <c r="M1082" s="29">
        <v>504</v>
      </c>
      <c r="N1082" s="28">
        <f>IF(OR(TableauCB[[#This Row],[Etat]]="",TableauCB[[#This Row],[Etat]]="c"),IF(TableauCB[[#This Row],[Solde]]="","",N1081),N1081-TableauCB[[#This Row],[Débit]]+TableauCB[[#This Row],[Crédit]])</f>
        <v>6224.3360000000048</v>
      </c>
      <c r="O1082" s="27">
        <f>IF(TableauCB[[#This Row],[Etat]]="xc",O1081-TableauCB[[#This Row],[Débit]]+TableauCB[[#This Row],[Crédit]],O1081-TableauCB[[#This Row],[Débit]])</f>
        <v>-10972.880000000006</v>
      </c>
      <c r="P1082" s="27">
        <f>IF(AND(ISBLANK(TableauCB[[#This Row],[Débit]]),ISBLANK(TableauCB[[#This Row],[Crédit]])),"",P1081+TableauCB[[#This Row],[Crédit]]-TableauCB[[#This Row],[Débit]])</f>
        <v>6286.0060000000076</v>
      </c>
      <c r="Q1082" s="26"/>
      <c r="R1082" s="25"/>
      <c r="S1082" s="25"/>
      <c r="T1082" s="24"/>
      <c r="U1082" s="24"/>
      <c r="V1082" s="9"/>
      <c r="W1082" s="2"/>
      <c r="X1082" s="9"/>
      <c r="Y1082" s="8"/>
      <c r="Z1082" s="7"/>
      <c r="AA1082" s="7"/>
      <c r="AB1082" s="6"/>
    </row>
    <row r="1083" spans="2:28" ht="14.1" customHeight="1">
      <c r="B1083" s="35" t="str">
        <f>IF(MONTH(F1082)&lt;&gt;MONTH(TableauCB[[#This Row],[Date d''éxigibilité]]),(TableauCB[[#This Row],[Date d''éxigibilité]]),"")</f>
        <v/>
      </c>
      <c r="C1083" s="11"/>
      <c r="D1083" s="11" t="s">
        <v>11</v>
      </c>
      <c r="E1083" s="11" t="s">
        <v>10</v>
      </c>
      <c r="F1083" s="34">
        <v>42946</v>
      </c>
      <c r="G1083"/>
      <c r="H1083"/>
      <c r="I1083" s="32"/>
      <c r="J1083"/>
      <c r="K1083" s="31"/>
      <c r="L1083" s="30"/>
      <c r="M1083" s="29">
        <v>108</v>
      </c>
      <c r="N1083" s="28">
        <f>IF(OR(TableauCB[[#This Row],[Etat]]="",TableauCB[[#This Row],[Etat]]="c"),IF(TableauCB[[#This Row],[Solde]]="","",N1082),N1082-TableauCB[[#This Row],[Débit]]+TableauCB[[#This Row],[Crédit]])</f>
        <v>6224.3360000000048</v>
      </c>
      <c r="O1083" s="27">
        <f>IF(TableauCB[[#This Row],[Etat]]="xc",O1082-TableauCB[[#This Row],[Débit]]+TableauCB[[#This Row],[Crédit]],O1082-TableauCB[[#This Row],[Débit]])</f>
        <v>-10972.880000000006</v>
      </c>
      <c r="P1083" s="27">
        <f>IF(AND(ISBLANK(TableauCB[[#This Row],[Débit]]),ISBLANK(TableauCB[[#This Row],[Crédit]])),"",P1082+TableauCB[[#This Row],[Crédit]]-TableauCB[[#This Row],[Débit]])</f>
        <v>6394.0060000000076</v>
      </c>
      <c r="Q1083" s="26"/>
      <c r="R1083" s="25"/>
      <c r="S1083" s="25"/>
      <c r="T1083" s="24"/>
      <c r="U1083" s="24"/>
      <c r="V1083" s="9"/>
      <c r="W1083" s="2"/>
      <c r="X1083" s="9"/>
      <c r="Y1083" s="8"/>
      <c r="Z1083" s="7"/>
      <c r="AA1083" s="7"/>
      <c r="AB1083" s="6"/>
    </row>
    <row r="1084" spans="2:28" ht="14.1" customHeight="1">
      <c r="B1084" s="35" t="str">
        <f>IF(MONTH(F1083)&lt;&gt;MONTH(TableauCB[[#This Row],[Date d''éxigibilité]]),(TableauCB[[#This Row],[Date d''éxigibilité]]),"")</f>
        <v/>
      </c>
      <c r="C1084" s="11"/>
      <c r="D1084" s="11" t="s">
        <v>11</v>
      </c>
      <c r="E1084" s="11" t="s">
        <v>10</v>
      </c>
      <c r="F1084" s="34">
        <v>42946</v>
      </c>
      <c r="G1084"/>
      <c r="H1084"/>
      <c r="I1084" s="32"/>
      <c r="J1084"/>
      <c r="K1084" s="31"/>
      <c r="L1084" s="30"/>
      <c r="M1084" s="29">
        <v>198</v>
      </c>
      <c r="N1084" s="28">
        <f>IF(OR(TableauCB[[#This Row],[Etat]]="",TableauCB[[#This Row],[Etat]]="c"),IF(TableauCB[[#This Row],[Solde]]="","",N1083),N1083-TableauCB[[#This Row],[Débit]]+TableauCB[[#This Row],[Crédit]])</f>
        <v>6224.3360000000048</v>
      </c>
      <c r="O1084" s="27">
        <f>IF(TableauCB[[#This Row],[Etat]]="xc",O1083-TableauCB[[#This Row],[Débit]]+TableauCB[[#This Row],[Crédit]],O1083-TableauCB[[#This Row],[Débit]])</f>
        <v>-10972.880000000006</v>
      </c>
      <c r="P1084" s="27">
        <f>IF(AND(ISBLANK(TableauCB[[#This Row],[Débit]]),ISBLANK(TableauCB[[#This Row],[Crédit]])),"",P1083+TableauCB[[#This Row],[Crédit]]-TableauCB[[#This Row],[Débit]])</f>
        <v>6592.0060000000076</v>
      </c>
      <c r="Q1084" s="26"/>
      <c r="R1084" s="25"/>
      <c r="S1084" s="25"/>
      <c r="T1084" s="24"/>
      <c r="U1084" s="24"/>
      <c r="V1084" s="9"/>
      <c r="W1084" s="2"/>
      <c r="X1084" s="9"/>
      <c r="Y1084" s="8"/>
      <c r="Z1084" s="7"/>
      <c r="AA1084" s="7"/>
      <c r="AB1084" s="6"/>
    </row>
    <row r="1085" spans="2:28" ht="14.1" customHeight="1">
      <c r="B1085" s="35" t="str">
        <f>IF(MONTH(F1084)&lt;&gt;MONTH(TableauCB[[#This Row],[Date d''éxigibilité]]),(TableauCB[[#This Row],[Date d''éxigibilité]]),"")</f>
        <v/>
      </c>
      <c r="C1085" s="11"/>
      <c r="D1085" s="11" t="s">
        <v>11</v>
      </c>
      <c r="E1085" s="11" t="s">
        <v>10</v>
      </c>
      <c r="F1085" s="34">
        <v>42946</v>
      </c>
      <c r="G1085"/>
      <c r="H1085"/>
      <c r="I1085" s="32"/>
      <c r="J1085"/>
      <c r="K1085" s="31"/>
      <c r="L1085" s="30"/>
      <c r="M1085" s="29">
        <v>151.80000000000001</v>
      </c>
      <c r="N1085" s="28">
        <f>IF(OR(TableauCB[[#This Row],[Etat]]="",TableauCB[[#This Row],[Etat]]="c"),IF(TableauCB[[#This Row],[Solde]]="","",N1084),N1084-TableauCB[[#This Row],[Débit]]+TableauCB[[#This Row],[Crédit]])</f>
        <v>6224.3360000000048</v>
      </c>
      <c r="O1085" s="27">
        <f>IF(TableauCB[[#This Row],[Etat]]="xc",O1084-TableauCB[[#This Row],[Débit]]+TableauCB[[#This Row],[Crédit]],O1084-TableauCB[[#This Row],[Débit]])</f>
        <v>-10972.880000000006</v>
      </c>
      <c r="P1085" s="27">
        <f>IF(AND(ISBLANK(TableauCB[[#This Row],[Débit]]),ISBLANK(TableauCB[[#This Row],[Crédit]])),"",P1084+TableauCB[[#This Row],[Crédit]]-TableauCB[[#This Row],[Débit]])</f>
        <v>6743.8060000000078</v>
      </c>
      <c r="Q1085" s="26"/>
      <c r="R1085" s="25"/>
      <c r="S1085" s="25"/>
      <c r="T1085" s="24"/>
      <c r="U1085" s="24"/>
      <c r="V1085" s="9"/>
      <c r="W1085" s="2"/>
      <c r="X1085" s="9"/>
      <c r="Y1085" s="8"/>
      <c r="Z1085" s="7"/>
      <c r="AA1085" s="7"/>
      <c r="AB1085" s="6"/>
    </row>
    <row r="1086" spans="2:28" ht="14.1" customHeight="1">
      <c r="B1086" s="35" t="str">
        <f>IF(MONTH(F1085)&lt;&gt;MONTH(TableauCB[[#This Row],[Date d''éxigibilité]]),(TableauCB[[#This Row],[Date d''éxigibilité]]),"")</f>
        <v/>
      </c>
      <c r="C1086" s="11"/>
      <c r="D1086" s="11" t="s">
        <v>11</v>
      </c>
      <c r="E1086" s="11" t="s">
        <v>12</v>
      </c>
      <c r="F1086" s="34">
        <v>42946</v>
      </c>
      <c r="G1086"/>
      <c r="H1086"/>
      <c r="I1086" s="32"/>
      <c r="J1086"/>
      <c r="K1086" s="31"/>
      <c r="L1086" s="30"/>
      <c r="M1086" s="29">
        <v>522</v>
      </c>
      <c r="N1086" s="28">
        <f>IF(OR(TableauCB[[#This Row],[Etat]]="",TableauCB[[#This Row],[Etat]]="c"),IF(TableauCB[[#This Row],[Solde]]="","",N1085),N1085-TableauCB[[#This Row],[Débit]]+TableauCB[[#This Row],[Crédit]])</f>
        <v>6224.3360000000048</v>
      </c>
      <c r="O1086" s="27">
        <f>IF(TableauCB[[#This Row],[Etat]]="xc",O1085-TableauCB[[#This Row],[Débit]]+TableauCB[[#This Row],[Crédit]],O1085-TableauCB[[#This Row],[Débit]])</f>
        <v>-10972.880000000006</v>
      </c>
      <c r="P1086" s="27">
        <f>IF(AND(ISBLANK(TableauCB[[#This Row],[Débit]]),ISBLANK(TableauCB[[#This Row],[Crédit]])),"",P1085+TableauCB[[#This Row],[Crédit]]-TableauCB[[#This Row],[Débit]])</f>
        <v>7265.8060000000078</v>
      </c>
      <c r="Q1086" s="26"/>
      <c r="R1086" s="4"/>
      <c r="S1086" s="4"/>
      <c r="T1086" s="24"/>
      <c r="U1086" s="24"/>
      <c r="V1086" s="9"/>
      <c r="W1086" s="2"/>
      <c r="X1086" s="9"/>
      <c r="Y1086" s="8"/>
      <c r="Z1086" s="7"/>
      <c r="AA1086" s="7"/>
      <c r="AB1086" s="6"/>
    </row>
    <row r="1087" spans="2:28" ht="14.1" customHeight="1">
      <c r="B1087" s="35" t="str">
        <f>IF(MONTH(F1086)&lt;&gt;MONTH(TableauCB[[#This Row],[Date d''éxigibilité]]),(TableauCB[[#This Row],[Date d''éxigibilité]]),"")</f>
        <v/>
      </c>
      <c r="C1087" s="11"/>
      <c r="D1087" s="11" t="s">
        <v>11</v>
      </c>
      <c r="E1087" s="11" t="s">
        <v>10</v>
      </c>
      <c r="F1087" s="34">
        <v>42946</v>
      </c>
      <c r="G1087"/>
      <c r="H1087"/>
      <c r="I1087" s="32"/>
      <c r="J1087"/>
      <c r="K1087" s="31"/>
      <c r="L1087" s="30"/>
      <c r="M1087" s="29">
        <v>192</v>
      </c>
      <c r="N1087" s="28">
        <f>IF(OR(TableauCB[[#This Row],[Etat]]="",TableauCB[[#This Row],[Etat]]="c"),IF(TableauCB[[#This Row],[Solde]]="","",N1086),N1086-TableauCB[[#This Row],[Débit]]+TableauCB[[#This Row],[Crédit]])</f>
        <v>6224.3360000000048</v>
      </c>
      <c r="O1087" s="27">
        <f>IF(TableauCB[[#This Row],[Etat]]="xc",O1086-TableauCB[[#This Row],[Débit]]+TableauCB[[#This Row],[Crédit]],O1086-TableauCB[[#This Row],[Débit]])</f>
        <v>-10972.880000000006</v>
      </c>
      <c r="P1087" s="27">
        <f>IF(AND(ISBLANK(TableauCB[[#This Row],[Débit]]),ISBLANK(TableauCB[[#This Row],[Crédit]])),"",P1086+TableauCB[[#This Row],[Crédit]]-TableauCB[[#This Row],[Débit]])</f>
        <v>7457.8060000000078</v>
      </c>
      <c r="Q1087" s="26"/>
      <c r="R1087" s="4"/>
      <c r="S1087" s="4"/>
      <c r="T1087" s="24"/>
      <c r="U1087" s="24"/>
      <c r="V1087" s="9"/>
      <c r="W1087" s="2"/>
      <c r="X1087" s="9"/>
      <c r="Y1087" s="8"/>
      <c r="Z1087" s="7"/>
      <c r="AA1087" s="7"/>
      <c r="AB1087" s="6"/>
    </row>
    <row r="1088" spans="2:28" ht="14.1" customHeight="1">
      <c r="B1088" s="35" t="str">
        <f>IF(MONTH(F1087)&lt;&gt;MONTH(TableauCB[[#This Row],[Date d''éxigibilité]]),(TableauCB[[#This Row],[Date d''éxigibilité]]),"")</f>
        <v/>
      </c>
      <c r="C1088" s="11"/>
      <c r="D1088" s="11" t="s">
        <v>11</v>
      </c>
      <c r="E1088" s="11" t="s">
        <v>10</v>
      </c>
      <c r="F1088" s="34">
        <v>42946</v>
      </c>
      <c r="G1088"/>
      <c r="H1088"/>
      <c r="I1088" s="32"/>
      <c r="J1088"/>
      <c r="K1088" s="31"/>
      <c r="L1088" s="30"/>
      <c r="M1088" s="29">
        <v>624</v>
      </c>
      <c r="N1088" s="28">
        <f>IF(OR(TableauCB[[#This Row],[Etat]]="",TableauCB[[#This Row],[Etat]]="c"),IF(TableauCB[[#This Row],[Solde]]="","",N1087),N1087-TableauCB[[#This Row],[Débit]]+TableauCB[[#This Row],[Crédit]])</f>
        <v>6224.3360000000048</v>
      </c>
      <c r="O1088" s="27">
        <f>IF(TableauCB[[#This Row],[Etat]]="xc",O1087-TableauCB[[#This Row],[Débit]]+TableauCB[[#This Row],[Crédit]],O1087-TableauCB[[#This Row],[Débit]])</f>
        <v>-10972.880000000006</v>
      </c>
      <c r="P1088" s="27">
        <f>IF(AND(ISBLANK(TableauCB[[#This Row],[Débit]]),ISBLANK(TableauCB[[#This Row],[Crédit]])),"",P1087+TableauCB[[#This Row],[Crédit]]-TableauCB[[#This Row],[Débit]])</f>
        <v>8081.8060000000078</v>
      </c>
      <c r="Q1088" s="26"/>
      <c r="R1088" s="4"/>
      <c r="S1088" s="4"/>
      <c r="T1088" s="24"/>
      <c r="U1088" s="24"/>
      <c r="V1088" s="9"/>
      <c r="W1088" s="2"/>
      <c r="X1088" s="9"/>
      <c r="Y1088" s="8"/>
      <c r="Z1088" s="7"/>
      <c r="AA1088" s="7"/>
      <c r="AB1088" s="6"/>
    </row>
    <row r="1089" spans="2:28" ht="14.1" customHeight="1">
      <c r="B1089" s="35" t="str">
        <f>IF(MONTH(F1088)&lt;&gt;MONTH(TableauCB[[#This Row],[Date d''éxigibilité]]),(TableauCB[[#This Row],[Date d''éxigibilité]]),"")</f>
        <v/>
      </c>
      <c r="C1089" s="11"/>
      <c r="D1089" s="11" t="s">
        <v>11</v>
      </c>
      <c r="E1089" s="11" t="s">
        <v>12</v>
      </c>
      <c r="F1089" s="34">
        <v>42946</v>
      </c>
      <c r="G1089"/>
      <c r="H1089"/>
      <c r="I1089" s="32"/>
      <c r="J1089"/>
      <c r="K1089" s="31"/>
      <c r="L1089" s="30"/>
      <c r="M1089" s="29">
        <v>117.5</v>
      </c>
      <c r="N1089" s="28">
        <f>IF(OR(TableauCB[[#This Row],[Etat]]="",TableauCB[[#This Row],[Etat]]="c"),IF(TableauCB[[#This Row],[Solde]]="","",N1088),N1088-TableauCB[[#This Row],[Débit]]+TableauCB[[#This Row],[Crédit]])</f>
        <v>6224.3360000000048</v>
      </c>
      <c r="O1089" s="27">
        <f>IF(TableauCB[[#This Row],[Etat]]="xc",O1088-TableauCB[[#This Row],[Débit]]+TableauCB[[#This Row],[Crédit]],O1088-TableauCB[[#This Row],[Débit]])</f>
        <v>-10972.880000000006</v>
      </c>
      <c r="P1089" s="27">
        <f>IF(AND(ISBLANK(TableauCB[[#This Row],[Débit]]),ISBLANK(TableauCB[[#This Row],[Crédit]])),"",P1088+TableauCB[[#This Row],[Crédit]]-TableauCB[[#This Row],[Débit]])</f>
        <v>8199.3060000000078</v>
      </c>
      <c r="Q1089" s="26"/>
      <c r="R1089" s="4"/>
      <c r="S1089" s="4"/>
      <c r="T1089" s="24"/>
      <c r="U1089" s="24"/>
      <c r="V1089" s="9"/>
      <c r="W1089" s="2"/>
      <c r="X1089" s="9"/>
      <c r="Y1089" s="8"/>
      <c r="Z1089" s="7"/>
      <c r="AA1089" s="7"/>
      <c r="AB1089" s="6"/>
    </row>
    <row r="1090" spans="2:28" ht="14.1" customHeight="1">
      <c r="B1090" s="35" t="str">
        <f>IF(MONTH(F1089)&lt;&gt;MONTH(TableauCB[[#This Row],[Date d''éxigibilité]]),(TableauCB[[#This Row],[Date d''éxigibilité]]),"")</f>
        <v/>
      </c>
      <c r="C1090" s="11"/>
      <c r="D1090" s="11" t="s">
        <v>11</v>
      </c>
      <c r="E1090" s="11" t="s">
        <v>10</v>
      </c>
      <c r="F1090" s="34">
        <v>42946</v>
      </c>
      <c r="G1090"/>
      <c r="H1090"/>
      <c r="I1090" s="32"/>
      <c r="J1090"/>
      <c r="K1090" s="31"/>
      <c r="L1090" s="30"/>
      <c r="M1090" s="29">
        <v>96</v>
      </c>
      <c r="N1090" s="28">
        <f>IF(OR(TableauCB[[#This Row],[Etat]]="",TableauCB[[#This Row],[Etat]]="c"),IF(TableauCB[[#This Row],[Solde]]="","",N1089),N1089-TableauCB[[#This Row],[Débit]]+TableauCB[[#This Row],[Crédit]])</f>
        <v>6224.3360000000048</v>
      </c>
      <c r="O1090" s="27">
        <f>IF(TableauCB[[#This Row],[Etat]]="xc",O1089-TableauCB[[#This Row],[Débit]]+TableauCB[[#This Row],[Crédit]],O1089-TableauCB[[#This Row],[Débit]])</f>
        <v>-10972.880000000006</v>
      </c>
      <c r="P1090" s="27">
        <f>IF(AND(ISBLANK(TableauCB[[#This Row],[Débit]]),ISBLANK(TableauCB[[#This Row],[Crédit]])),"",P1089+TableauCB[[#This Row],[Crédit]]-TableauCB[[#This Row],[Débit]])</f>
        <v>8295.3060000000078</v>
      </c>
      <c r="Q1090" s="26"/>
      <c r="R1090" s="25"/>
      <c r="S1090" s="25"/>
      <c r="T1090" s="24"/>
      <c r="U1090" s="24"/>
      <c r="V1090" s="9"/>
      <c r="W1090" s="2"/>
      <c r="X1090" s="9"/>
      <c r="Y1090" s="8"/>
      <c r="Z1090" s="7"/>
      <c r="AA1090" s="7"/>
      <c r="AB1090" s="6"/>
    </row>
    <row r="1091" spans="2:28" ht="14.1" customHeight="1">
      <c r="B1091" s="35" t="str">
        <f>IF(MONTH(F1090)&lt;&gt;MONTH(TableauCB[[#This Row],[Date d''éxigibilité]]),(TableauCB[[#This Row],[Date d''éxigibilité]]),"")</f>
        <v/>
      </c>
      <c r="C1091" s="11"/>
      <c r="D1091" s="11" t="s">
        <v>9</v>
      </c>
      <c r="E1091" s="11" t="s">
        <v>8</v>
      </c>
      <c r="F1091" s="34">
        <v>42946</v>
      </c>
      <c r="G1091"/>
      <c r="H1091"/>
      <c r="I1091" s="32"/>
      <c r="J1091"/>
      <c r="K1091" s="31"/>
      <c r="L1091" s="30">
        <v>240</v>
      </c>
      <c r="M1091" s="29"/>
      <c r="N1091" s="28">
        <f>IF(OR(TableauCB[[#This Row],[Etat]]="",TableauCB[[#This Row],[Etat]]="c"),IF(TableauCB[[#This Row],[Solde]]="","",N1090),N1090-TableauCB[[#This Row],[Débit]]+TableauCB[[#This Row],[Crédit]])</f>
        <v>6224.3360000000048</v>
      </c>
      <c r="O1091" s="27">
        <f>IF(TableauCB[[#This Row],[Etat]]="xc",O1090-TableauCB[[#This Row],[Débit]]+TableauCB[[#This Row],[Crédit]],O1090-TableauCB[[#This Row],[Débit]])</f>
        <v>-11212.880000000006</v>
      </c>
      <c r="P1091" s="27">
        <f>IF(AND(ISBLANK(TableauCB[[#This Row],[Débit]]),ISBLANK(TableauCB[[#This Row],[Crédit]])),"",P1090+TableauCB[[#This Row],[Crédit]]-TableauCB[[#This Row],[Débit]])</f>
        <v>8055.3060000000078</v>
      </c>
      <c r="Q1091" s="26"/>
      <c r="R1091" s="4"/>
      <c r="S1091" s="4"/>
      <c r="T1091" s="24"/>
      <c r="U1091" s="24"/>
      <c r="V1091" s="9"/>
      <c r="W1091" s="2"/>
      <c r="X1091" s="9"/>
      <c r="Y1091" s="8"/>
      <c r="Z1091" s="7"/>
      <c r="AA1091" s="7"/>
      <c r="AB1091" s="6"/>
    </row>
    <row r="1092" spans="2:28" ht="14.1" customHeight="1">
      <c r="B1092" s="35" t="str">
        <f>IF(MONTH(F1091)&lt;&gt;MONTH(TableauCB[[#This Row],[Date d''éxigibilité]]),(TableauCB[[#This Row],[Date d''éxigibilité]]),"")</f>
        <v/>
      </c>
      <c r="C1092" s="11"/>
      <c r="D1092" s="11" t="s">
        <v>5</v>
      </c>
      <c r="E1092" s="11" t="s">
        <v>7</v>
      </c>
      <c r="F1092" s="34">
        <v>42946</v>
      </c>
      <c r="G1092"/>
      <c r="H1092"/>
      <c r="I1092" s="32"/>
      <c r="J1092"/>
      <c r="K1092" s="31"/>
      <c r="L1092" s="30">
        <v>600</v>
      </c>
      <c r="M1092" s="29"/>
      <c r="N1092" s="28">
        <f>IF(OR(TableauCB[[#This Row],[Etat]]="",TableauCB[[#This Row],[Etat]]="c"),IF(TableauCB[[#This Row],[Solde]]="","",N1091),N1091-TableauCB[[#This Row],[Débit]]+TableauCB[[#This Row],[Crédit]])</f>
        <v>6224.3360000000048</v>
      </c>
      <c r="O1092" s="27">
        <f>IF(TableauCB[[#This Row],[Etat]]="xc",O1091-TableauCB[[#This Row],[Débit]]+TableauCB[[#This Row],[Crédit]],O1091-TableauCB[[#This Row],[Débit]])</f>
        <v>-11812.880000000006</v>
      </c>
      <c r="P1092" s="27">
        <f>IF(AND(ISBLANK(TableauCB[[#This Row],[Débit]]),ISBLANK(TableauCB[[#This Row],[Crédit]])),"",P1091+TableauCB[[#This Row],[Crédit]]-TableauCB[[#This Row],[Débit]])</f>
        <v>7455.3060000000078</v>
      </c>
      <c r="Q1092" s="26"/>
      <c r="R1092" s="4"/>
      <c r="S1092" s="4"/>
      <c r="T1092" s="24"/>
      <c r="U1092" s="24"/>
      <c r="V1092" s="9"/>
      <c r="W1092" s="2"/>
      <c r="X1092" s="9"/>
      <c r="Y1092" s="8"/>
      <c r="Z1092" s="7"/>
      <c r="AA1092" s="7"/>
      <c r="AB1092" s="6"/>
    </row>
    <row r="1093" spans="2:28" ht="14.1" customHeight="1">
      <c r="B1093" s="35" t="str">
        <f>IF(MONTH(F1092)&lt;&gt;MONTH(TableauCB[[#This Row],[Date d''éxigibilité]]),(TableauCB[[#This Row],[Date d''éxigibilité]]),"")</f>
        <v/>
      </c>
      <c r="C1093" s="11"/>
      <c r="D1093" s="11" t="s">
        <v>5</v>
      </c>
      <c r="E1093" s="11" t="s">
        <v>6</v>
      </c>
      <c r="F1093" s="34">
        <v>42946</v>
      </c>
      <c r="G1093"/>
      <c r="H1093"/>
      <c r="I1093" s="32"/>
      <c r="J1093"/>
      <c r="K1093" s="31"/>
      <c r="L1093" s="30">
        <v>291.3</v>
      </c>
      <c r="M1093" s="29"/>
      <c r="N1093" s="28">
        <f>IF(OR(TableauCB[[#This Row],[Etat]]="",TableauCB[[#This Row],[Etat]]="c"),IF(TableauCB[[#This Row],[Solde]]="","",N1092),N1092-TableauCB[[#This Row],[Débit]]+TableauCB[[#This Row],[Crédit]])</f>
        <v>6224.3360000000048</v>
      </c>
      <c r="O1093" s="27">
        <f>IF(TableauCB[[#This Row],[Etat]]="xc",O1092-TableauCB[[#This Row],[Débit]]+TableauCB[[#This Row],[Crédit]],O1092-TableauCB[[#This Row],[Débit]])</f>
        <v>-12104.180000000006</v>
      </c>
      <c r="P1093" s="27">
        <f>IF(AND(ISBLANK(TableauCB[[#This Row],[Débit]]),ISBLANK(TableauCB[[#This Row],[Crédit]])),"",P1092+TableauCB[[#This Row],[Crédit]]-TableauCB[[#This Row],[Débit]])</f>
        <v>7164.0060000000076</v>
      </c>
      <c r="Q1093" s="26"/>
      <c r="R1093" s="4"/>
      <c r="S1093" s="4"/>
      <c r="T1093" s="24"/>
      <c r="U1093" s="24"/>
      <c r="V1093" s="9"/>
      <c r="W1093" s="2"/>
      <c r="X1093" s="9"/>
      <c r="Y1093" s="8"/>
      <c r="Z1093" s="7"/>
      <c r="AA1093" s="7"/>
      <c r="AB1093" s="6"/>
    </row>
    <row r="1094" spans="2:28" ht="14.1" customHeight="1">
      <c r="B1094" s="35">
        <f>IF(MONTH(F1093)&lt;&gt;MONTH(TableauCB[[#This Row],[Date d''éxigibilité]]),(TableauCB[[#This Row],[Date d''éxigibilité]]),"")</f>
        <v>42956</v>
      </c>
      <c r="C1094" s="11"/>
      <c r="D1094" s="11" t="s">
        <v>22</v>
      </c>
      <c r="E1094" s="11" t="s">
        <v>21</v>
      </c>
      <c r="F1094" s="34">
        <v>42956</v>
      </c>
      <c r="G1094"/>
      <c r="H1094"/>
      <c r="I1094" s="32"/>
      <c r="J1094"/>
      <c r="K1094" s="31"/>
      <c r="L1094" s="30">
        <v>22.4</v>
      </c>
      <c r="M1094" s="29"/>
      <c r="N1094" s="28">
        <f>IF(OR(TableauCB[[#This Row],[Etat]]="",TableauCB[[#This Row],[Etat]]="c"),IF(TableauCB[[#This Row],[Solde]]="","",N1093),N1093-TableauCB[[#This Row],[Débit]]+TableauCB[[#This Row],[Crédit]])</f>
        <v>6224.3360000000048</v>
      </c>
      <c r="O1094" s="27">
        <f>IF(TableauCB[[#This Row],[Etat]]="xc",O1093-TableauCB[[#This Row],[Débit]]+TableauCB[[#This Row],[Crédit]],O1093-TableauCB[[#This Row],[Débit]])</f>
        <v>-12126.580000000005</v>
      </c>
      <c r="P1094" s="27">
        <f>IF(AND(ISBLANK(TableauCB[[#This Row],[Débit]]),ISBLANK(TableauCB[[#This Row],[Crédit]])),"",P1093+TableauCB[[#This Row],[Crédit]]-TableauCB[[#This Row],[Débit]])</f>
        <v>7141.606000000008</v>
      </c>
      <c r="Q1094" s="26"/>
      <c r="R1094" s="4"/>
      <c r="S1094" s="4"/>
      <c r="T1094" s="24"/>
      <c r="U1094" s="24"/>
      <c r="V1094" s="9"/>
      <c r="W1094" s="2"/>
      <c r="X1094" s="9"/>
      <c r="Y1094" s="8"/>
      <c r="Z1094" s="7"/>
      <c r="AA1094" s="7"/>
      <c r="AB1094" s="6"/>
    </row>
    <row r="1095" spans="2:28" ht="14.1" customHeight="1">
      <c r="B1095" s="35" t="str">
        <f>IF(MONTH(F1094)&lt;&gt;MONTH(TableauCB[[#This Row],[Date d''éxigibilité]]),(TableauCB[[#This Row],[Date d''éxigibilité]]),"")</f>
        <v/>
      </c>
      <c r="C1095" s="11"/>
      <c r="D1095" s="11" t="s">
        <v>15</v>
      </c>
      <c r="E1095" s="11" t="s">
        <v>19</v>
      </c>
      <c r="F1095" s="34">
        <v>42962</v>
      </c>
      <c r="G1095"/>
      <c r="H1095"/>
      <c r="I1095" s="32"/>
      <c r="J1095"/>
      <c r="K1095" s="31"/>
      <c r="L1095" s="30">
        <v>53</v>
      </c>
      <c r="M1095" s="29"/>
      <c r="N1095" s="28">
        <f>IF(OR(TableauCB[[#This Row],[Etat]]="",TableauCB[[#This Row],[Etat]]="c"),IF(TableauCB[[#This Row],[Solde]]="","",N1094),N1094-TableauCB[[#This Row],[Débit]]+TableauCB[[#This Row],[Crédit]])</f>
        <v>6224.3360000000048</v>
      </c>
      <c r="O1095" s="27">
        <f>IF(TableauCB[[#This Row],[Etat]]="xc",O1094-TableauCB[[#This Row],[Débit]]+TableauCB[[#This Row],[Crédit]],O1094-TableauCB[[#This Row],[Débit]])</f>
        <v>-12179.580000000005</v>
      </c>
      <c r="P1095" s="27">
        <f>IF(AND(ISBLANK(TableauCB[[#This Row],[Débit]]),ISBLANK(TableauCB[[#This Row],[Crédit]])),"",P1094+TableauCB[[#This Row],[Crédit]]-TableauCB[[#This Row],[Débit]])</f>
        <v>7088.606000000008</v>
      </c>
      <c r="Q1095" s="26"/>
      <c r="R1095" s="4"/>
      <c r="S1095" s="4"/>
      <c r="T1095" s="24"/>
      <c r="U1095" s="24"/>
      <c r="V1095" s="9"/>
      <c r="W1095" s="2"/>
      <c r="X1095" s="9"/>
      <c r="Y1095" s="8"/>
      <c r="Z1095" s="7"/>
      <c r="AA1095" s="7"/>
      <c r="AB1095" s="6"/>
    </row>
    <row r="1096" spans="2:28" ht="14.1" customHeight="1">
      <c r="B1096" s="35" t="str">
        <f>IF(MONTH(F1095)&lt;&gt;MONTH(TableauCB[[#This Row],[Date d''éxigibilité]]),(TableauCB[[#This Row],[Date d''éxigibilité]]),"")</f>
        <v/>
      </c>
      <c r="C1096" s="11"/>
      <c r="D1096" s="11" t="s">
        <v>17</v>
      </c>
      <c r="E1096" s="11" t="s">
        <v>16</v>
      </c>
      <c r="F1096" s="34">
        <v>42967</v>
      </c>
      <c r="G1096"/>
      <c r="H1096"/>
      <c r="I1096" s="32"/>
      <c r="J1096"/>
      <c r="K1096" s="31"/>
      <c r="L1096" s="30">
        <v>3.59</v>
      </c>
      <c r="M1096" s="29"/>
      <c r="N1096" s="28">
        <f>IF(OR(TableauCB[[#This Row],[Etat]]="",TableauCB[[#This Row],[Etat]]="c"),IF(TableauCB[[#This Row],[Solde]]="","",N1095),N1095-TableauCB[[#This Row],[Débit]]+TableauCB[[#This Row],[Crédit]])</f>
        <v>6224.3360000000048</v>
      </c>
      <c r="O1096" s="27">
        <f>IF(TableauCB[[#This Row],[Etat]]="xc",O1095-TableauCB[[#This Row],[Débit]]+TableauCB[[#This Row],[Crédit]],O1095-TableauCB[[#This Row],[Débit]])</f>
        <v>-12183.170000000006</v>
      </c>
      <c r="P1096" s="27">
        <f>IF(AND(ISBLANK(TableauCB[[#This Row],[Débit]]),ISBLANK(TableauCB[[#This Row],[Crédit]])),"",P1095+TableauCB[[#This Row],[Crédit]]-TableauCB[[#This Row],[Débit]])</f>
        <v>7085.0160000000078</v>
      </c>
      <c r="Q1096" s="26"/>
      <c r="R1096" s="4"/>
      <c r="S1096" s="4"/>
      <c r="T1096" s="24"/>
      <c r="U1096" s="24"/>
      <c r="V1096" s="9"/>
      <c r="W1096" s="2"/>
      <c r="X1096" s="9"/>
      <c r="Y1096" s="8"/>
      <c r="Z1096" s="7"/>
      <c r="AA1096" s="7"/>
      <c r="AB1096" s="6"/>
    </row>
    <row r="1097" spans="2:28" ht="14.1" customHeight="1">
      <c r="B1097" s="35" t="str">
        <f>IF(MONTH(F1096)&lt;&gt;MONTH(TableauCB[[#This Row],[Date d''éxigibilité]]),(TableauCB[[#This Row],[Date d''éxigibilité]]),"")</f>
        <v/>
      </c>
      <c r="C1097" s="11"/>
      <c r="D1097" s="11" t="s">
        <v>17</v>
      </c>
      <c r="E1097" s="11" t="s">
        <v>18</v>
      </c>
      <c r="F1097" s="34">
        <v>42968</v>
      </c>
      <c r="G1097"/>
      <c r="H1097"/>
      <c r="I1097" s="32"/>
      <c r="J1097"/>
      <c r="K1097" s="31"/>
      <c r="L1097" s="30">
        <v>45.6</v>
      </c>
      <c r="M1097" s="29"/>
      <c r="N1097" s="28">
        <f>IF(OR(TableauCB[[#This Row],[Etat]]="",TableauCB[[#This Row],[Etat]]="c"),IF(TableauCB[[#This Row],[Solde]]="","",N1096),N1096-TableauCB[[#This Row],[Débit]]+TableauCB[[#This Row],[Crédit]])</f>
        <v>6224.3360000000048</v>
      </c>
      <c r="O1097" s="27">
        <f>IF(TableauCB[[#This Row],[Etat]]="xc",O1096-TableauCB[[#This Row],[Débit]]+TableauCB[[#This Row],[Crédit]],O1096-TableauCB[[#This Row],[Débit]])</f>
        <v>-12228.770000000006</v>
      </c>
      <c r="P1097" s="27">
        <f>IF(AND(ISBLANK(TableauCB[[#This Row],[Débit]]),ISBLANK(TableauCB[[#This Row],[Crédit]])),"",P1096+TableauCB[[#This Row],[Crédit]]-TableauCB[[#This Row],[Débit]])</f>
        <v>7039.4160000000074</v>
      </c>
      <c r="Q1097" s="26"/>
      <c r="R1097" s="25"/>
      <c r="S1097" s="25"/>
      <c r="T1097" s="24"/>
      <c r="U1097" s="24"/>
      <c r="V1097" s="9"/>
      <c r="W1097" s="2"/>
      <c r="X1097" s="9"/>
      <c r="Y1097" s="8"/>
      <c r="Z1097" s="7"/>
      <c r="AA1097" s="7"/>
      <c r="AB1097" s="6"/>
    </row>
    <row r="1098" spans="2:28" ht="14.1" customHeight="1">
      <c r="B1098" s="35" t="str">
        <f>IF(MONTH(F1097)&lt;&gt;MONTH(TableauCB[[#This Row],[Date d''éxigibilité]]),(TableauCB[[#This Row],[Date d''éxigibilité]]),"")</f>
        <v/>
      </c>
      <c r="C1098" s="11"/>
      <c r="D1098" s="11" t="s">
        <v>22</v>
      </c>
      <c r="E1098" s="11" t="s">
        <v>28</v>
      </c>
      <c r="F1098" s="34">
        <v>42969</v>
      </c>
      <c r="G1098"/>
      <c r="H1098"/>
      <c r="I1098" s="32"/>
      <c r="J1098"/>
      <c r="K1098" s="31"/>
      <c r="L1098" s="30">
        <v>279.14999999999998</v>
      </c>
      <c r="M1098" s="29"/>
      <c r="N1098" s="28">
        <f>IF(OR(TableauCB[[#This Row],[Etat]]="",TableauCB[[#This Row],[Etat]]="c"),IF(TableauCB[[#This Row],[Solde]]="","",N1097),N1097-TableauCB[[#This Row],[Débit]]+TableauCB[[#This Row],[Crédit]])</f>
        <v>6224.3360000000048</v>
      </c>
      <c r="O1098" s="27">
        <f>IF(TableauCB[[#This Row],[Etat]]="xc",O1097-TableauCB[[#This Row],[Débit]]+TableauCB[[#This Row],[Crédit]],O1097-TableauCB[[#This Row],[Débit]])</f>
        <v>-12507.920000000006</v>
      </c>
      <c r="P1098" s="27">
        <f>IF(AND(ISBLANK(TableauCB[[#This Row],[Débit]]),ISBLANK(TableauCB[[#This Row],[Crédit]])),"",P1097+TableauCB[[#This Row],[Crédit]]-TableauCB[[#This Row],[Débit]])</f>
        <v>6760.2660000000078</v>
      </c>
      <c r="Q1098" s="26"/>
      <c r="R1098" s="25"/>
      <c r="S1098" s="25"/>
      <c r="T1098" s="24"/>
      <c r="U1098" s="24"/>
      <c r="V1098" s="9"/>
      <c r="W1098" s="2"/>
      <c r="X1098" s="9"/>
      <c r="Y1098" s="8"/>
      <c r="Z1098" s="7"/>
      <c r="AA1098" s="7"/>
      <c r="AB1098" s="6"/>
    </row>
    <row r="1099" spans="2:28" ht="14.1" customHeight="1">
      <c r="B1099" s="35" t="str">
        <f>IF(MONTH(F1098)&lt;&gt;MONTH(TableauCB[[#This Row],[Date d''éxigibilité]]),(TableauCB[[#This Row],[Date d''éxigibilité]]),"")</f>
        <v/>
      </c>
      <c r="C1099" s="11"/>
      <c r="D1099" s="11" t="s">
        <v>15</v>
      </c>
      <c r="E1099" s="11" t="s">
        <v>14</v>
      </c>
      <c r="F1099" s="34">
        <v>42977</v>
      </c>
      <c r="G1099"/>
      <c r="H1099"/>
      <c r="I1099" s="32"/>
      <c r="J1099"/>
      <c r="K1099" s="31"/>
      <c r="L1099" s="30">
        <v>210</v>
      </c>
      <c r="M1099" s="29"/>
      <c r="N1099" s="28">
        <f>IF(OR(TableauCB[[#This Row],[Etat]]="",TableauCB[[#This Row],[Etat]]="c"),IF(TableauCB[[#This Row],[Solde]]="","",N1098),N1098-TableauCB[[#This Row],[Débit]]+TableauCB[[#This Row],[Crédit]])</f>
        <v>6224.3360000000048</v>
      </c>
      <c r="O1099" s="27">
        <f>IF(TableauCB[[#This Row],[Etat]]="xc",O1098-TableauCB[[#This Row],[Débit]]+TableauCB[[#This Row],[Crédit]],O1098-TableauCB[[#This Row],[Débit]])</f>
        <v>-12717.920000000006</v>
      </c>
      <c r="P1099" s="27">
        <f>IF(AND(ISBLANK(TableauCB[[#This Row],[Débit]]),ISBLANK(TableauCB[[#This Row],[Crédit]])),"",P1098+TableauCB[[#This Row],[Crédit]]-TableauCB[[#This Row],[Débit]])</f>
        <v>6550.2660000000078</v>
      </c>
      <c r="Q1099" s="26"/>
      <c r="R1099" s="25"/>
      <c r="S1099" s="25"/>
      <c r="T1099" s="24"/>
      <c r="U1099" s="24"/>
      <c r="V1099" s="9"/>
      <c r="W1099" s="2"/>
      <c r="X1099" s="9"/>
      <c r="Y1099" s="8"/>
      <c r="Z1099" s="7"/>
      <c r="AA1099" s="7"/>
      <c r="AB1099" s="6"/>
    </row>
    <row r="1100" spans="2:28" ht="14.1" customHeight="1">
      <c r="B1100" s="35" t="str">
        <f>IF(MONTH(F1099)&lt;&gt;MONTH(TableauCB[[#This Row],[Date d''éxigibilité]]),(TableauCB[[#This Row],[Date d''éxigibilité]]),"")</f>
        <v/>
      </c>
      <c r="C1100" s="11"/>
      <c r="D1100" s="11" t="s">
        <v>11</v>
      </c>
      <c r="E1100" s="11" t="s">
        <v>12</v>
      </c>
      <c r="F1100" s="34">
        <v>42977</v>
      </c>
      <c r="G1100"/>
      <c r="H1100"/>
      <c r="I1100" s="32"/>
      <c r="J1100"/>
      <c r="K1100" s="31"/>
      <c r="L1100" s="30"/>
      <c r="M1100" s="29">
        <v>180</v>
      </c>
      <c r="N1100" s="28">
        <f>IF(OR(TableauCB[[#This Row],[Etat]]="",TableauCB[[#This Row],[Etat]]="c"),IF(TableauCB[[#This Row],[Solde]]="","",N1099),N1099-TableauCB[[#This Row],[Débit]]+TableauCB[[#This Row],[Crédit]])</f>
        <v>6224.3360000000048</v>
      </c>
      <c r="O1100" s="27">
        <f>IF(TableauCB[[#This Row],[Etat]]="xc",O1099-TableauCB[[#This Row],[Débit]]+TableauCB[[#This Row],[Crédit]],O1099-TableauCB[[#This Row],[Débit]])</f>
        <v>-12717.920000000006</v>
      </c>
      <c r="P1100" s="27">
        <f>IF(AND(ISBLANK(TableauCB[[#This Row],[Débit]]),ISBLANK(TableauCB[[#This Row],[Crédit]])),"",P1099+TableauCB[[#This Row],[Crédit]]-TableauCB[[#This Row],[Débit]])</f>
        <v>6730.2660000000078</v>
      </c>
      <c r="Q1100" s="26"/>
      <c r="R1100" s="4"/>
      <c r="S1100" s="4"/>
      <c r="T1100" s="24"/>
      <c r="U1100" s="24"/>
      <c r="V1100" s="9"/>
      <c r="W1100" s="2"/>
      <c r="X1100" s="9"/>
      <c r="Y1100" s="8"/>
      <c r="Z1100" s="7"/>
      <c r="AA1100" s="7"/>
      <c r="AB1100" s="6"/>
    </row>
    <row r="1101" spans="2:28" ht="14.1" customHeight="1">
      <c r="B1101" s="35" t="str">
        <f>IF(MONTH(F1100)&lt;&gt;MONTH(TableauCB[[#This Row],[Date d''éxigibilité]]),(TableauCB[[#This Row],[Date d''éxigibilité]]),"")</f>
        <v/>
      </c>
      <c r="C1101" s="11"/>
      <c r="D1101" s="11" t="s">
        <v>11</v>
      </c>
      <c r="E1101" s="11" t="s">
        <v>10</v>
      </c>
      <c r="F1101" s="34">
        <v>42977</v>
      </c>
      <c r="G1101"/>
      <c r="H1101"/>
      <c r="I1101" s="32"/>
      <c r="J1101"/>
      <c r="K1101" s="31"/>
      <c r="L1101" s="30"/>
      <c r="M1101" s="29">
        <v>504</v>
      </c>
      <c r="N1101" s="28">
        <f>IF(OR(TableauCB[[#This Row],[Etat]]="",TableauCB[[#This Row],[Etat]]="c"),IF(TableauCB[[#This Row],[Solde]]="","",N1100),N1100-TableauCB[[#This Row],[Débit]]+TableauCB[[#This Row],[Crédit]])</f>
        <v>6224.3360000000048</v>
      </c>
      <c r="O1101" s="27">
        <f>IF(TableauCB[[#This Row],[Etat]]="xc",O1100-TableauCB[[#This Row],[Débit]]+TableauCB[[#This Row],[Crédit]],O1100-TableauCB[[#This Row],[Débit]])</f>
        <v>-12717.920000000006</v>
      </c>
      <c r="P1101" s="27">
        <f>IF(AND(ISBLANK(TableauCB[[#This Row],[Débit]]),ISBLANK(TableauCB[[#This Row],[Crédit]])),"",P1100+TableauCB[[#This Row],[Crédit]]-TableauCB[[#This Row],[Débit]])</f>
        <v>7234.2660000000078</v>
      </c>
      <c r="Q1101" s="26"/>
      <c r="R1101" s="4"/>
      <c r="S1101" s="4"/>
      <c r="T1101" s="24"/>
      <c r="U1101" s="24"/>
      <c r="V1101" s="9"/>
      <c r="W1101" s="2"/>
      <c r="X1101" s="9"/>
      <c r="Y1101" s="8"/>
      <c r="Z1101" s="7"/>
      <c r="AA1101" s="7"/>
      <c r="AB1101" s="6"/>
    </row>
    <row r="1102" spans="2:28" ht="14.1" customHeight="1">
      <c r="B1102" s="35" t="str">
        <f>IF(MONTH(F1101)&lt;&gt;MONTH(TableauCB[[#This Row],[Date d''éxigibilité]]),(TableauCB[[#This Row],[Date d''éxigibilité]]),"")</f>
        <v/>
      </c>
      <c r="C1102" s="11"/>
      <c r="D1102" s="11" t="s">
        <v>11</v>
      </c>
      <c r="E1102" s="11" t="s">
        <v>10</v>
      </c>
      <c r="F1102" s="34">
        <v>42977</v>
      </c>
      <c r="G1102"/>
      <c r="H1102"/>
      <c r="I1102" s="32"/>
      <c r="J1102"/>
      <c r="K1102" s="31"/>
      <c r="L1102" s="30"/>
      <c r="M1102" s="29">
        <v>108</v>
      </c>
      <c r="N1102" s="28">
        <f>IF(OR(TableauCB[[#This Row],[Etat]]="",TableauCB[[#This Row],[Etat]]="c"),IF(TableauCB[[#This Row],[Solde]]="","",N1101),N1101-TableauCB[[#This Row],[Débit]]+TableauCB[[#This Row],[Crédit]])</f>
        <v>6224.3360000000048</v>
      </c>
      <c r="O1102" s="27">
        <f>IF(TableauCB[[#This Row],[Etat]]="xc",O1101-TableauCB[[#This Row],[Débit]]+TableauCB[[#This Row],[Crédit]],O1101-TableauCB[[#This Row],[Débit]])</f>
        <v>-12717.920000000006</v>
      </c>
      <c r="P1102" s="27">
        <f>IF(AND(ISBLANK(TableauCB[[#This Row],[Débit]]),ISBLANK(TableauCB[[#This Row],[Crédit]])),"",P1101+TableauCB[[#This Row],[Crédit]]-TableauCB[[#This Row],[Débit]])</f>
        <v>7342.2660000000078</v>
      </c>
      <c r="Q1102" s="26"/>
      <c r="R1102" s="4"/>
      <c r="S1102" s="4"/>
      <c r="T1102" s="24"/>
      <c r="U1102" s="24"/>
      <c r="V1102" s="9"/>
      <c r="W1102" s="2"/>
      <c r="X1102" s="9"/>
      <c r="Y1102" s="8"/>
      <c r="Z1102" s="7"/>
      <c r="AA1102" s="7"/>
      <c r="AB1102" s="6"/>
    </row>
    <row r="1103" spans="2:28" ht="14.1" customHeight="1">
      <c r="B1103" s="35" t="str">
        <f>IF(MONTH(F1102)&lt;&gt;MONTH(TableauCB[[#This Row],[Date d''éxigibilité]]),(TableauCB[[#This Row],[Date d''éxigibilité]]),"")</f>
        <v/>
      </c>
      <c r="C1103" s="11"/>
      <c r="D1103" s="11" t="s">
        <v>11</v>
      </c>
      <c r="E1103" s="11" t="s">
        <v>10</v>
      </c>
      <c r="F1103" s="34">
        <v>42977</v>
      </c>
      <c r="G1103"/>
      <c r="H1103"/>
      <c r="I1103" s="32"/>
      <c r="J1103"/>
      <c r="K1103" s="31"/>
      <c r="L1103" s="30"/>
      <c r="M1103" s="29">
        <v>198</v>
      </c>
      <c r="N1103" s="28">
        <f>IF(OR(TableauCB[[#This Row],[Etat]]="",TableauCB[[#This Row],[Etat]]="c"),IF(TableauCB[[#This Row],[Solde]]="","",N1102),N1102-TableauCB[[#This Row],[Débit]]+TableauCB[[#This Row],[Crédit]])</f>
        <v>6224.3360000000048</v>
      </c>
      <c r="O1103" s="27">
        <f>IF(TableauCB[[#This Row],[Etat]]="xc",O1102-TableauCB[[#This Row],[Débit]]+TableauCB[[#This Row],[Crédit]],O1102-TableauCB[[#This Row],[Débit]])</f>
        <v>-12717.920000000006</v>
      </c>
      <c r="P1103" s="27">
        <f>IF(AND(ISBLANK(TableauCB[[#This Row],[Débit]]),ISBLANK(TableauCB[[#This Row],[Crédit]])),"",P1102+TableauCB[[#This Row],[Crédit]]-TableauCB[[#This Row],[Débit]])</f>
        <v>7540.2660000000078</v>
      </c>
      <c r="Q1103" s="26"/>
      <c r="R1103" s="4"/>
      <c r="S1103" s="4"/>
      <c r="T1103" s="24"/>
      <c r="U1103" s="24"/>
      <c r="V1103" s="9"/>
      <c r="W1103" s="2"/>
      <c r="X1103" s="9"/>
      <c r="Y1103" s="8"/>
      <c r="Z1103" s="7"/>
      <c r="AA1103" s="7"/>
      <c r="AB1103" s="6"/>
    </row>
    <row r="1104" spans="2:28" ht="14.1" customHeight="1">
      <c r="B1104" s="35" t="str">
        <f>IF(MONTH(F1103)&lt;&gt;MONTH(TableauCB[[#This Row],[Date d''éxigibilité]]),(TableauCB[[#This Row],[Date d''éxigibilité]]),"")</f>
        <v/>
      </c>
      <c r="C1104" s="11"/>
      <c r="D1104" s="11" t="s">
        <v>11</v>
      </c>
      <c r="E1104" s="11" t="s">
        <v>10</v>
      </c>
      <c r="F1104" s="34">
        <v>42977</v>
      </c>
      <c r="G1104"/>
      <c r="H1104"/>
      <c r="I1104" s="32"/>
      <c r="J1104"/>
      <c r="K1104" s="31"/>
      <c r="L1104" s="30"/>
      <c r="M1104" s="29">
        <v>151.80000000000001</v>
      </c>
      <c r="N1104" s="28">
        <f>IF(OR(TableauCB[[#This Row],[Etat]]="",TableauCB[[#This Row],[Etat]]="c"),IF(TableauCB[[#This Row],[Solde]]="","",N1103),N1103-TableauCB[[#This Row],[Débit]]+TableauCB[[#This Row],[Crédit]])</f>
        <v>6224.3360000000048</v>
      </c>
      <c r="O1104" s="27">
        <f>IF(TableauCB[[#This Row],[Etat]]="xc",O1103-TableauCB[[#This Row],[Débit]]+TableauCB[[#This Row],[Crédit]],O1103-TableauCB[[#This Row],[Débit]])</f>
        <v>-12717.920000000006</v>
      </c>
      <c r="P1104" s="27">
        <f>IF(AND(ISBLANK(TableauCB[[#This Row],[Débit]]),ISBLANK(TableauCB[[#This Row],[Crédit]])),"",P1103+TableauCB[[#This Row],[Crédit]]-TableauCB[[#This Row],[Débit]])</f>
        <v>7692.066000000008</v>
      </c>
      <c r="Q1104" s="26"/>
      <c r="R1104" s="4"/>
      <c r="S1104" s="4"/>
      <c r="T1104" s="24"/>
      <c r="U1104" s="24"/>
      <c r="V1104" s="9"/>
      <c r="W1104" s="2"/>
      <c r="X1104" s="9"/>
      <c r="Y1104" s="8"/>
      <c r="Z1104" s="7"/>
      <c r="AA1104" s="7"/>
      <c r="AB1104" s="6"/>
    </row>
    <row r="1105" spans="2:28" ht="14.1" customHeight="1">
      <c r="B1105" s="35" t="str">
        <f>IF(MONTH(F1104)&lt;&gt;MONTH(TableauCB[[#This Row],[Date d''éxigibilité]]),(TableauCB[[#This Row],[Date d''éxigibilité]]),"")</f>
        <v/>
      </c>
      <c r="C1105" s="11"/>
      <c r="D1105" s="11" t="s">
        <v>11</v>
      </c>
      <c r="E1105" s="11" t="s">
        <v>12</v>
      </c>
      <c r="F1105" s="34">
        <v>42977</v>
      </c>
      <c r="G1105"/>
      <c r="H1105"/>
      <c r="I1105" s="32"/>
      <c r="J1105"/>
      <c r="K1105" s="31"/>
      <c r="L1105" s="30"/>
      <c r="M1105" s="29">
        <v>522</v>
      </c>
      <c r="N1105" s="28">
        <f>IF(OR(TableauCB[[#This Row],[Etat]]="",TableauCB[[#This Row],[Etat]]="c"),IF(TableauCB[[#This Row],[Solde]]="","",N1104),N1104-TableauCB[[#This Row],[Débit]]+TableauCB[[#This Row],[Crédit]])</f>
        <v>6224.3360000000048</v>
      </c>
      <c r="O1105" s="27">
        <f>IF(TableauCB[[#This Row],[Etat]]="xc",O1104-TableauCB[[#This Row],[Débit]]+TableauCB[[#This Row],[Crédit]],O1104-TableauCB[[#This Row],[Débit]])</f>
        <v>-12717.920000000006</v>
      </c>
      <c r="P1105" s="27">
        <f>IF(AND(ISBLANK(TableauCB[[#This Row],[Débit]]),ISBLANK(TableauCB[[#This Row],[Crédit]])),"",P1104+TableauCB[[#This Row],[Crédit]]-TableauCB[[#This Row],[Débit]])</f>
        <v>8214.066000000008</v>
      </c>
      <c r="Q1105" s="26"/>
      <c r="R1105" s="4"/>
      <c r="S1105" s="4"/>
      <c r="T1105" s="24"/>
      <c r="U1105" s="24"/>
      <c r="V1105" s="9"/>
      <c r="W1105" s="2"/>
      <c r="X1105" s="9"/>
      <c r="Y1105" s="8"/>
      <c r="Z1105" s="7"/>
      <c r="AA1105" s="7"/>
      <c r="AB1105" s="6"/>
    </row>
    <row r="1106" spans="2:28" ht="14.1" customHeight="1">
      <c r="B1106" s="35" t="str">
        <f>IF(MONTH(F1105)&lt;&gt;MONTH(TableauCB[[#This Row],[Date d''éxigibilité]]),(TableauCB[[#This Row],[Date d''éxigibilité]]),"")</f>
        <v/>
      </c>
      <c r="C1106" s="11"/>
      <c r="D1106" s="11" t="s">
        <v>11</v>
      </c>
      <c r="E1106" s="11" t="s">
        <v>10</v>
      </c>
      <c r="F1106" s="34">
        <v>42977</v>
      </c>
      <c r="G1106"/>
      <c r="H1106"/>
      <c r="I1106" s="32"/>
      <c r="J1106"/>
      <c r="K1106" s="31"/>
      <c r="L1106" s="30"/>
      <c r="M1106" s="29">
        <v>192</v>
      </c>
      <c r="N1106" s="28">
        <f>IF(OR(TableauCB[[#This Row],[Etat]]="",TableauCB[[#This Row],[Etat]]="c"),IF(TableauCB[[#This Row],[Solde]]="","",N1105),N1105-TableauCB[[#This Row],[Débit]]+TableauCB[[#This Row],[Crédit]])</f>
        <v>6224.3360000000048</v>
      </c>
      <c r="O1106" s="27">
        <f>IF(TableauCB[[#This Row],[Etat]]="xc",O1105-TableauCB[[#This Row],[Débit]]+TableauCB[[#This Row],[Crédit]],O1105-TableauCB[[#This Row],[Débit]])</f>
        <v>-12717.920000000006</v>
      </c>
      <c r="P1106" s="27">
        <f>IF(AND(ISBLANK(TableauCB[[#This Row],[Débit]]),ISBLANK(TableauCB[[#This Row],[Crédit]])),"",P1105+TableauCB[[#This Row],[Crédit]]-TableauCB[[#This Row],[Débit]])</f>
        <v>8406.066000000008</v>
      </c>
      <c r="Q1106" s="26"/>
      <c r="R1106" s="4"/>
      <c r="S1106" s="4"/>
      <c r="T1106" s="24"/>
      <c r="U1106" s="24"/>
      <c r="V1106" s="9"/>
      <c r="W1106" s="2"/>
      <c r="X1106" s="9"/>
      <c r="Y1106" s="8"/>
      <c r="Z1106" s="7"/>
      <c r="AA1106" s="7"/>
      <c r="AB1106" s="6"/>
    </row>
    <row r="1107" spans="2:28" ht="14.1" customHeight="1">
      <c r="B1107" s="35" t="str">
        <f>IF(MONTH(F1106)&lt;&gt;MONTH(TableauCB[[#This Row],[Date d''éxigibilité]]),(TableauCB[[#This Row],[Date d''éxigibilité]]),"")</f>
        <v/>
      </c>
      <c r="C1107" s="11"/>
      <c r="D1107" s="11" t="s">
        <v>11</v>
      </c>
      <c r="E1107" s="11" t="s">
        <v>10</v>
      </c>
      <c r="F1107" s="34">
        <v>42977</v>
      </c>
      <c r="G1107"/>
      <c r="H1107"/>
      <c r="I1107" s="32"/>
      <c r="J1107"/>
      <c r="K1107" s="31"/>
      <c r="L1107" s="30"/>
      <c r="M1107" s="29">
        <v>624</v>
      </c>
      <c r="N1107" s="28">
        <f>IF(OR(TableauCB[[#This Row],[Etat]]="",TableauCB[[#This Row],[Etat]]="c"),IF(TableauCB[[#This Row],[Solde]]="","",N1106),N1106-TableauCB[[#This Row],[Débit]]+TableauCB[[#This Row],[Crédit]])</f>
        <v>6224.3360000000048</v>
      </c>
      <c r="O1107" s="27">
        <f>IF(TableauCB[[#This Row],[Etat]]="xc",O1106-TableauCB[[#This Row],[Débit]]+TableauCB[[#This Row],[Crédit]],O1106-TableauCB[[#This Row],[Débit]])</f>
        <v>-12717.920000000006</v>
      </c>
      <c r="P1107" s="27">
        <f>IF(AND(ISBLANK(TableauCB[[#This Row],[Débit]]),ISBLANK(TableauCB[[#This Row],[Crédit]])),"",P1106+TableauCB[[#This Row],[Crédit]]-TableauCB[[#This Row],[Débit]])</f>
        <v>9030.066000000008</v>
      </c>
      <c r="Q1107" s="26"/>
      <c r="R1107" s="4"/>
      <c r="S1107" s="4"/>
      <c r="T1107" s="24"/>
      <c r="U1107" s="24"/>
      <c r="V1107" s="9"/>
      <c r="W1107" s="2"/>
      <c r="X1107" s="9"/>
      <c r="Y1107" s="8"/>
      <c r="Z1107" s="7"/>
      <c r="AA1107" s="7"/>
      <c r="AB1107" s="6"/>
    </row>
    <row r="1108" spans="2:28" ht="14.1" customHeight="1">
      <c r="B1108" s="35" t="str">
        <f>IF(MONTH(F1107)&lt;&gt;MONTH(TableauCB[[#This Row],[Date d''éxigibilité]]),(TableauCB[[#This Row],[Date d''éxigibilité]]),"")</f>
        <v/>
      </c>
      <c r="C1108" s="11"/>
      <c r="D1108" s="11" t="s">
        <v>11</v>
      </c>
      <c r="E1108" s="11" t="s">
        <v>12</v>
      </c>
      <c r="F1108" s="34">
        <v>42977</v>
      </c>
      <c r="G1108"/>
      <c r="H1108"/>
      <c r="I1108" s="32"/>
      <c r="J1108"/>
      <c r="K1108" s="31"/>
      <c r="L1108" s="30"/>
      <c r="M1108" s="29">
        <v>117.5</v>
      </c>
      <c r="N1108" s="28">
        <f>IF(OR(TableauCB[[#This Row],[Etat]]="",TableauCB[[#This Row],[Etat]]="c"),IF(TableauCB[[#This Row],[Solde]]="","",N1107),N1107-TableauCB[[#This Row],[Débit]]+TableauCB[[#This Row],[Crédit]])</f>
        <v>6224.3360000000048</v>
      </c>
      <c r="O1108" s="27">
        <f>IF(TableauCB[[#This Row],[Etat]]="xc",O1107-TableauCB[[#This Row],[Débit]]+TableauCB[[#This Row],[Crédit]],O1107-TableauCB[[#This Row],[Débit]])</f>
        <v>-12717.920000000006</v>
      </c>
      <c r="P1108" s="27">
        <f>IF(AND(ISBLANK(TableauCB[[#This Row],[Débit]]),ISBLANK(TableauCB[[#This Row],[Crédit]])),"",P1107+TableauCB[[#This Row],[Crédit]]-TableauCB[[#This Row],[Débit]])</f>
        <v>9147.566000000008</v>
      </c>
      <c r="Q1108" s="26"/>
      <c r="R1108" s="4"/>
      <c r="S1108" s="4"/>
      <c r="T1108" s="24"/>
      <c r="U1108" s="24"/>
      <c r="V1108" s="9"/>
      <c r="W1108" s="2"/>
      <c r="X1108" s="9"/>
      <c r="Y1108" s="8"/>
      <c r="Z1108" s="7"/>
      <c r="AA1108" s="7"/>
      <c r="AB1108" s="6"/>
    </row>
    <row r="1109" spans="2:28" ht="14.1" customHeight="1">
      <c r="B1109" s="35" t="str">
        <f>IF(MONTH(F1108)&lt;&gt;MONTH(TableauCB[[#This Row],[Date d''éxigibilité]]),(TableauCB[[#This Row],[Date d''éxigibilité]]),"")</f>
        <v/>
      </c>
      <c r="C1109" s="11"/>
      <c r="D1109" s="11" t="s">
        <v>11</v>
      </c>
      <c r="E1109" s="11" t="s">
        <v>10</v>
      </c>
      <c r="F1109" s="34">
        <v>42977</v>
      </c>
      <c r="G1109"/>
      <c r="H1109"/>
      <c r="I1109" s="32"/>
      <c r="J1109"/>
      <c r="K1109" s="31"/>
      <c r="L1109" s="30"/>
      <c r="M1109" s="29">
        <v>96</v>
      </c>
      <c r="N1109" s="28">
        <f>IF(OR(TableauCB[[#This Row],[Etat]]="",TableauCB[[#This Row],[Etat]]="c"),IF(TableauCB[[#This Row],[Solde]]="","",N1108),N1108-TableauCB[[#This Row],[Débit]]+TableauCB[[#This Row],[Crédit]])</f>
        <v>6224.3360000000048</v>
      </c>
      <c r="O1109" s="27">
        <f>IF(TableauCB[[#This Row],[Etat]]="xc",O1108-TableauCB[[#This Row],[Débit]]+TableauCB[[#This Row],[Crédit]],O1108-TableauCB[[#This Row],[Débit]])</f>
        <v>-12717.920000000006</v>
      </c>
      <c r="P1109" s="27">
        <f>IF(AND(ISBLANK(TableauCB[[#This Row],[Débit]]),ISBLANK(TableauCB[[#This Row],[Crédit]])),"",P1108+TableauCB[[#This Row],[Crédit]]-TableauCB[[#This Row],[Débit]])</f>
        <v>9243.566000000008</v>
      </c>
      <c r="Q1109" s="26"/>
      <c r="R1109" s="25"/>
      <c r="S1109" s="25"/>
      <c r="T1109" s="24"/>
      <c r="U1109" s="24"/>
      <c r="V1109" s="9"/>
      <c r="W1109" s="2"/>
      <c r="X1109" s="9"/>
      <c r="Y1109" s="8"/>
      <c r="Z1109" s="7"/>
      <c r="AA1109" s="7"/>
      <c r="AB1109" s="6"/>
    </row>
    <row r="1110" spans="2:28" ht="14.1" customHeight="1">
      <c r="B1110" s="35" t="str">
        <f>IF(MONTH(F1109)&lt;&gt;MONTH(TableauCB[[#This Row],[Date d''éxigibilité]]),(TableauCB[[#This Row],[Date d''éxigibilité]]),"")</f>
        <v/>
      </c>
      <c r="C1110" s="11"/>
      <c r="D1110" s="11" t="s">
        <v>9</v>
      </c>
      <c r="E1110" s="11" t="s">
        <v>8</v>
      </c>
      <c r="F1110" s="34">
        <v>42977</v>
      </c>
      <c r="G1110"/>
      <c r="H1110"/>
      <c r="I1110" s="32"/>
      <c r="J1110"/>
      <c r="K1110" s="31"/>
      <c r="L1110" s="30">
        <v>240</v>
      </c>
      <c r="M1110" s="29"/>
      <c r="N1110" s="28">
        <f>IF(OR(TableauCB[[#This Row],[Etat]]="",TableauCB[[#This Row],[Etat]]="c"),IF(TableauCB[[#This Row],[Solde]]="","",N1109),N1109-TableauCB[[#This Row],[Débit]]+TableauCB[[#This Row],[Crédit]])</f>
        <v>6224.3360000000048</v>
      </c>
      <c r="O1110" s="27">
        <f>IF(TableauCB[[#This Row],[Etat]]="xc",O1109-TableauCB[[#This Row],[Débit]]+TableauCB[[#This Row],[Crédit]],O1109-TableauCB[[#This Row],[Débit]])</f>
        <v>-12957.920000000006</v>
      </c>
      <c r="P1110" s="27">
        <f>IF(AND(ISBLANK(TableauCB[[#This Row],[Débit]]),ISBLANK(TableauCB[[#This Row],[Crédit]])),"",P1109+TableauCB[[#This Row],[Crédit]]-TableauCB[[#This Row],[Débit]])</f>
        <v>9003.566000000008</v>
      </c>
      <c r="Q1110" s="26"/>
      <c r="R1110" s="25"/>
      <c r="S1110" s="25"/>
      <c r="T1110" s="24"/>
      <c r="U1110" s="24"/>
      <c r="V1110" s="9"/>
      <c r="W1110" s="2"/>
      <c r="X1110" s="9"/>
      <c r="Y1110" s="8"/>
      <c r="Z1110" s="7"/>
      <c r="AA1110" s="7"/>
      <c r="AB1110" s="6"/>
    </row>
    <row r="1111" spans="2:28" ht="14.1" customHeight="1">
      <c r="B1111" s="35" t="str">
        <f>IF(MONTH(F1110)&lt;&gt;MONTH(TableauCB[[#This Row],[Date d''éxigibilité]]),(TableauCB[[#This Row],[Date d''éxigibilité]]),"")</f>
        <v/>
      </c>
      <c r="C1111" s="11"/>
      <c r="D1111" s="11" t="s">
        <v>5</v>
      </c>
      <c r="E1111" s="11" t="s">
        <v>7</v>
      </c>
      <c r="F1111" s="34">
        <v>42977</v>
      </c>
      <c r="G1111"/>
      <c r="H1111"/>
      <c r="I1111" s="32"/>
      <c r="J1111"/>
      <c r="K1111" s="31"/>
      <c r="L1111" s="30">
        <v>600</v>
      </c>
      <c r="M1111" s="29"/>
      <c r="N1111" s="28">
        <f>IF(OR(TableauCB[[#This Row],[Etat]]="",TableauCB[[#This Row],[Etat]]="c"),IF(TableauCB[[#This Row],[Solde]]="","",N1110),N1110-TableauCB[[#This Row],[Débit]]+TableauCB[[#This Row],[Crédit]])</f>
        <v>6224.3360000000048</v>
      </c>
      <c r="O1111" s="27">
        <f>IF(TableauCB[[#This Row],[Etat]]="xc",O1110-TableauCB[[#This Row],[Débit]]+TableauCB[[#This Row],[Crédit]],O1110-TableauCB[[#This Row],[Débit]])</f>
        <v>-13557.920000000006</v>
      </c>
      <c r="P1111" s="27">
        <f>IF(AND(ISBLANK(TableauCB[[#This Row],[Débit]]),ISBLANK(TableauCB[[#This Row],[Crédit]])),"",P1110+TableauCB[[#This Row],[Crédit]]-TableauCB[[#This Row],[Débit]])</f>
        <v>8403.566000000008</v>
      </c>
      <c r="Q1111" s="26"/>
      <c r="R1111" s="25"/>
      <c r="S1111" s="25"/>
      <c r="T1111" s="24"/>
      <c r="U1111" s="24"/>
      <c r="V1111" s="9"/>
      <c r="W1111" s="2"/>
      <c r="X1111" s="9"/>
      <c r="Y1111" s="8"/>
      <c r="Z1111" s="7"/>
      <c r="AA1111" s="7"/>
      <c r="AB1111" s="6"/>
    </row>
    <row r="1112" spans="2:28" ht="14.1" customHeight="1">
      <c r="B1112" s="35" t="str">
        <f>IF(MONTH(F1111)&lt;&gt;MONTH(TableauCB[[#This Row],[Date d''éxigibilité]]),(TableauCB[[#This Row],[Date d''éxigibilité]]),"")</f>
        <v/>
      </c>
      <c r="C1112" s="11"/>
      <c r="D1112" s="11" t="s">
        <v>5</v>
      </c>
      <c r="E1112" s="11" t="s">
        <v>6</v>
      </c>
      <c r="F1112" s="34">
        <v>42977</v>
      </c>
      <c r="G1112"/>
      <c r="H1112"/>
      <c r="I1112" s="32"/>
      <c r="J1112"/>
      <c r="K1112" s="31"/>
      <c r="L1112" s="30">
        <v>291.3</v>
      </c>
      <c r="M1112" s="29"/>
      <c r="N1112" s="28">
        <f>IF(OR(TableauCB[[#This Row],[Etat]]="",TableauCB[[#This Row],[Etat]]="c"),IF(TableauCB[[#This Row],[Solde]]="","",N1111),N1111-TableauCB[[#This Row],[Débit]]+TableauCB[[#This Row],[Crédit]])</f>
        <v>6224.3360000000048</v>
      </c>
      <c r="O1112" s="27">
        <f>IF(TableauCB[[#This Row],[Etat]]="xc",O1111-TableauCB[[#This Row],[Débit]]+TableauCB[[#This Row],[Crédit]],O1111-TableauCB[[#This Row],[Débit]])</f>
        <v>-13849.220000000005</v>
      </c>
      <c r="P1112" s="27">
        <f>IF(AND(ISBLANK(TableauCB[[#This Row],[Débit]]),ISBLANK(TableauCB[[#This Row],[Crédit]])),"",P1111+TableauCB[[#This Row],[Crédit]]-TableauCB[[#This Row],[Débit]])</f>
        <v>8112.2660000000078</v>
      </c>
      <c r="Q1112" s="26"/>
      <c r="R1112" s="25"/>
      <c r="S1112" s="25"/>
      <c r="T1112" s="24"/>
      <c r="U1112" s="24"/>
      <c r="V1112" s="9"/>
      <c r="W1112" s="2"/>
      <c r="X1112" s="9"/>
      <c r="Y1112" s="8"/>
      <c r="Z1112" s="7"/>
      <c r="AA1112" s="7"/>
      <c r="AB1112" s="6"/>
    </row>
    <row r="1113" spans="2:28" ht="14.1" customHeight="1">
      <c r="B1113" s="35">
        <f>IF(MONTH(F1112)&lt;&gt;MONTH(TableauCB[[#This Row],[Date d''éxigibilité]]),(TableauCB[[#This Row],[Date d''éxigibilité]]),"")</f>
        <v>42987</v>
      </c>
      <c r="C1113" s="11"/>
      <c r="D1113" s="11" t="s">
        <v>22</v>
      </c>
      <c r="E1113" s="11" t="s">
        <v>21</v>
      </c>
      <c r="F1113" s="34">
        <v>42987</v>
      </c>
      <c r="G1113"/>
      <c r="H1113"/>
      <c r="I1113" s="32"/>
      <c r="J1113"/>
      <c r="K1113" s="31"/>
      <c r="L1113" s="30">
        <v>22.4</v>
      </c>
      <c r="M1113" s="29"/>
      <c r="N1113" s="28">
        <f>IF(OR(TableauCB[[#This Row],[Etat]]="",TableauCB[[#This Row],[Etat]]="c"),IF(TableauCB[[#This Row],[Solde]]="","",N1112),N1112-TableauCB[[#This Row],[Débit]]+TableauCB[[#This Row],[Crédit]])</f>
        <v>6224.3360000000048</v>
      </c>
      <c r="O1113" s="27">
        <f>IF(TableauCB[[#This Row],[Etat]]="xc",O1112-TableauCB[[#This Row],[Débit]]+TableauCB[[#This Row],[Crédit]],O1112-TableauCB[[#This Row],[Débit]])</f>
        <v>-13871.620000000004</v>
      </c>
      <c r="P1113" s="27">
        <f>IF(AND(ISBLANK(TableauCB[[#This Row],[Débit]]),ISBLANK(TableauCB[[#This Row],[Crédit]])),"",P1112+TableauCB[[#This Row],[Crédit]]-TableauCB[[#This Row],[Débit]])</f>
        <v>8089.8660000000082</v>
      </c>
      <c r="Q1113" s="26"/>
      <c r="R1113" s="25"/>
      <c r="S1113" s="25"/>
      <c r="T1113" s="24"/>
      <c r="U1113" s="24"/>
      <c r="V1113" s="9"/>
      <c r="W1113" s="2"/>
      <c r="X1113" s="9"/>
      <c r="Y1113" s="8"/>
      <c r="Z1113" s="7"/>
      <c r="AA1113" s="7"/>
      <c r="AB1113" s="6"/>
    </row>
    <row r="1114" spans="2:28" ht="14.1" customHeight="1">
      <c r="B1114" s="35" t="str">
        <f>IF(MONTH(F1113)&lt;&gt;MONTH(TableauCB[[#This Row],[Date d''éxigibilité]]),(TableauCB[[#This Row],[Date d''éxigibilité]]),"")</f>
        <v/>
      </c>
      <c r="C1114" s="11"/>
      <c r="D1114" s="11" t="s">
        <v>15</v>
      </c>
      <c r="E1114" s="11" t="s">
        <v>19</v>
      </c>
      <c r="F1114" s="34">
        <v>42993</v>
      </c>
      <c r="G1114"/>
      <c r="H1114"/>
      <c r="I1114" s="32"/>
      <c r="J1114"/>
      <c r="K1114" s="31"/>
      <c r="L1114" s="30">
        <v>53</v>
      </c>
      <c r="M1114" s="29"/>
      <c r="N1114" s="28">
        <f>IF(OR(TableauCB[[#This Row],[Etat]]="",TableauCB[[#This Row],[Etat]]="c"),IF(TableauCB[[#This Row],[Solde]]="","",N1113),N1113-TableauCB[[#This Row],[Débit]]+TableauCB[[#This Row],[Crédit]])</f>
        <v>6224.3360000000048</v>
      </c>
      <c r="O1114" s="27">
        <f>IF(TableauCB[[#This Row],[Etat]]="xc",O1113-TableauCB[[#This Row],[Débit]]+TableauCB[[#This Row],[Crédit]],O1113-TableauCB[[#This Row],[Débit]])</f>
        <v>-13924.620000000004</v>
      </c>
      <c r="P1114" s="27">
        <f>IF(AND(ISBLANK(TableauCB[[#This Row],[Débit]]),ISBLANK(TableauCB[[#This Row],[Crédit]])),"",P1113+TableauCB[[#This Row],[Crédit]]-TableauCB[[#This Row],[Débit]])</f>
        <v>8036.8660000000082</v>
      </c>
      <c r="Q1114" s="26"/>
      <c r="R1114" s="4"/>
      <c r="S1114" s="4"/>
      <c r="T1114" s="24"/>
      <c r="U1114" s="24"/>
      <c r="V1114" s="9"/>
      <c r="W1114" s="2"/>
      <c r="X1114" s="9"/>
      <c r="Y1114" s="8"/>
      <c r="Z1114" s="7"/>
      <c r="AA1114" s="7"/>
      <c r="AB1114" s="6"/>
    </row>
    <row r="1115" spans="2:28" ht="14.1" customHeight="1">
      <c r="B1115" s="35" t="str">
        <f>IF(MONTH(F1114)&lt;&gt;MONTH(TableauCB[[#This Row],[Date d''éxigibilité]]),(TableauCB[[#This Row],[Date d''éxigibilité]]),"")</f>
        <v/>
      </c>
      <c r="C1115" s="11"/>
      <c r="D1115" s="11" t="s">
        <v>17</v>
      </c>
      <c r="E1115" s="11" t="s">
        <v>18</v>
      </c>
      <c r="F1115" s="34">
        <v>42999</v>
      </c>
      <c r="G1115"/>
      <c r="H1115"/>
      <c r="I1115" s="32"/>
      <c r="J1115"/>
      <c r="K1115" s="31"/>
      <c r="L1115" s="30">
        <v>45.6</v>
      </c>
      <c r="M1115" s="29"/>
      <c r="N1115" s="28">
        <f>IF(OR(TableauCB[[#This Row],[Etat]]="",TableauCB[[#This Row],[Etat]]="c"),IF(TableauCB[[#This Row],[Solde]]="","",N1114),N1114-TableauCB[[#This Row],[Débit]]+TableauCB[[#This Row],[Crédit]])</f>
        <v>6224.3360000000048</v>
      </c>
      <c r="O1115" s="27">
        <f>IF(TableauCB[[#This Row],[Etat]]="xc",O1114-TableauCB[[#This Row],[Débit]]+TableauCB[[#This Row],[Crédit]],O1114-TableauCB[[#This Row],[Débit]])</f>
        <v>-13970.220000000005</v>
      </c>
      <c r="P1115" s="27">
        <f>IF(AND(ISBLANK(TableauCB[[#This Row],[Débit]]),ISBLANK(TableauCB[[#This Row],[Crédit]])),"",P1114+TableauCB[[#This Row],[Crédit]]-TableauCB[[#This Row],[Débit]])</f>
        <v>7991.2660000000078</v>
      </c>
      <c r="Q1115" s="26"/>
      <c r="R1115" s="4"/>
      <c r="S1115" s="4"/>
      <c r="T1115" s="24"/>
      <c r="U1115" s="24"/>
      <c r="V1115" s="9"/>
      <c r="W1115" s="2"/>
      <c r="X1115" s="9"/>
      <c r="Y1115" s="8"/>
      <c r="Z1115" s="7"/>
      <c r="AA1115" s="7"/>
      <c r="AB1115" s="6"/>
    </row>
    <row r="1116" spans="2:28" ht="14.1" customHeight="1">
      <c r="B1116" s="35" t="str">
        <f>IF(MONTH(F1115)&lt;&gt;MONTH(TableauCB[[#This Row],[Date d''éxigibilité]]),(TableauCB[[#This Row],[Date d''éxigibilité]]),"")</f>
        <v/>
      </c>
      <c r="C1116" s="11"/>
      <c r="D1116" s="11" t="s">
        <v>17</v>
      </c>
      <c r="E1116" s="11" t="s">
        <v>16</v>
      </c>
      <c r="F1116" s="34">
        <v>43004</v>
      </c>
      <c r="G1116"/>
      <c r="H1116"/>
      <c r="I1116" s="32"/>
      <c r="J1116"/>
      <c r="K1116" s="31"/>
      <c r="L1116" s="30">
        <v>3.59</v>
      </c>
      <c r="M1116" s="29"/>
      <c r="N1116" s="28">
        <f>IF(OR(TableauCB[[#This Row],[Etat]]="",TableauCB[[#This Row],[Etat]]="c"),IF(TableauCB[[#This Row],[Solde]]="","",N1115),N1115-TableauCB[[#This Row],[Débit]]+TableauCB[[#This Row],[Crédit]])</f>
        <v>6224.3360000000048</v>
      </c>
      <c r="O1116" s="27">
        <f>IF(TableauCB[[#This Row],[Etat]]="xc",O1115-TableauCB[[#This Row],[Débit]]+TableauCB[[#This Row],[Crédit]],O1115-TableauCB[[#This Row],[Débit]])</f>
        <v>-13973.810000000005</v>
      </c>
      <c r="P1116" s="27">
        <f>IF(AND(ISBLANK(TableauCB[[#This Row],[Débit]]),ISBLANK(TableauCB[[#This Row],[Crédit]])),"",P1115+TableauCB[[#This Row],[Crédit]]-TableauCB[[#This Row],[Débit]])</f>
        <v>7987.6760000000077</v>
      </c>
      <c r="Q1116" s="26"/>
      <c r="R1116" s="4"/>
      <c r="S1116" s="4"/>
      <c r="T1116" s="24"/>
      <c r="U1116" s="24"/>
      <c r="V1116" s="9"/>
      <c r="W1116" s="2"/>
      <c r="X1116" s="9"/>
      <c r="Y1116" s="8"/>
      <c r="Z1116" s="7"/>
      <c r="AA1116" s="7"/>
      <c r="AB1116" s="6"/>
    </row>
    <row r="1117" spans="2:28" ht="14.1" customHeight="1">
      <c r="B1117" s="35" t="str">
        <f>IF(MONTH(F1116)&lt;&gt;MONTH(TableauCB[[#This Row],[Date d''éxigibilité]]),(TableauCB[[#This Row],[Date d''éxigibilité]]),"")</f>
        <v/>
      </c>
      <c r="C1117" s="11"/>
      <c r="D1117" s="11" t="s">
        <v>15</v>
      </c>
      <c r="E1117" s="11" t="s">
        <v>14</v>
      </c>
      <c r="F1117" s="34">
        <v>43008</v>
      </c>
      <c r="G1117"/>
      <c r="H1117"/>
      <c r="I1117" s="32"/>
      <c r="J1117"/>
      <c r="K1117" s="31"/>
      <c r="L1117" s="30">
        <v>210</v>
      </c>
      <c r="M1117" s="29"/>
      <c r="N1117" s="28">
        <f>IF(OR(TableauCB[[#This Row],[Etat]]="",TableauCB[[#This Row],[Etat]]="c"),IF(TableauCB[[#This Row],[Solde]]="","",N1116),N1116-TableauCB[[#This Row],[Débit]]+TableauCB[[#This Row],[Crédit]])</f>
        <v>6224.3360000000048</v>
      </c>
      <c r="O1117" s="27">
        <f>IF(TableauCB[[#This Row],[Etat]]="xc",O1116-TableauCB[[#This Row],[Débit]]+TableauCB[[#This Row],[Crédit]],O1116-TableauCB[[#This Row],[Débit]])</f>
        <v>-14183.810000000005</v>
      </c>
      <c r="P1117" s="27">
        <f>IF(AND(ISBLANK(TableauCB[[#This Row],[Débit]]),ISBLANK(TableauCB[[#This Row],[Crédit]])),"",P1116+TableauCB[[#This Row],[Crédit]]-TableauCB[[#This Row],[Débit]])</f>
        <v>7777.6760000000077</v>
      </c>
      <c r="Q1117" s="26"/>
      <c r="R1117" s="4"/>
      <c r="S1117" s="4"/>
      <c r="T1117" s="24"/>
      <c r="U1117" s="24"/>
      <c r="V1117" s="9"/>
      <c r="W1117" s="2"/>
      <c r="X1117" s="9"/>
      <c r="Y1117" s="8"/>
      <c r="Z1117" s="7"/>
      <c r="AA1117" s="7"/>
      <c r="AB1117" s="6"/>
    </row>
    <row r="1118" spans="2:28" ht="14.1" customHeight="1">
      <c r="B1118" s="35" t="str">
        <f>IF(MONTH(F1117)&lt;&gt;MONTH(TableauCB[[#This Row],[Date d''éxigibilité]]),(TableauCB[[#This Row],[Date d''éxigibilité]]),"")</f>
        <v/>
      </c>
      <c r="C1118" s="11"/>
      <c r="D1118" s="11" t="s">
        <v>11</v>
      </c>
      <c r="E1118" s="11" t="s">
        <v>12</v>
      </c>
      <c r="F1118" s="34">
        <v>43008</v>
      </c>
      <c r="G1118"/>
      <c r="H1118"/>
      <c r="I1118" s="32"/>
      <c r="J1118"/>
      <c r="K1118" s="31"/>
      <c r="L1118" s="30"/>
      <c r="M1118" s="29">
        <v>180</v>
      </c>
      <c r="N1118" s="28">
        <f>IF(OR(TableauCB[[#This Row],[Etat]]="",TableauCB[[#This Row],[Etat]]="c"),IF(TableauCB[[#This Row],[Solde]]="","",N1117),N1117-TableauCB[[#This Row],[Débit]]+TableauCB[[#This Row],[Crédit]])</f>
        <v>6224.3360000000048</v>
      </c>
      <c r="O1118" s="27">
        <f>IF(TableauCB[[#This Row],[Etat]]="xc",O1117-TableauCB[[#This Row],[Débit]]+TableauCB[[#This Row],[Crédit]],O1117-TableauCB[[#This Row],[Débit]])</f>
        <v>-14183.810000000005</v>
      </c>
      <c r="P1118" s="27">
        <f>IF(AND(ISBLANK(TableauCB[[#This Row],[Débit]]),ISBLANK(TableauCB[[#This Row],[Crédit]])),"",P1117+TableauCB[[#This Row],[Crédit]]-TableauCB[[#This Row],[Débit]])</f>
        <v>7957.6760000000077</v>
      </c>
      <c r="Q1118" s="26"/>
      <c r="R1118" s="4"/>
      <c r="S1118" s="4"/>
      <c r="T1118" s="24"/>
      <c r="U1118" s="24"/>
      <c r="V1118" s="9"/>
      <c r="W1118" s="2"/>
      <c r="X1118" s="9"/>
      <c r="Y1118" s="8"/>
      <c r="Z1118" s="7"/>
      <c r="AA1118" s="7"/>
      <c r="AB1118" s="6"/>
    </row>
    <row r="1119" spans="2:28" ht="14.1" customHeight="1">
      <c r="B1119" s="35" t="str">
        <f>IF(MONTH(F1118)&lt;&gt;MONTH(TableauCB[[#This Row],[Date d''éxigibilité]]),(TableauCB[[#This Row],[Date d''éxigibilité]]),"")</f>
        <v/>
      </c>
      <c r="C1119" s="11"/>
      <c r="D1119" s="11" t="s">
        <v>11</v>
      </c>
      <c r="E1119" s="11" t="s">
        <v>10</v>
      </c>
      <c r="F1119" s="34">
        <v>43008</v>
      </c>
      <c r="G1119"/>
      <c r="H1119"/>
      <c r="I1119" s="32"/>
      <c r="J1119"/>
      <c r="K1119" s="31"/>
      <c r="L1119" s="30"/>
      <c r="M1119" s="29">
        <v>504</v>
      </c>
      <c r="N1119" s="28">
        <f>IF(OR(TableauCB[[#This Row],[Etat]]="",TableauCB[[#This Row],[Etat]]="c"),IF(TableauCB[[#This Row],[Solde]]="","",N1118),N1118-TableauCB[[#This Row],[Débit]]+TableauCB[[#This Row],[Crédit]])</f>
        <v>6224.3360000000048</v>
      </c>
      <c r="O1119" s="27">
        <f>IF(TableauCB[[#This Row],[Etat]]="xc",O1118-TableauCB[[#This Row],[Débit]]+TableauCB[[#This Row],[Crédit]],O1118-TableauCB[[#This Row],[Débit]])</f>
        <v>-14183.810000000005</v>
      </c>
      <c r="P1119" s="27">
        <f>IF(AND(ISBLANK(TableauCB[[#This Row],[Débit]]),ISBLANK(TableauCB[[#This Row],[Crédit]])),"",P1118+TableauCB[[#This Row],[Crédit]]-TableauCB[[#This Row],[Débit]])</f>
        <v>8461.6760000000068</v>
      </c>
      <c r="Q1119" s="26"/>
      <c r="R1119" s="4"/>
      <c r="S1119" s="4"/>
      <c r="T1119" s="24"/>
      <c r="U1119" s="24"/>
      <c r="V1119" s="9"/>
      <c r="W1119" s="2"/>
      <c r="X1119" s="9"/>
      <c r="Y1119" s="8"/>
      <c r="Z1119" s="7"/>
      <c r="AA1119" s="7"/>
      <c r="AB1119" s="6"/>
    </row>
    <row r="1120" spans="2:28" ht="14.1" customHeight="1">
      <c r="B1120" s="35" t="str">
        <f>IF(MONTH(F1119)&lt;&gt;MONTH(TableauCB[[#This Row],[Date d''éxigibilité]]),(TableauCB[[#This Row],[Date d''éxigibilité]]),"")</f>
        <v/>
      </c>
      <c r="C1120" s="11"/>
      <c r="D1120" s="11" t="s">
        <v>11</v>
      </c>
      <c r="E1120" s="11" t="s">
        <v>10</v>
      </c>
      <c r="F1120" s="34">
        <v>43008</v>
      </c>
      <c r="G1120"/>
      <c r="H1120"/>
      <c r="I1120" s="32"/>
      <c r="J1120"/>
      <c r="K1120" s="31"/>
      <c r="L1120" s="30"/>
      <c r="M1120" s="29">
        <v>108</v>
      </c>
      <c r="N1120" s="28">
        <f>IF(OR(TableauCB[[#This Row],[Etat]]="",TableauCB[[#This Row],[Etat]]="c"),IF(TableauCB[[#This Row],[Solde]]="","",N1119),N1119-TableauCB[[#This Row],[Débit]]+TableauCB[[#This Row],[Crédit]])</f>
        <v>6224.3360000000048</v>
      </c>
      <c r="O1120" s="27">
        <f>IF(TableauCB[[#This Row],[Etat]]="xc",O1119-TableauCB[[#This Row],[Débit]]+TableauCB[[#This Row],[Crédit]],O1119-TableauCB[[#This Row],[Débit]])</f>
        <v>-14183.810000000005</v>
      </c>
      <c r="P1120" s="27">
        <f>IF(AND(ISBLANK(TableauCB[[#This Row],[Débit]]),ISBLANK(TableauCB[[#This Row],[Crédit]])),"",P1119+TableauCB[[#This Row],[Crédit]]-TableauCB[[#This Row],[Débit]])</f>
        <v>8569.6760000000068</v>
      </c>
      <c r="Q1120" s="26"/>
      <c r="R1120" s="4"/>
      <c r="S1120" s="4"/>
      <c r="T1120" s="24"/>
      <c r="U1120" s="24"/>
      <c r="V1120" s="9"/>
      <c r="W1120" s="2"/>
      <c r="X1120" s="9"/>
      <c r="Y1120" s="8"/>
      <c r="Z1120" s="7"/>
      <c r="AA1120" s="7"/>
      <c r="AB1120" s="6"/>
    </row>
    <row r="1121" spans="2:28" ht="14.1" customHeight="1">
      <c r="B1121" s="35" t="str">
        <f>IF(MONTH(F1120)&lt;&gt;MONTH(TableauCB[[#This Row],[Date d''éxigibilité]]),(TableauCB[[#This Row],[Date d''éxigibilité]]),"")</f>
        <v/>
      </c>
      <c r="C1121" s="11"/>
      <c r="D1121" s="11" t="s">
        <v>11</v>
      </c>
      <c r="E1121" s="11" t="s">
        <v>10</v>
      </c>
      <c r="F1121" s="34">
        <v>43008</v>
      </c>
      <c r="G1121"/>
      <c r="H1121"/>
      <c r="I1121" s="32"/>
      <c r="J1121"/>
      <c r="K1121" s="31"/>
      <c r="L1121" s="30"/>
      <c r="M1121" s="29">
        <v>198</v>
      </c>
      <c r="N1121" s="28">
        <f>IF(OR(TableauCB[[#This Row],[Etat]]="",TableauCB[[#This Row],[Etat]]="c"),IF(TableauCB[[#This Row],[Solde]]="","",N1120),N1120-TableauCB[[#This Row],[Débit]]+TableauCB[[#This Row],[Crédit]])</f>
        <v>6224.3360000000048</v>
      </c>
      <c r="O1121" s="27">
        <f>IF(TableauCB[[#This Row],[Etat]]="xc",O1120-TableauCB[[#This Row],[Débit]]+TableauCB[[#This Row],[Crédit]],O1120-TableauCB[[#This Row],[Débit]])</f>
        <v>-14183.810000000005</v>
      </c>
      <c r="P1121" s="27">
        <f>IF(AND(ISBLANK(TableauCB[[#This Row],[Débit]]),ISBLANK(TableauCB[[#This Row],[Crédit]])),"",P1120+TableauCB[[#This Row],[Crédit]]-TableauCB[[#This Row],[Débit]])</f>
        <v>8767.6760000000068</v>
      </c>
      <c r="Q1121" s="26"/>
      <c r="R1121" s="25"/>
      <c r="S1121" s="25"/>
      <c r="T1121" s="24"/>
      <c r="U1121" s="24"/>
      <c r="V1121" s="9"/>
      <c r="W1121" s="2"/>
      <c r="X1121" s="9"/>
      <c r="Y1121" s="8"/>
      <c r="Z1121" s="7"/>
      <c r="AA1121" s="7"/>
      <c r="AB1121" s="6"/>
    </row>
    <row r="1122" spans="2:28" ht="14.1" customHeight="1">
      <c r="B1122" s="35" t="str">
        <f>IF(MONTH(F1121)&lt;&gt;MONTH(TableauCB[[#This Row],[Date d''éxigibilité]]),(TableauCB[[#This Row],[Date d''éxigibilité]]),"")</f>
        <v/>
      </c>
      <c r="C1122" s="11"/>
      <c r="D1122" s="11" t="s">
        <v>11</v>
      </c>
      <c r="E1122" s="11" t="s">
        <v>10</v>
      </c>
      <c r="F1122" s="34">
        <v>43008</v>
      </c>
      <c r="G1122"/>
      <c r="H1122"/>
      <c r="I1122" s="32"/>
      <c r="J1122"/>
      <c r="K1122" s="31"/>
      <c r="L1122" s="30"/>
      <c r="M1122" s="29">
        <v>151.80000000000001</v>
      </c>
      <c r="N1122" s="28">
        <f>IF(OR(TableauCB[[#This Row],[Etat]]="",TableauCB[[#This Row],[Etat]]="c"),IF(TableauCB[[#This Row],[Solde]]="","",N1121),N1121-TableauCB[[#This Row],[Débit]]+TableauCB[[#This Row],[Crédit]])</f>
        <v>6224.3360000000048</v>
      </c>
      <c r="O1122" s="27">
        <f>IF(TableauCB[[#This Row],[Etat]]="xc",O1121-TableauCB[[#This Row],[Débit]]+TableauCB[[#This Row],[Crédit]],O1121-TableauCB[[#This Row],[Débit]])</f>
        <v>-14183.810000000005</v>
      </c>
      <c r="P1122" s="27">
        <f>IF(AND(ISBLANK(TableauCB[[#This Row],[Débit]]),ISBLANK(TableauCB[[#This Row],[Crédit]])),"",P1121+TableauCB[[#This Row],[Crédit]]-TableauCB[[#This Row],[Débit]])</f>
        <v>8919.476000000006</v>
      </c>
      <c r="Q1122" s="26"/>
      <c r="R1122" s="25"/>
      <c r="S1122" s="25"/>
      <c r="T1122" s="24"/>
      <c r="U1122" s="24"/>
      <c r="V1122" s="9"/>
      <c r="W1122" s="2"/>
      <c r="X1122" s="9"/>
      <c r="Y1122" s="8"/>
      <c r="Z1122" s="7"/>
      <c r="AA1122" s="7"/>
      <c r="AB1122" s="6"/>
    </row>
    <row r="1123" spans="2:28" ht="14.1" customHeight="1">
      <c r="B1123" s="35" t="str">
        <f>IF(MONTH(F1122)&lt;&gt;MONTH(TableauCB[[#This Row],[Date d''éxigibilité]]),(TableauCB[[#This Row],[Date d''éxigibilité]]),"")</f>
        <v/>
      </c>
      <c r="C1123" s="11"/>
      <c r="D1123" s="11" t="s">
        <v>11</v>
      </c>
      <c r="E1123" s="11" t="s">
        <v>12</v>
      </c>
      <c r="F1123" s="34">
        <v>43008</v>
      </c>
      <c r="G1123"/>
      <c r="H1123"/>
      <c r="I1123" s="32"/>
      <c r="J1123"/>
      <c r="K1123" s="31"/>
      <c r="L1123" s="30"/>
      <c r="M1123" s="29">
        <v>522</v>
      </c>
      <c r="N1123" s="28">
        <f>IF(OR(TableauCB[[#This Row],[Etat]]="",TableauCB[[#This Row],[Etat]]="c"),IF(TableauCB[[#This Row],[Solde]]="","",N1122),N1122-TableauCB[[#This Row],[Débit]]+TableauCB[[#This Row],[Crédit]])</f>
        <v>6224.3360000000048</v>
      </c>
      <c r="O1123" s="27">
        <f>IF(TableauCB[[#This Row],[Etat]]="xc",O1122-TableauCB[[#This Row],[Débit]]+TableauCB[[#This Row],[Crédit]],O1122-TableauCB[[#This Row],[Débit]])</f>
        <v>-14183.810000000005</v>
      </c>
      <c r="P1123" s="27">
        <f>IF(AND(ISBLANK(TableauCB[[#This Row],[Débit]]),ISBLANK(TableauCB[[#This Row],[Crédit]])),"",P1122+TableauCB[[#This Row],[Crédit]]-TableauCB[[#This Row],[Débit]])</f>
        <v>9441.476000000006</v>
      </c>
      <c r="Q1123" s="26"/>
      <c r="R1123" s="25"/>
      <c r="S1123" s="25"/>
      <c r="T1123" s="24"/>
      <c r="U1123" s="24"/>
      <c r="V1123" s="9"/>
      <c r="W1123" s="2"/>
      <c r="X1123" s="9"/>
      <c r="Y1123" s="8"/>
      <c r="Z1123" s="7"/>
      <c r="AA1123" s="7"/>
      <c r="AB1123" s="6"/>
    </row>
    <row r="1124" spans="2:28" ht="14.1" customHeight="1">
      <c r="B1124" s="35" t="str">
        <f>IF(MONTH(F1123)&lt;&gt;MONTH(TableauCB[[#This Row],[Date d''éxigibilité]]),(TableauCB[[#This Row],[Date d''éxigibilité]]),"")</f>
        <v/>
      </c>
      <c r="C1124" s="11"/>
      <c r="D1124" s="11" t="s">
        <v>11</v>
      </c>
      <c r="E1124" s="11" t="s">
        <v>10</v>
      </c>
      <c r="F1124" s="34">
        <v>43008</v>
      </c>
      <c r="G1124"/>
      <c r="H1124"/>
      <c r="I1124" s="32"/>
      <c r="J1124"/>
      <c r="K1124" s="31"/>
      <c r="L1124" s="30"/>
      <c r="M1124" s="29">
        <v>192</v>
      </c>
      <c r="N1124" s="28">
        <f>IF(OR(TableauCB[[#This Row],[Etat]]="",TableauCB[[#This Row],[Etat]]="c"),IF(TableauCB[[#This Row],[Solde]]="","",N1123),N1123-TableauCB[[#This Row],[Débit]]+TableauCB[[#This Row],[Crédit]])</f>
        <v>6224.3360000000048</v>
      </c>
      <c r="O1124" s="27">
        <f>IF(TableauCB[[#This Row],[Etat]]="xc",O1123-TableauCB[[#This Row],[Débit]]+TableauCB[[#This Row],[Crédit]],O1123-TableauCB[[#This Row],[Débit]])</f>
        <v>-14183.810000000005</v>
      </c>
      <c r="P1124" s="27">
        <f>IF(AND(ISBLANK(TableauCB[[#This Row],[Débit]]),ISBLANK(TableauCB[[#This Row],[Crédit]])),"",P1123+TableauCB[[#This Row],[Crédit]]-TableauCB[[#This Row],[Débit]])</f>
        <v>9633.476000000006</v>
      </c>
      <c r="Q1124" s="26"/>
      <c r="R1124" s="25"/>
      <c r="S1124" s="25"/>
      <c r="T1124" s="24"/>
      <c r="U1124" s="24"/>
      <c r="V1124" s="9"/>
      <c r="W1124" s="2"/>
      <c r="X1124" s="9"/>
      <c r="Y1124" s="8"/>
      <c r="Z1124" s="7"/>
      <c r="AA1124" s="7"/>
      <c r="AB1124" s="6"/>
    </row>
    <row r="1125" spans="2:28" ht="14.1" customHeight="1">
      <c r="B1125" s="35" t="str">
        <f>IF(MONTH(F1124)&lt;&gt;MONTH(TableauCB[[#This Row],[Date d''éxigibilité]]),(TableauCB[[#This Row],[Date d''éxigibilité]]),"")</f>
        <v/>
      </c>
      <c r="C1125" s="11"/>
      <c r="D1125" s="11" t="s">
        <v>11</v>
      </c>
      <c r="E1125" s="11" t="s">
        <v>10</v>
      </c>
      <c r="F1125" s="34">
        <v>43008</v>
      </c>
      <c r="G1125"/>
      <c r="H1125"/>
      <c r="I1125" s="32"/>
      <c r="J1125"/>
      <c r="K1125" s="31"/>
      <c r="L1125" s="30"/>
      <c r="M1125" s="29">
        <v>624</v>
      </c>
      <c r="N1125" s="28">
        <f>IF(OR(TableauCB[[#This Row],[Etat]]="",TableauCB[[#This Row],[Etat]]="c"),IF(TableauCB[[#This Row],[Solde]]="","",N1124),N1124-TableauCB[[#This Row],[Débit]]+TableauCB[[#This Row],[Crédit]])</f>
        <v>6224.3360000000048</v>
      </c>
      <c r="O1125" s="27">
        <f>IF(TableauCB[[#This Row],[Etat]]="xc",O1124-TableauCB[[#This Row],[Débit]]+TableauCB[[#This Row],[Crédit]],O1124-TableauCB[[#This Row],[Débit]])</f>
        <v>-14183.810000000005</v>
      </c>
      <c r="P1125" s="27">
        <f>IF(AND(ISBLANK(TableauCB[[#This Row],[Débit]]),ISBLANK(TableauCB[[#This Row],[Crédit]])),"",P1124+TableauCB[[#This Row],[Crédit]]-TableauCB[[#This Row],[Débit]])</f>
        <v>10257.476000000006</v>
      </c>
      <c r="Q1125" s="26"/>
      <c r="R1125" s="36"/>
      <c r="S1125" s="36"/>
      <c r="T1125" s="24"/>
      <c r="U1125" s="24"/>
      <c r="V1125" s="9"/>
      <c r="W1125" s="2"/>
      <c r="X1125" s="9"/>
      <c r="Y1125" s="8"/>
      <c r="Z1125" s="7"/>
      <c r="AA1125" s="7"/>
      <c r="AB1125" s="6"/>
    </row>
    <row r="1126" spans="2:28" ht="14.1" customHeight="1">
      <c r="B1126" s="35" t="str">
        <f>IF(MONTH(F1125)&lt;&gt;MONTH(TableauCB[[#This Row],[Date d''éxigibilité]]),(TableauCB[[#This Row],[Date d''éxigibilité]]),"")</f>
        <v/>
      </c>
      <c r="C1126" s="11"/>
      <c r="D1126" s="11" t="s">
        <v>11</v>
      </c>
      <c r="E1126" s="11" t="s">
        <v>12</v>
      </c>
      <c r="F1126" s="34">
        <v>43008</v>
      </c>
      <c r="G1126"/>
      <c r="H1126"/>
      <c r="I1126" s="32"/>
      <c r="J1126"/>
      <c r="K1126" s="31"/>
      <c r="L1126" s="30"/>
      <c r="M1126" s="29">
        <v>117.5</v>
      </c>
      <c r="N1126" s="28">
        <f>IF(OR(TableauCB[[#This Row],[Etat]]="",TableauCB[[#This Row],[Etat]]="c"),IF(TableauCB[[#This Row],[Solde]]="","",N1125),N1125-TableauCB[[#This Row],[Débit]]+TableauCB[[#This Row],[Crédit]])</f>
        <v>6224.3360000000048</v>
      </c>
      <c r="O1126" s="27">
        <f>IF(TableauCB[[#This Row],[Etat]]="xc",O1125-TableauCB[[#This Row],[Débit]]+TableauCB[[#This Row],[Crédit]],O1125-TableauCB[[#This Row],[Débit]])</f>
        <v>-14183.810000000005</v>
      </c>
      <c r="P1126" s="27">
        <f>IF(AND(ISBLANK(TableauCB[[#This Row],[Débit]]),ISBLANK(TableauCB[[#This Row],[Crédit]])),"",P1125+TableauCB[[#This Row],[Crédit]]-TableauCB[[#This Row],[Débit]])</f>
        <v>10374.976000000006</v>
      </c>
      <c r="Q1126" s="26"/>
      <c r="R1126" s="25"/>
      <c r="S1126" s="25"/>
      <c r="T1126" s="24"/>
      <c r="U1126" s="24"/>
      <c r="V1126" s="9"/>
      <c r="W1126" s="2"/>
      <c r="X1126" s="9"/>
      <c r="Y1126" s="8"/>
      <c r="Z1126" s="7"/>
      <c r="AA1126" s="7"/>
      <c r="AB1126" s="6"/>
    </row>
    <row r="1127" spans="2:28" ht="14.1" customHeight="1">
      <c r="B1127" s="35" t="str">
        <f>IF(MONTH(F1126)&lt;&gt;MONTH(TableauCB[[#This Row],[Date d''éxigibilité]]),(TableauCB[[#This Row],[Date d''éxigibilité]]),"")</f>
        <v/>
      </c>
      <c r="C1127" s="11"/>
      <c r="D1127" s="11" t="s">
        <v>11</v>
      </c>
      <c r="E1127" s="11" t="s">
        <v>10</v>
      </c>
      <c r="F1127" s="34">
        <v>43008</v>
      </c>
      <c r="G1127"/>
      <c r="H1127"/>
      <c r="I1127" s="32"/>
      <c r="J1127"/>
      <c r="K1127" s="31"/>
      <c r="L1127" s="30"/>
      <c r="M1127" s="29">
        <v>96</v>
      </c>
      <c r="N1127" s="28">
        <f>IF(OR(TableauCB[[#This Row],[Etat]]="",TableauCB[[#This Row],[Etat]]="c"),IF(TableauCB[[#This Row],[Solde]]="","",N1126),N1126-TableauCB[[#This Row],[Débit]]+TableauCB[[#This Row],[Crédit]])</f>
        <v>6224.3360000000048</v>
      </c>
      <c r="O1127" s="27">
        <f>IF(TableauCB[[#This Row],[Etat]]="xc",O1126-TableauCB[[#This Row],[Débit]]+TableauCB[[#This Row],[Crédit]],O1126-TableauCB[[#This Row],[Débit]])</f>
        <v>-14183.810000000005</v>
      </c>
      <c r="P1127" s="27">
        <f>IF(AND(ISBLANK(TableauCB[[#This Row],[Débit]]),ISBLANK(TableauCB[[#This Row],[Crédit]])),"",P1126+TableauCB[[#This Row],[Crédit]]-TableauCB[[#This Row],[Débit]])</f>
        <v>10470.976000000006</v>
      </c>
      <c r="Q1127" s="26"/>
      <c r="R1127" s="25"/>
      <c r="S1127" s="25"/>
      <c r="T1127" s="24"/>
      <c r="U1127" s="24"/>
      <c r="V1127" s="9"/>
      <c r="W1127" s="2"/>
      <c r="X1127" s="9"/>
      <c r="Y1127" s="8"/>
      <c r="Z1127" s="7"/>
      <c r="AA1127" s="7"/>
      <c r="AB1127" s="6"/>
    </row>
    <row r="1128" spans="2:28" ht="14.1" customHeight="1">
      <c r="B1128" s="35" t="str">
        <f>IF(MONTH(F1127)&lt;&gt;MONTH(TableauCB[[#This Row],[Date d''éxigibilité]]),(TableauCB[[#This Row],[Date d''éxigibilité]]),"")</f>
        <v/>
      </c>
      <c r="C1128" s="11"/>
      <c r="D1128" s="11" t="s">
        <v>9</v>
      </c>
      <c r="E1128" s="11" t="s">
        <v>8</v>
      </c>
      <c r="F1128" s="34">
        <v>43008</v>
      </c>
      <c r="G1128"/>
      <c r="H1128"/>
      <c r="I1128" s="32"/>
      <c r="J1128"/>
      <c r="K1128" s="31"/>
      <c r="L1128" s="30">
        <v>240</v>
      </c>
      <c r="M1128" s="29"/>
      <c r="N1128" s="28">
        <f>IF(OR(TableauCB[[#This Row],[Etat]]="",TableauCB[[#This Row],[Etat]]="c"),IF(TableauCB[[#This Row],[Solde]]="","",N1127),N1127-TableauCB[[#This Row],[Débit]]+TableauCB[[#This Row],[Crédit]])</f>
        <v>6224.3360000000048</v>
      </c>
      <c r="O1128" s="27">
        <f>IF(TableauCB[[#This Row],[Etat]]="xc",O1127-TableauCB[[#This Row],[Débit]]+TableauCB[[#This Row],[Crédit]],O1127-TableauCB[[#This Row],[Débit]])</f>
        <v>-14423.810000000005</v>
      </c>
      <c r="P1128" s="27">
        <f>IF(AND(ISBLANK(TableauCB[[#This Row],[Débit]]),ISBLANK(TableauCB[[#This Row],[Crédit]])),"",P1127+TableauCB[[#This Row],[Crédit]]-TableauCB[[#This Row],[Débit]])</f>
        <v>10230.976000000006</v>
      </c>
      <c r="Q1128" s="26"/>
      <c r="R1128" s="4"/>
      <c r="S1128" s="4"/>
      <c r="T1128" s="24"/>
      <c r="U1128" s="24"/>
      <c r="V1128" s="9"/>
      <c r="W1128" s="2"/>
      <c r="X1128" s="9"/>
      <c r="Y1128" s="8"/>
      <c r="Z1128" s="7"/>
      <c r="AA1128" s="7"/>
      <c r="AB1128" s="6"/>
    </row>
    <row r="1129" spans="2:28" ht="14.1" customHeight="1">
      <c r="B1129" s="35" t="str">
        <f>IF(MONTH(F1128)&lt;&gt;MONTH(TableauCB[[#This Row],[Date d''éxigibilité]]),(TableauCB[[#This Row],[Date d''éxigibilité]]),"")</f>
        <v/>
      </c>
      <c r="C1129" s="11"/>
      <c r="D1129" s="11" t="s">
        <v>5</v>
      </c>
      <c r="E1129" s="11" t="s">
        <v>7</v>
      </c>
      <c r="F1129" s="34">
        <v>43008</v>
      </c>
      <c r="G1129"/>
      <c r="H1129"/>
      <c r="I1129" s="32"/>
      <c r="J1129"/>
      <c r="K1129" s="31"/>
      <c r="L1129" s="30">
        <v>600</v>
      </c>
      <c r="M1129" s="29"/>
      <c r="N1129" s="28">
        <f>IF(OR(TableauCB[[#This Row],[Etat]]="",TableauCB[[#This Row],[Etat]]="c"),IF(TableauCB[[#This Row],[Solde]]="","",N1128),N1128-TableauCB[[#This Row],[Débit]]+TableauCB[[#This Row],[Crédit]])</f>
        <v>6224.3360000000048</v>
      </c>
      <c r="O1129" s="27">
        <f>IF(TableauCB[[#This Row],[Etat]]="xc",O1128-TableauCB[[#This Row],[Débit]]+TableauCB[[#This Row],[Crédit]],O1128-TableauCB[[#This Row],[Débit]])</f>
        <v>-15023.810000000005</v>
      </c>
      <c r="P1129" s="27">
        <f>IF(AND(ISBLANK(TableauCB[[#This Row],[Débit]]),ISBLANK(TableauCB[[#This Row],[Crédit]])),"",P1128+TableauCB[[#This Row],[Crédit]]-TableauCB[[#This Row],[Débit]])</f>
        <v>9630.976000000006</v>
      </c>
      <c r="Q1129" s="26"/>
      <c r="R1129" s="4"/>
      <c r="S1129" s="4"/>
      <c r="T1129" s="24"/>
      <c r="U1129" s="24"/>
      <c r="V1129" s="9"/>
      <c r="W1129" s="2"/>
      <c r="X1129" s="9"/>
      <c r="Y1129" s="8"/>
      <c r="Z1129" s="7"/>
      <c r="AA1129" s="7"/>
      <c r="AB1129" s="6"/>
    </row>
    <row r="1130" spans="2:28" ht="14.1" customHeight="1">
      <c r="B1130" s="35" t="str">
        <f>IF(MONTH(F1129)&lt;&gt;MONTH(TableauCB[[#This Row],[Date d''éxigibilité]]),(TableauCB[[#This Row],[Date d''éxigibilité]]),"")</f>
        <v/>
      </c>
      <c r="C1130" s="11"/>
      <c r="D1130" s="11" t="s">
        <v>5</v>
      </c>
      <c r="E1130" s="11" t="s">
        <v>6</v>
      </c>
      <c r="F1130" s="34">
        <v>43008</v>
      </c>
      <c r="G1130"/>
      <c r="H1130"/>
      <c r="I1130" s="32"/>
      <c r="J1130"/>
      <c r="K1130" s="31"/>
      <c r="L1130" s="30">
        <v>291.3</v>
      </c>
      <c r="M1130" s="29"/>
      <c r="N1130" s="28">
        <f>IF(OR(TableauCB[[#This Row],[Etat]]="",TableauCB[[#This Row],[Etat]]="c"),IF(TableauCB[[#This Row],[Solde]]="","",N1129),N1129-TableauCB[[#This Row],[Débit]]+TableauCB[[#This Row],[Crédit]])</f>
        <v>6224.3360000000048</v>
      </c>
      <c r="O1130" s="27">
        <f>IF(TableauCB[[#This Row],[Etat]]="xc",O1129-TableauCB[[#This Row],[Débit]]+TableauCB[[#This Row],[Crédit]],O1129-TableauCB[[#This Row],[Débit]])</f>
        <v>-15315.110000000004</v>
      </c>
      <c r="P1130" s="27">
        <f>IF(AND(ISBLANK(TableauCB[[#This Row],[Débit]]),ISBLANK(TableauCB[[#This Row],[Crédit]])),"",P1129+TableauCB[[#This Row],[Crédit]]-TableauCB[[#This Row],[Débit]])</f>
        <v>9339.6760000000068</v>
      </c>
      <c r="Q1130" s="26"/>
      <c r="R1130" s="4"/>
      <c r="S1130" s="4"/>
      <c r="T1130" s="24"/>
      <c r="U1130" s="24"/>
      <c r="V1130" s="9"/>
      <c r="W1130" s="2"/>
      <c r="X1130" s="9"/>
      <c r="Y1130" s="8"/>
      <c r="Z1130" s="7"/>
      <c r="AA1130" s="7"/>
      <c r="AB1130" s="6"/>
    </row>
    <row r="1131" spans="2:28" ht="14.1" customHeight="1">
      <c r="B1131" s="35">
        <f>IF(MONTH(F1130)&lt;&gt;MONTH(TableauCB[[#This Row],[Date d''éxigibilité]]),(TableauCB[[#This Row],[Date d''éxigibilité]]),"")</f>
        <v>43018</v>
      </c>
      <c r="C1131" s="11"/>
      <c r="D1131" s="11" t="s">
        <v>22</v>
      </c>
      <c r="E1131" s="11" t="s">
        <v>21</v>
      </c>
      <c r="F1131" s="34">
        <v>43018</v>
      </c>
      <c r="G1131"/>
      <c r="H1131"/>
      <c r="I1131" s="32"/>
      <c r="J1131"/>
      <c r="K1131" s="31"/>
      <c r="L1131" s="30">
        <v>22.4</v>
      </c>
      <c r="M1131" s="29"/>
      <c r="N1131" s="28">
        <f>IF(OR(TableauCB[[#This Row],[Etat]]="",TableauCB[[#This Row],[Etat]]="c"),IF(TableauCB[[#This Row],[Solde]]="","",N1130),N1130-TableauCB[[#This Row],[Débit]]+TableauCB[[#This Row],[Crédit]])</f>
        <v>6224.3360000000048</v>
      </c>
      <c r="O1131" s="27">
        <f>IF(TableauCB[[#This Row],[Etat]]="xc",O1130-TableauCB[[#This Row],[Débit]]+TableauCB[[#This Row],[Crédit]],O1130-TableauCB[[#This Row],[Débit]])</f>
        <v>-15337.510000000004</v>
      </c>
      <c r="P1131" s="27">
        <f>IF(AND(ISBLANK(TableauCB[[#This Row],[Débit]]),ISBLANK(TableauCB[[#This Row],[Crédit]])),"",P1130+TableauCB[[#This Row],[Crédit]]-TableauCB[[#This Row],[Débit]])</f>
        <v>9317.2760000000071</v>
      </c>
      <c r="Q1131" s="26"/>
      <c r="R1131" s="4"/>
      <c r="S1131" s="4"/>
      <c r="T1131" s="24"/>
      <c r="U1131" s="24"/>
      <c r="V1131" s="9"/>
      <c r="W1131" s="2"/>
      <c r="X1131" s="9"/>
      <c r="Y1131" s="8"/>
      <c r="Z1131" s="7"/>
      <c r="AA1131" s="7"/>
      <c r="AB1131" s="6"/>
    </row>
    <row r="1132" spans="2:28" ht="14.1" customHeight="1">
      <c r="B1132" s="35" t="str">
        <f>IF(MONTH(F1131)&lt;&gt;MONTH(TableauCB[[#This Row],[Date d''éxigibilité]]),(TableauCB[[#This Row],[Date d''éxigibilité]]),"")</f>
        <v/>
      </c>
      <c r="C1132" s="11"/>
      <c r="D1132" s="11" t="s">
        <v>15</v>
      </c>
      <c r="E1132" s="11" t="s">
        <v>27</v>
      </c>
      <c r="F1132" s="34">
        <v>43023</v>
      </c>
      <c r="G1132"/>
      <c r="H1132"/>
      <c r="I1132" s="32"/>
      <c r="J1132"/>
      <c r="K1132" s="31"/>
      <c r="L1132" s="30">
        <v>95</v>
      </c>
      <c r="M1132" s="29"/>
      <c r="N1132" s="28">
        <f>IF(OR(TableauCB[[#This Row],[Etat]]="",TableauCB[[#This Row],[Etat]]="c"),IF(TableauCB[[#This Row],[Solde]]="","",N1131),N1131-TableauCB[[#This Row],[Débit]]+TableauCB[[#This Row],[Crédit]])</f>
        <v>6224.3360000000048</v>
      </c>
      <c r="O1132" s="27">
        <f>IF(TableauCB[[#This Row],[Etat]]="xc",O1131-TableauCB[[#This Row],[Débit]]+TableauCB[[#This Row],[Crédit]],O1131-TableauCB[[#This Row],[Débit]])</f>
        <v>-15432.510000000004</v>
      </c>
      <c r="P1132" s="27">
        <f>IF(AND(ISBLANK(TableauCB[[#This Row],[Débit]]),ISBLANK(TableauCB[[#This Row],[Crédit]])),"",P1131+TableauCB[[#This Row],[Crédit]]-TableauCB[[#This Row],[Débit]])</f>
        <v>9222.2760000000071</v>
      </c>
      <c r="Q1132" s="26"/>
      <c r="R1132" s="4"/>
      <c r="S1132" s="4"/>
      <c r="T1132" s="24"/>
      <c r="U1132" s="24"/>
      <c r="V1132" s="9"/>
      <c r="W1132" s="2"/>
      <c r="X1132" s="9"/>
      <c r="Y1132" s="8"/>
      <c r="Z1132" s="7"/>
      <c r="AA1132" s="7"/>
      <c r="AB1132" s="6"/>
    </row>
    <row r="1133" spans="2:28" ht="14.1" customHeight="1">
      <c r="B1133" s="35" t="str">
        <f>IF(MONTH(F1132)&lt;&gt;MONTH(TableauCB[[#This Row],[Date d''éxigibilité]]),(TableauCB[[#This Row],[Date d''éxigibilité]]),"")</f>
        <v/>
      </c>
      <c r="C1133" s="11"/>
      <c r="D1133" s="11" t="s">
        <v>15</v>
      </c>
      <c r="E1133" s="11" t="s">
        <v>19</v>
      </c>
      <c r="F1133" s="34">
        <v>43023</v>
      </c>
      <c r="G1133"/>
      <c r="H1133"/>
      <c r="I1133" s="32"/>
      <c r="J1133"/>
      <c r="K1133" s="31"/>
      <c r="L1133" s="30">
        <v>53</v>
      </c>
      <c r="M1133" s="29"/>
      <c r="N1133" s="28">
        <f>IF(OR(TableauCB[[#This Row],[Etat]]="",TableauCB[[#This Row],[Etat]]="c"),IF(TableauCB[[#This Row],[Solde]]="","",N1132),N1132-TableauCB[[#This Row],[Débit]]+TableauCB[[#This Row],[Crédit]])</f>
        <v>6224.3360000000048</v>
      </c>
      <c r="O1133" s="27">
        <f>IF(TableauCB[[#This Row],[Etat]]="xc",O1132-TableauCB[[#This Row],[Débit]]+TableauCB[[#This Row],[Crédit]],O1132-TableauCB[[#This Row],[Débit]])</f>
        <v>-15485.510000000004</v>
      </c>
      <c r="P1133" s="27">
        <f>IF(AND(ISBLANK(TableauCB[[#This Row],[Débit]]),ISBLANK(TableauCB[[#This Row],[Crédit]])),"",P1132+TableauCB[[#This Row],[Crédit]]-TableauCB[[#This Row],[Débit]])</f>
        <v>9169.2760000000071</v>
      </c>
      <c r="Q1133" s="26"/>
      <c r="R1133" s="4"/>
      <c r="S1133" s="4"/>
      <c r="T1133" s="24"/>
      <c r="U1133" s="24"/>
      <c r="V1133" s="9"/>
      <c r="W1133" s="2"/>
      <c r="X1133" s="9"/>
      <c r="Y1133" s="8"/>
      <c r="Z1133" s="7"/>
      <c r="AA1133" s="7"/>
      <c r="AB1133" s="6"/>
    </row>
    <row r="1134" spans="2:28" ht="14.1" customHeight="1">
      <c r="B1134" s="35" t="str">
        <f>IF(MONTH(F1133)&lt;&gt;MONTH(TableauCB[[#This Row],[Date d''éxigibilité]]),(TableauCB[[#This Row],[Date d''éxigibilité]]),"")</f>
        <v/>
      </c>
      <c r="C1134" s="11"/>
      <c r="D1134" s="11" t="s">
        <v>15</v>
      </c>
      <c r="E1134" s="11" t="s">
        <v>26</v>
      </c>
      <c r="F1134" s="34">
        <v>43023</v>
      </c>
      <c r="G1134"/>
      <c r="H1134"/>
      <c r="I1134" s="32"/>
      <c r="J1134"/>
      <c r="K1134" s="31"/>
      <c r="L1134" s="30">
        <v>17</v>
      </c>
      <c r="M1134" s="29"/>
      <c r="N1134" s="28">
        <f>IF(OR(TableauCB[[#This Row],[Etat]]="",TableauCB[[#This Row],[Etat]]="c"),IF(TableauCB[[#This Row],[Solde]]="","",N1133),N1133-TableauCB[[#This Row],[Débit]]+TableauCB[[#This Row],[Crédit]])</f>
        <v>6224.3360000000048</v>
      </c>
      <c r="O1134" s="27">
        <f>IF(TableauCB[[#This Row],[Etat]]="xc",O1133-TableauCB[[#This Row],[Débit]]+TableauCB[[#This Row],[Crédit]],O1133-TableauCB[[#This Row],[Débit]])</f>
        <v>-15502.510000000004</v>
      </c>
      <c r="P1134" s="27">
        <f>IF(AND(ISBLANK(TableauCB[[#This Row],[Débit]]),ISBLANK(TableauCB[[#This Row],[Crédit]])),"",P1133+TableauCB[[#This Row],[Crédit]]-TableauCB[[#This Row],[Débit]])</f>
        <v>9152.2760000000071</v>
      </c>
      <c r="Q1134" s="26"/>
      <c r="R1134" s="4"/>
      <c r="S1134" s="4"/>
      <c r="T1134" s="24"/>
      <c r="U1134" s="24"/>
      <c r="V1134" s="9"/>
      <c r="W1134" s="2"/>
      <c r="X1134" s="9"/>
      <c r="Y1134" s="8"/>
      <c r="Z1134" s="7"/>
      <c r="AA1134" s="7"/>
      <c r="AB1134" s="6"/>
    </row>
    <row r="1135" spans="2:28" ht="14.1" customHeight="1">
      <c r="B1135" s="35" t="str">
        <f>IF(MONTH(F1134)&lt;&gt;MONTH(TableauCB[[#This Row],[Date d''éxigibilité]]),(TableauCB[[#This Row],[Date d''éxigibilité]]),"")</f>
        <v/>
      </c>
      <c r="C1135" s="11"/>
      <c r="D1135" s="11" t="s">
        <v>15</v>
      </c>
      <c r="E1135" s="11" t="s">
        <v>25</v>
      </c>
      <c r="F1135" s="34">
        <v>43023</v>
      </c>
      <c r="G1135"/>
      <c r="H1135"/>
      <c r="I1135" s="32"/>
      <c r="J1135"/>
      <c r="K1135" s="31"/>
      <c r="L1135" s="30">
        <v>1227</v>
      </c>
      <c r="M1135" s="29"/>
      <c r="N1135" s="28">
        <f>IF(OR(TableauCB[[#This Row],[Etat]]="",TableauCB[[#This Row],[Etat]]="c"),IF(TableauCB[[#This Row],[Solde]]="","",N1134),N1134-TableauCB[[#This Row],[Débit]]+TableauCB[[#This Row],[Crédit]])</f>
        <v>6224.3360000000048</v>
      </c>
      <c r="O1135" s="27">
        <f>IF(TableauCB[[#This Row],[Etat]]="xc",O1134-TableauCB[[#This Row],[Débit]]+TableauCB[[#This Row],[Crédit]],O1134-TableauCB[[#This Row],[Débit]])</f>
        <v>-16729.510000000002</v>
      </c>
      <c r="P1135" s="27">
        <f>IF(AND(ISBLANK(TableauCB[[#This Row],[Débit]]),ISBLANK(TableauCB[[#This Row],[Crédit]])),"",P1134+TableauCB[[#This Row],[Crédit]]-TableauCB[[#This Row],[Débit]])</f>
        <v>7925.2760000000071</v>
      </c>
      <c r="Q1135" s="26"/>
      <c r="R1135" s="4"/>
      <c r="S1135" s="4"/>
      <c r="T1135" s="24"/>
      <c r="U1135" s="24"/>
      <c r="V1135" s="9"/>
      <c r="W1135" s="2"/>
      <c r="X1135" s="9"/>
      <c r="Y1135" s="8"/>
      <c r="Z1135" s="7"/>
      <c r="AA1135" s="7"/>
      <c r="AB1135" s="6"/>
    </row>
    <row r="1136" spans="2:28" ht="14.1" customHeight="1">
      <c r="B1136" s="35" t="str">
        <f>IF(MONTH(F1135)&lt;&gt;MONTH(TableauCB[[#This Row],[Date d''éxigibilité]]),(TableauCB[[#This Row],[Date d''éxigibilité]]),"")</f>
        <v/>
      </c>
      <c r="C1136" s="11"/>
      <c r="D1136" s="11" t="s">
        <v>15</v>
      </c>
      <c r="E1136" s="11" t="s">
        <v>24</v>
      </c>
      <c r="F1136" s="34">
        <v>43023</v>
      </c>
      <c r="G1136"/>
      <c r="H1136"/>
      <c r="I1136" s="32"/>
      <c r="J1136"/>
      <c r="K1136" s="31"/>
      <c r="L1136" s="30">
        <v>553</v>
      </c>
      <c r="M1136" s="29"/>
      <c r="N1136" s="28">
        <f>IF(OR(TableauCB[[#This Row],[Etat]]="",TableauCB[[#This Row],[Etat]]="c"),IF(TableauCB[[#This Row],[Solde]]="","",N1135),N1135-TableauCB[[#This Row],[Débit]]+TableauCB[[#This Row],[Crédit]])</f>
        <v>6224.3360000000048</v>
      </c>
      <c r="O1136" s="27">
        <f>IF(TableauCB[[#This Row],[Etat]]="xc",O1135-TableauCB[[#This Row],[Débit]]+TableauCB[[#This Row],[Crédit]],O1135-TableauCB[[#This Row],[Débit]])</f>
        <v>-17282.510000000002</v>
      </c>
      <c r="P1136" s="27">
        <f>IF(AND(ISBLANK(TableauCB[[#This Row],[Débit]]),ISBLANK(TableauCB[[#This Row],[Crédit]])),"",P1135+TableauCB[[#This Row],[Crédit]]-TableauCB[[#This Row],[Débit]])</f>
        <v>7372.2760000000071</v>
      </c>
      <c r="Q1136" s="26"/>
      <c r="R1136" s="25"/>
      <c r="S1136" s="25"/>
      <c r="T1136" s="24"/>
      <c r="U1136" s="24"/>
      <c r="V1136" s="9"/>
      <c r="W1136" s="2"/>
      <c r="X1136" s="9"/>
      <c r="Y1136" s="8"/>
      <c r="Z1136" s="7"/>
      <c r="AA1136" s="7"/>
      <c r="AB1136" s="6"/>
    </row>
    <row r="1137" spans="2:28" ht="14.1" customHeight="1">
      <c r="B1137" s="35" t="str">
        <f>IF(MONTH(F1136)&lt;&gt;MONTH(TableauCB[[#This Row],[Date d''éxigibilité]]),(TableauCB[[#This Row],[Date d''éxigibilité]]),"")</f>
        <v/>
      </c>
      <c r="C1137" s="11"/>
      <c r="D1137" s="11" t="s">
        <v>17</v>
      </c>
      <c r="E1137" s="11" t="s">
        <v>18</v>
      </c>
      <c r="F1137" s="34">
        <v>43029</v>
      </c>
      <c r="G1137"/>
      <c r="H1137"/>
      <c r="I1137" s="32"/>
      <c r="J1137"/>
      <c r="K1137" s="31"/>
      <c r="L1137" s="30">
        <v>45.6</v>
      </c>
      <c r="M1137" s="29"/>
      <c r="N1137" s="28">
        <f>IF(OR(TableauCB[[#This Row],[Etat]]="",TableauCB[[#This Row],[Etat]]="c"),IF(TableauCB[[#This Row],[Solde]]="","",N1136),N1136-TableauCB[[#This Row],[Débit]]+TableauCB[[#This Row],[Crédit]])</f>
        <v>6224.3360000000048</v>
      </c>
      <c r="O1137" s="27">
        <f>IF(TableauCB[[#This Row],[Etat]]="xc",O1136-TableauCB[[#This Row],[Débit]]+TableauCB[[#This Row],[Crédit]],O1136-TableauCB[[#This Row],[Débit]])</f>
        <v>-17328.11</v>
      </c>
      <c r="P1137" s="27">
        <f>IF(AND(ISBLANK(TableauCB[[#This Row],[Débit]]),ISBLANK(TableauCB[[#This Row],[Crédit]])),"",P1136+TableauCB[[#This Row],[Crédit]]-TableauCB[[#This Row],[Débit]])</f>
        <v>7326.6760000000068</v>
      </c>
      <c r="Q1137" s="26"/>
      <c r="R1137" s="25"/>
      <c r="S1137" s="25"/>
      <c r="T1137" s="24"/>
      <c r="U1137" s="24"/>
      <c r="V1137" s="9"/>
      <c r="W1137" s="2"/>
      <c r="X1137" s="9"/>
      <c r="Y1137" s="8"/>
      <c r="Z1137" s="7"/>
      <c r="AA1137" s="7"/>
      <c r="AB1137" s="6"/>
    </row>
    <row r="1138" spans="2:28" ht="14.1" customHeight="1">
      <c r="B1138" s="35" t="str">
        <f>IF(MONTH(F1137)&lt;&gt;MONTH(TableauCB[[#This Row],[Date d''éxigibilité]]),(TableauCB[[#This Row],[Date d''éxigibilité]]),"")</f>
        <v/>
      </c>
      <c r="C1138" s="11"/>
      <c r="D1138" s="11" t="s">
        <v>17</v>
      </c>
      <c r="E1138" s="11" t="s">
        <v>16</v>
      </c>
      <c r="F1138" s="34">
        <v>43034</v>
      </c>
      <c r="G1138"/>
      <c r="H1138"/>
      <c r="I1138" s="32"/>
      <c r="J1138"/>
      <c r="K1138" s="31"/>
      <c r="L1138" s="30">
        <v>3.59</v>
      </c>
      <c r="M1138" s="29"/>
      <c r="N1138" s="28">
        <f>IF(OR(TableauCB[[#This Row],[Etat]]="",TableauCB[[#This Row],[Etat]]="c"),IF(TableauCB[[#This Row],[Solde]]="","",N1137),N1137-TableauCB[[#This Row],[Débit]]+TableauCB[[#This Row],[Crédit]])</f>
        <v>6224.3360000000048</v>
      </c>
      <c r="O1138" s="27">
        <f>IF(TableauCB[[#This Row],[Etat]]="xc",O1137-TableauCB[[#This Row],[Débit]]+TableauCB[[#This Row],[Crédit]],O1137-TableauCB[[#This Row],[Débit]])</f>
        <v>-17331.7</v>
      </c>
      <c r="P1138" s="27">
        <f>IF(AND(ISBLANK(TableauCB[[#This Row],[Débit]]),ISBLANK(TableauCB[[#This Row],[Crédit]])),"",P1137+TableauCB[[#This Row],[Crédit]]-TableauCB[[#This Row],[Débit]])</f>
        <v>7323.0860000000066</v>
      </c>
      <c r="Q1138" s="26"/>
      <c r="R1138" s="25"/>
      <c r="S1138" s="25"/>
      <c r="T1138" s="24"/>
      <c r="U1138" s="24"/>
      <c r="V1138" s="9"/>
      <c r="W1138" s="2"/>
      <c r="X1138" s="9"/>
      <c r="Y1138" s="8"/>
      <c r="Z1138" s="7"/>
      <c r="AA1138" s="7"/>
      <c r="AB1138" s="6"/>
    </row>
    <row r="1139" spans="2:28" ht="14.1" customHeight="1">
      <c r="B1139" s="35" t="str">
        <f>IF(MONTH(F1138)&lt;&gt;MONTH(TableauCB[[#This Row],[Date d''éxigibilité]]),(TableauCB[[#This Row],[Date d''éxigibilité]]),"")</f>
        <v/>
      </c>
      <c r="C1139" s="11"/>
      <c r="D1139" s="11" t="s">
        <v>15</v>
      </c>
      <c r="E1139" s="11" t="s">
        <v>14</v>
      </c>
      <c r="F1139" s="34">
        <v>43038</v>
      </c>
      <c r="G1139"/>
      <c r="H1139"/>
      <c r="I1139" s="32"/>
      <c r="J1139"/>
      <c r="K1139" s="31"/>
      <c r="L1139" s="30">
        <v>210</v>
      </c>
      <c r="M1139" s="29"/>
      <c r="N1139" s="28">
        <f>IF(OR(TableauCB[[#This Row],[Etat]]="",TableauCB[[#This Row],[Etat]]="c"),IF(TableauCB[[#This Row],[Solde]]="","",N1138),N1138-TableauCB[[#This Row],[Débit]]+TableauCB[[#This Row],[Crédit]])</f>
        <v>6224.3360000000048</v>
      </c>
      <c r="O1139" s="27">
        <f>IF(TableauCB[[#This Row],[Etat]]="xc",O1138-TableauCB[[#This Row],[Débit]]+TableauCB[[#This Row],[Crédit]],O1138-TableauCB[[#This Row],[Débit]])</f>
        <v>-17541.7</v>
      </c>
      <c r="P1139" s="27">
        <f>IF(AND(ISBLANK(TableauCB[[#This Row],[Débit]]),ISBLANK(TableauCB[[#This Row],[Crédit]])),"",P1138+TableauCB[[#This Row],[Crédit]]-TableauCB[[#This Row],[Débit]])</f>
        <v>7113.0860000000066</v>
      </c>
      <c r="Q1139" s="26"/>
      <c r="R1139" s="25"/>
      <c r="S1139" s="25"/>
      <c r="T1139" s="37"/>
      <c r="U1139" s="37"/>
      <c r="V1139" s="9"/>
      <c r="W1139" s="2"/>
      <c r="X1139" s="9"/>
      <c r="Y1139" s="8"/>
      <c r="Z1139" s="7"/>
      <c r="AA1139" s="7"/>
      <c r="AB1139" s="6"/>
    </row>
    <row r="1140" spans="2:28" ht="14.1" customHeight="1">
      <c r="B1140" s="35" t="str">
        <f>IF(MONTH(F1139)&lt;&gt;MONTH(TableauCB[[#This Row],[Date d''éxigibilité]]),(TableauCB[[#This Row],[Date d''éxigibilité]]),"")</f>
        <v/>
      </c>
      <c r="C1140" s="11"/>
      <c r="D1140" s="11" t="s">
        <v>11</v>
      </c>
      <c r="E1140" s="11" t="s">
        <v>12</v>
      </c>
      <c r="F1140" s="34">
        <v>43038</v>
      </c>
      <c r="G1140"/>
      <c r="H1140"/>
      <c r="I1140" s="32"/>
      <c r="J1140"/>
      <c r="K1140" s="31"/>
      <c r="L1140" s="30"/>
      <c r="M1140" s="29">
        <v>180</v>
      </c>
      <c r="N1140" s="28">
        <f>IF(OR(TableauCB[[#This Row],[Etat]]="",TableauCB[[#This Row],[Etat]]="c"),IF(TableauCB[[#This Row],[Solde]]="","",N1139),N1139-TableauCB[[#This Row],[Débit]]+TableauCB[[#This Row],[Crédit]])</f>
        <v>6224.3360000000048</v>
      </c>
      <c r="O1140" s="27">
        <f>IF(TableauCB[[#This Row],[Etat]]="xc",O1139-TableauCB[[#This Row],[Débit]]+TableauCB[[#This Row],[Crédit]],O1139-TableauCB[[#This Row],[Débit]])</f>
        <v>-17541.7</v>
      </c>
      <c r="P1140" s="27">
        <f>IF(AND(ISBLANK(TableauCB[[#This Row],[Débit]]),ISBLANK(TableauCB[[#This Row],[Crédit]])),"",P1139+TableauCB[[#This Row],[Crédit]]-TableauCB[[#This Row],[Débit]])</f>
        <v>7293.0860000000066</v>
      </c>
      <c r="Q1140" s="26"/>
      <c r="R1140" s="36"/>
      <c r="S1140" s="36"/>
      <c r="T1140" s="36"/>
      <c r="U1140" s="36"/>
      <c r="V1140" s="9"/>
      <c r="W1140" s="2"/>
      <c r="X1140" s="9"/>
      <c r="Y1140" s="8"/>
      <c r="Z1140" s="7"/>
      <c r="AA1140" s="7"/>
      <c r="AB1140" s="6"/>
    </row>
    <row r="1141" spans="2:28" ht="14.1" customHeight="1">
      <c r="B1141" s="35" t="str">
        <f>IF(MONTH(F1140)&lt;&gt;MONTH(TableauCB[[#This Row],[Date d''éxigibilité]]),(TableauCB[[#This Row],[Date d''éxigibilité]]),"")</f>
        <v/>
      </c>
      <c r="C1141" s="11"/>
      <c r="D1141" s="11" t="s">
        <v>11</v>
      </c>
      <c r="E1141" s="11" t="s">
        <v>10</v>
      </c>
      <c r="F1141" s="34">
        <v>43038</v>
      </c>
      <c r="G1141"/>
      <c r="H1141"/>
      <c r="I1141" s="32"/>
      <c r="J1141"/>
      <c r="K1141" s="31"/>
      <c r="L1141" s="30"/>
      <c r="M1141" s="29">
        <v>504</v>
      </c>
      <c r="N1141" s="28">
        <f>IF(OR(TableauCB[[#This Row],[Etat]]="",TableauCB[[#This Row],[Etat]]="c"),IF(TableauCB[[#This Row],[Solde]]="","",N1140),N1140-TableauCB[[#This Row],[Débit]]+TableauCB[[#This Row],[Crédit]])</f>
        <v>6224.3360000000048</v>
      </c>
      <c r="O1141" s="27">
        <f>IF(TableauCB[[#This Row],[Etat]]="xc",O1140-TableauCB[[#This Row],[Débit]]+TableauCB[[#This Row],[Crédit]],O1140-TableauCB[[#This Row],[Débit]])</f>
        <v>-17541.7</v>
      </c>
      <c r="P1141" s="27">
        <f>IF(AND(ISBLANK(TableauCB[[#This Row],[Débit]]),ISBLANK(TableauCB[[#This Row],[Crédit]])),"",P1140+TableauCB[[#This Row],[Crédit]]-TableauCB[[#This Row],[Débit]])</f>
        <v>7797.0860000000066</v>
      </c>
      <c r="Q1141" s="26"/>
      <c r="R1141" s="25"/>
      <c r="S1141" s="25"/>
      <c r="T1141" s="24"/>
      <c r="U1141" s="24"/>
      <c r="V1141" s="9"/>
      <c r="W1141" s="2"/>
      <c r="X1141" s="9"/>
      <c r="Y1141" s="8"/>
      <c r="Z1141" s="7"/>
      <c r="AA1141" s="7"/>
      <c r="AB1141" s="6"/>
    </row>
    <row r="1142" spans="2:28" ht="14.1" customHeight="1">
      <c r="B1142" s="35" t="str">
        <f>IF(MONTH(F1141)&lt;&gt;MONTH(TableauCB[[#This Row],[Date d''éxigibilité]]),(TableauCB[[#This Row],[Date d''éxigibilité]]),"")</f>
        <v/>
      </c>
      <c r="C1142" s="11"/>
      <c r="D1142" s="11" t="s">
        <v>11</v>
      </c>
      <c r="E1142" s="11" t="s">
        <v>10</v>
      </c>
      <c r="F1142" s="34">
        <v>43038</v>
      </c>
      <c r="G1142"/>
      <c r="H1142"/>
      <c r="I1142" s="32"/>
      <c r="J1142"/>
      <c r="K1142" s="31"/>
      <c r="L1142" s="30"/>
      <c r="M1142" s="29">
        <v>108</v>
      </c>
      <c r="N1142" s="28">
        <f>IF(OR(TableauCB[[#This Row],[Etat]]="",TableauCB[[#This Row],[Etat]]="c"),IF(TableauCB[[#This Row],[Solde]]="","",N1141),N1141-TableauCB[[#This Row],[Débit]]+TableauCB[[#This Row],[Crédit]])</f>
        <v>6224.3360000000048</v>
      </c>
      <c r="O1142" s="27">
        <f>IF(TableauCB[[#This Row],[Etat]]="xc",O1141-TableauCB[[#This Row],[Débit]]+TableauCB[[#This Row],[Crédit]],O1141-TableauCB[[#This Row],[Débit]])</f>
        <v>-17541.7</v>
      </c>
      <c r="P1142" s="27">
        <f>IF(AND(ISBLANK(TableauCB[[#This Row],[Débit]]),ISBLANK(TableauCB[[#This Row],[Crédit]])),"",P1141+TableauCB[[#This Row],[Crédit]]-TableauCB[[#This Row],[Débit]])</f>
        <v>7905.0860000000066</v>
      </c>
      <c r="Q1142" s="26"/>
      <c r="R1142" s="25"/>
      <c r="S1142" s="25"/>
      <c r="T1142" s="24"/>
      <c r="U1142" s="24"/>
      <c r="V1142" s="9"/>
      <c r="W1142" s="2"/>
      <c r="X1142" s="9"/>
      <c r="Y1142" s="8"/>
      <c r="Z1142" s="7"/>
      <c r="AA1142" s="7"/>
      <c r="AB1142" s="6"/>
    </row>
    <row r="1143" spans="2:28" ht="14.1" customHeight="1">
      <c r="B1143" s="35" t="str">
        <f>IF(MONTH(F1142)&lt;&gt;MONTH(TableauCB[[#This Row],[Date d''éxigibilité]]),(TableauCB[[#This Row],[Date d''éxigibilité]]),"")</f>
        <v/>
      </c>
      <c r="C1143" s="11"/>
      <c r="D1143" s="11" t="s">
        <v>11</v>
      </c>
      <c r="E1143" s="11" t="s">
        <v>10</v>
      </c>
      <c r="F1143" s="34">
        <v>43038</v>
      </c>
      <c r="G1143"/>
      <c r="H1143"/>
      <c r="I1143" s="32"/>
      <c r="J1143"/>
      <c r="K1143" s="31"/>
      <c r="L1143" s="30"/>
      <c r="M1143" s="29">
        <v>198</v>
      </c>
      <c r="N1143" s="28">
        <f>IF(OR(TableauCB[[#This Row],[Etat]]="",TableauCB[[#This Row],[Etat]]="c"),IF(TableauCB[[#This Row],[Solde]]="","",N1142),N1142-TableauCB[[#This Row],[Débit]]+TableauCB[[#This Row],[Crédit]])</f>
        <v>6224.3360000000048</v>
      </c>
      <c r="O1143" s="27">
        <f>IF(TableauCB[[#This Row],[Etat]]="xc",O1142-TableauCB[[#This Row],[Débit]]+TableauCB[[#This Row],[Crédit]],O1142-TableauCB[[#This Row],[Débit]])</f>
        <v>-17541.7</v>
      </c>
      <c r="P1143" s="27">
        <f>IF(AND(ISBLANK(TableauCB[[#This Row],[Débit]]),ISBLANK(TableauCB[[#This Row],[Crédit]])),"",P1142+TableauCB[[#This Row],[Crédit]]-TableauCB[[#This Row],[Débit]])</f>
        <v>8103.0860000000066</v>
      </c>
      <c r="Q1143" s="26"/>
      <c r="R1143" s="25"/>
      <c r="S1143" s="25"/>
      <c r="T1143" s="24"/>
      <c r="U1143" s="24"/>
      <c r="V1143" s="9"/>
      <c r="W1143" s="2"/>
      <c r="X1143" s="9"/>
      <c r="Y1143" s="8"/>
      <c r="Z1143" s="7"/>
      <c r="AA1143" s="7"/>
      <c r="AB1143" s="6"/>
    </row>
    <row r="1144" spans="2:28" ht="14.1" customHeight="1">
      <c r="B1144" s="35" t="str">
        <f>IF(MONTH(F1143)&lt;&gt;MONTH(TableauCB[[#This Row],[Date d''éxigibilité]]),(TableauCB[[#This Row],[Date d''éxigibilité]]),"")</f>
        <v/>
      </c>
      <c r="C1144" s="11"/>
      <c r="D1144" s="11" t="s">
        <v>11</v>
      </c>
      <c r="E1144" s="11" t="s">
        <v>10</v>
      </c>
      <c r="F1144" s="34">
        <v>43038</v>
      </c>
      <c r="G1144"/>
      <c r="H1144"/>
      <c r="I1144" s="32"/>
      <c r="J1144"/>
      <c r="K1144" s="31"/>
      <c r="L1144" s="30"/>
      <c r="M1144" s="29">
        <v>151.80000000000001</v>
      </c>
      <c r="N1144" s="28">
        <f>IF(OR(TableauCB[[#This Row],[Etat]]="",TableauCB[[#This Row],[Etat]]="c"),IF(TableauCB[[#This Row],[Solde]]="","",N1143),N1143-TableauCB[[#This Row],[Débit]]+TableauCB[[#This Row],[Crédit]])</f>
        <v>6224.3360000000048</v>
      </c>
      <c r="O1144" s="27">
        <f>IF(TableauCB[[#This Row],[Etat]]="xc",O1143-TableauCB[[#This Row],[Débit]]+TableauCB[[#This Row],[Crédit]],O1143-TableauCB[[#This Row],[Débit]])</f>
        <v>-17541.7</v>
      </c>
      <c r="P1144" s="27">
        <f>IF(AND(ISBLANK(TableauCB[[#This Row],[Débit]]),ISBLANK(TableauCB[[#This Row],[Crédit]])),"",P1143+TableauCB[[#This Row],[Crédit]]-TableauCB[[#This Row],[Débit]])</f>
        <v>8254.8860000000059</v>
      </c>
      <c r="Q1144" s="26"/>
      <c r="R1144" s="25"/>
      <c r="S1144" s="25"/>
      <c r="T1144" s="24"/>
      <c r="U1144" s="24"/>
      <c r="V1144" s="9"/>
      <c r="W1144" s="2"/>
      <c r="X1144" s="9"/>
      <c r="Y1144" s="8"/>
      <c r="Z1144" s="7"/>
      <c r="AA1144" s="7"/>
      <c r="AB1144" s="6"/>
    </row>
    <row r="1145" spans="2:28" ht="14.1" customHeight="1">
      <c r="B1145" s="35" t="str">
        <f>IF(MONTH(F1144)&lt;&gt;MONTH(TableauCB[[#This Row],[Date d''éxigibilité]]),(TableauCB[[#This Row],[Date d''éxigibilité]]),"")</f>
        <v/>
      </c>
      <c r="C1145" s="11"/>
      <c r="D1145" s="11" t="s">
        <v>11</v>
      </c>
      <c r="E1145" s="11" t="s">
        <v>12</v>
      </c>
      <c r="F1145" s="34">
        <v>43038</v>
      </c>
      <c r="G1145"/>
      <c r="H1145"/>
      <c r="I1145" s="32"/>
      <c r="J1145"/>
      <c r="K1145" s="31"/>
      <c r="L1145" s="30"/>
      <c r="M1145" s="29">
        <v>522</v>
      </c>
      <c r="N1145" s="28">
        <f>IF(OR(TableauCB[[#This Row],[Etat]]="",TableauCB[[#This Row],[Etat]]="c"),IF(TableauCB[[#This Row],[Solde]]="","",N1144),N1144-TableauCB[[#This Row],[Débit]]+TableauCB[[#This Row],[Crédit]])</f>
        <v>6224.3360000000048</v>
      </c>
      <c r="O1145" s="27">
        <f>IF(TableauCB[[#This Row],[Etat]]="xc",O1144-TableauCB[[#This Row],[Débit]]+TableauCB[[#This Row],[Crédit]],O1144-TableauCB[[#This Row],[Débit]])</f>
        <v>-17541.7</v>
      </c>
      <c r="P1145" s="27">
        <f>IF(AND(ISBLANK(TableauCB[[#This Row],[Débit]]),ISBLANK(TableauCB[[#This Row],[Crédit]])),"",P1144+TableauCB[[#This Row],[Crédit]]-TableauCB[[#This Row],[Débit]])</f>
        <v>8776.8860000000059</v>
      </c>
      <c r="Q1145" s="26"/>
      <c r="R1145" s="4"/>
      <c r="S1145" s="4"/>
      <c r="T1145" s="24"/>
      <c r="U1145" s="24"/>
      <c r="V1145" s="9"/>
      <c r="W1145" s="2"/>
      <c r="X1145" s="9"/>
      <c r="Y1145" s="8"/>
      <c r="Z1145" s="7"/>
      <c r="AA1145" s="7"/>
      <c r="AB1145" s="6"/>
    </row>
    <row r="1146" spans="2:28" ht="14.1" customHeight="1">
      <c r="B1146" s="35" t="str">
        <f>IF(MONTH(F1145)&lt;&gt;MONTH(TableauCB[[#This Row],[Date d''éxigibilité]]),(TableauCB[[#This Row],[Date d''éxigibilité]]),"")</f>
        <v/>
      </c>
      <c r="C1146" s="11"/>
      <c r="D1146" s="11" t="s">
        <v>11</v>
      </c>
      <c r="E1146" s="11" t="s">
        <v>10</v>
      </c>
      <c r="F1146" s="34">
        <v>43038</v>
      </c>
      <c r="G1146"/>
      <c r="H1146"/>
      <c r="I1146" s="32"/>
      <c r="J1146"/>
      <c r="K1146" s="31"/>
      <c r="L1146" s="30"/>
      <c r="M1146" s="29">
        <v>192</v>
      </c>
      <c r="N1146" s="28">
        <f>IF(OR(TableauCB[[#This Row],[Etat]]="",TableauCB[[#This Row],[Etat]]="c"),IF(TableauCB[[#This Row],[Solde]]="","",N1145),N1145-TableauCB[[#This Row],[Débit]]+TableauCB[[#This Row],[Crédit]])</f>
        <v>6224.3360000000048</v>
      </c>
      <c r="O1146" s="27">
        <f>IF(TableauCB[[#This Row],[Etat]]="xc",O1145-TableauCB[[#This Row],[Débit]]+TableauCB[[#This Row],[Crédit]],O1145-TableauCB[[#This Row],[Débit]])</f>
        <v>-17541.7</v>
      </c>
      <c r="P1146" s="27">
        <f>IF(AND(ISBLANK(TableauCB[[#This Row],[Débit]]),ISBLANK(TableauCB[[#This Row],[Crédit]])),"",P1145+TableauCB[[#This Row],[Crédit]]-TableauCB[[#This Row],[Débit]])</f>
        <v>8968.8860000000059</v>
      </c>
      <c r="Q1146" s="26"/>
      <c r="R1146" s="4"/>
      <c r="S1146" s="4"/>
      <c r="T1146" s="24"/>
      <c r="U1146" s="24"/>
      <c r="V1146" s="9"/>
      <c r="W1146" s="2"/>
      <c r="X1146" s="9"/>
      <c r="Y1146" s="8"/>
      <c r="Z1146" s="7"/>
      <c r="AA1146" s="7"/>
      <c r="AB1146" s="6"/>
    </row>
    <row r="1147" spans="2:28" ht="14.1" customHeight="1">
      <c r="B1147" s="35" t="str">
        <f>IF(MONTH(F1146)&lt;&gt;MONTH(TableauCB[[#This Row],[Date d''éxigibilité]]),(TableauCB[[#This Row],[Date d''éxigibilité]]),"")</f>
        <v/>
      </c>
      <c r="C1147" s="11"/>
      <c r="D1147" s="11" t="s">
        <v>11</v>
      </c>
      <c r="E1147" s="11" t="s">
        <v>10</v>
      </c>
      <c r="F1147" s="34">
        <v>43038</v>
      </c>
      <c r="G1147"/>
      <c r="H1147"/>
      <c r="I1147" s="32"/>
      <c r="J1147"/>
      <c r="K1147" s="31"/>
      <c r="L1147" s="30"/>
      <c r="M1147" s="29">
        <v>624</v>
      </c>
      <c r="N1147" s="28">
        <f>IF(OR(TableauCB[[#This Row],[Etat]]="",TableauCB[[#This Row],[Etat]]="c"),IF(TableauCB[[#This Row],[Solde]]="","",N1146),N1146-TableauCB[[#This Row],[Débit]]+TableauCB[[#This Row],[Crédit]])</f>
        <v>6224.3360000000048</v>
      </c>
      <c r="O1147" s="27">
        <f>IF(TableauCB[[#This Row],[Etat]]="xc",O1146-TableauCB[[#This Row],[Débit]]+TableauCB[[#This Row],[Crédit]],O1146-TableauCB[[#This Row],[Débit]])</f>
        <v>-17541.7</v>
      </c>
      <c r="P1147" s="27">
        <f>IF(AND(ISBLANK(TableauCB[[#This Row],[Débit]]),ISBLANK(TableauCB[[#This Row],[Crédit]])),"",P1146+TableauCB[[#This Row],[Crédit]]-TableauCB[[#This Row],[Débit]])</f>
        <v>9592.8860000000059</v>
      </c>
      <c r="Q1147" s="26"/>
      <c r="R1147" s="4"/>
      <c r="S1147" s="4"/>
      <c r="T1147" s="24"/>
      <c r="U1147" s="24"/>
      <c r="V1147" s="9"/>
      <c r="W1147" s="2"/>
      <c r="X1147" s="9"/>
      <c r="Y1147" s="8"/>
      <c r="Z1147" s="7"/>
      <c r="AA1147" s="7"/>
      <c r="AB1147" s="6"/>
    </row>
    <row r="1148" spans="2:28" ht="14.1" customHeight="1">
      <c r="B1148" s="35" t="str">
        <f>IF(MONTH(F1147)&lt;&gt;MONTH(TableauCB[[#This Row],[Date d''éxigibilité]]),(TableauCB[[#This Row],[Date d''éxigibilité]]),"")</f>
        <v/>
      </c>
      <c r="C1148" s="11"/>
      <c r="D1148" s="11" t="s">
        <v>11</v>
      </c>
      <c r="E1148" s="11" t="s">
        <v>12</v>
      </c>
      <c r="F1148" s="34">
        <v>43038</v>
      </c>
      <c r="G1148"/>
      <c r="H1148"/>
      <c r="I1148" s="32"/>
      <c r="J1148"/>
      <c r="K1148" s="31"/>
      <c r="L1148" s="30"/>
      <c r="M1148" s="29">
        <v>117.5</v>
      </c>
      <c r="N1148" s="28">
        <f>IF(OR(TableauCB[[#This Row],[Etat]]="",TableauCB[[#This Row],[Etat]]="c"),IF(TableauCB[[#This Row],[Solde]]="","",N1147),N1147-TableauCB[[#This Row],[Débit]]+TableauCB[[#This Row],[Crédit]])</f>
        <v>6224.3360000000048</v>
      </c>
      <c r="O1148" s="27">
        <f>IF(TableauCB[[#This Row],[Etat]]="xc",O1147-TableauCB[[#This Row],[Débit]]+TableauCB[[#This Row],[Crédit]],O1147-TableauCB[[#This Row],[Débit]])</f>
        <v>-17541.7</v>
      </c>
      <c r="P1148" s="27">
        <f>IF(AND(ISBLANK(TableauCB[[#This Row],[Débit]]),ISBLANK(TableauCB[[#This Row],[Crédit]])),"",P1147+TableauCB[[#This Row],[Crédit]]-TableauCB[[#This Row],[Débit]])</f>
        <v>9710.3860000000059</v>
      </c>
      <c r="Q1148" s="26"/>
      <c r="R1148" s="4"/>
      <c r="S1148" s="4"/>
      <c r="T1148" s="24"/>
      <c r="U1148" s="24"/>
      <c r="V1148" s="9"/>
      <c r="W1148" s="2"/>
      <c r="X1148" s="9"/>
      <c r="Y1148" s="8"/>
      <c r="Z1148" s="7"/>
      <c r="AA1148" s="7"/>
      <c r="AB1148" s="6"/>
    </row>
    <row r="1149" spans="2:28" ht="14.1" customHeight="1">
      <c r="B1149" s="35" t="str">
        <f>IF(MONTH(F1148)&lt;&gt;MONTH(TableauCB[[#This Row],[Date d''éxigibilité]]),(TableauCB[[#This Row],[Date d''éxigibilité]]),"")</f>
        <v/>
      </c>
      <c r="C1149" s="11"/>
      <c r="D1149" s="11" t="s">
        <v>11</v>
      </c>
      <c r="E1149" s="11" t="s">
        <v>10</v>
      </c>
      <c r="F1149" s="34">
        <v>43038</v>
      </c>
      <c r="G1149"/>
      <c r="H1149"/>
      <c r="I1149" s="32"/>
      <c r="J1149"/>
      <c r="K1149" s="31"/>
      <c r="L1149" s="30"/>
      <c r="M1149" s="29">
        <v>96</v>
      </c>
      <c r="N1149" s="28">
        <f>IF(OR(TableauCB[[#This Row],[Etat]]="",TableauCB[[#This Row],[Etat]]="c"),IF(TableauCB[[#This Row],[Solde]]="","",N1148),N1148-TableauCB[[#This Row],[Débit]]+TableauCB[[#This Row],[Crédit]])</f>
        <v>6224.3360000000048</v>
      </c>
      <c r="O1149" s="27">
        <f>IF(TableauCB[[#This Row],[Etat]]="xc",O1148-TableauCB[[#This Row],[Débit]]+TableauCB[[#This Row],[Crédit]],O1148-TableauCB[[#This Row],[Débit]])</f>
        <v>-17541.7</v>
      </c>
      <c r="P1149" s="27">
        <f>IF(AND(ISBLANK(TableauCB[[#This Row],[Débit]]),ISBLANK(TableauCB[[#This Row],[Crédit]])),"",P1148+TableauCB[[#This Row],[Crédit]]-TableauCB[[#This Row],[Débit]])</f>
        <v>9806.3860000000059</v>
      </c>
      <c r="Q1149" s="26"/>
      <c r="R1149" s="4"/>
      <c r="S1149" s="4"/>
      <c r="T1149" s="24"/>
      <c r="U1149" s="24"/>
      <c r="V1149" s="9"/>
      <c r="W1149" s="2"/>
      <c r="X1149" s="9"/>
      <c r="Y1149" s="8"/>
      <c r="Z1149" s="7"/>
      <c r="AA1149" s="7"/>
      <c r="AB1149" s="6"/>
    </row>
    <row r="1150" spans="2:28" ht="14.1" customHeight="1">
      <c r="B1150" s="35" t="str">
        <f>IF(MONTH(F1149)&lt;&gt;MONTH(TableauCB[[#This Row],[Date d''éxigibilité]]),(TableauCB[[#This Row],[Date d''éxigibilité]]),"")</f>
        <v/>
      </c>
      <c r="C1150" s="11"/>
      <c r="D1150" s="11" t="s">
        <v>9</v>
      </c>
      <c r="E1150" s="11" t="s">
        <v>8</v>
      </c>
      <c r="F1150" s="34">
        <v>43038</v>
      </c>
      <c r="G1150"/>
      <c r="H1150"/>
      <c r="I1150" s="32"/>
      <c r="J1150"/>
      <c r="K1150" s="31"/>
      <c r="L1150" s="30">
        <v>240</v>
      </c>
      <c r="M1150" s="29"/>
      <c r="N1150" s="28">
        <f>IF(OR(TableauCB[[#This Row],[Etat]]="",TableauCB[[#This Row],[Etat]]="c"),IF(TableauCB[[#This Row],[Solde]]="","",N1149),N1149-TableauCB[[#This Row],[Débit]]+TableauCB[[#This Row],[Crédit]])</f>
        <v>6224.3360000000048</v>
      </c>
      <c r="O1150" s="27">
        <f>IF(TableauCB[[#This Row],[Etat]]="xc",O1149-TableauCB[[#This Row],[Débit]]+TableauCB[[#This Row],[Crédit]],O1149-TableauCB[[#This Row],[Débit]])</f>
        <v>-17781.7</v>
      </c>
      <c r="P1150" s="27">
        <f>IF(AND(ISBLANK(TableauCB[[#This Row],[Débit]]),ISBLANK(TableauCB[[#This Row],[Crédit]])),"",P1149+TableauCB[[#This Row],[Crédit]]-TableauCB[[#This Row],[Débit]])</f>
        <v>9566.3860000000059</v>
      </c>
      <c r="Q1150" s="26"/>
      <c r="R1150" s="25"/>
      <c r="S1150" s="25"/>
      <c r="T1150" s="24"/>
      <c r="U1150" s="24"/>
      <c r="V1150" s="9"/>
      <c r="W1150" s="2"/>
      <c r="X1150" s="9"/>
      <c r="Y1150" s="8"/>
      <c r="Z1150" s="7"/>
      <c r="AA1150" s="7"/>
      <c r="AB1150" s="6"/>
    </row>
    <row r="1151" spans="2:28" ht="14.1" customHeight="1">
      <c r="B1151" s="35" t="str">
        <f>IF(MONTH(F1150)&lt;&gt;MONTH(TableauCB[[#This Row],[Date d''éxigibilité]]),(TableauCB[[#This Row],[Date d''éxigibilité]]),"")</f>
        <v/>
      </c>
      <c r="C1151" s="11"/>
      <c r="D1151" s="11" t="s">
        <v>5</v>
      </c>
      <c r="E1151" s="11" t="s">
        <v>7</v>
      </c>
      <c r="F1151" s="34">
        <v>43038</v>
      </c>
      <c r="G1151"/>
      <c r="H1151"/>
      <c r="I1151" s="32"/>
      <c r="J1151"/>
      <c r="K1151" s="31"/>
      <c r="L1151" s="30">
        <v>600</v>
      </c>
      <c r="M1151" s="29"/>
      <c r="N1151" s="28">
        <f>IF(OR(TableauCB[[#This Row],[Etat]]="",TableauCB[[#This Row],[Etat]]="c"),IF(TableauCB[[#This Row],[Solde]]="","",N1150),N1150-TableauCB[[#This Row],[Débit]]+TableauCB[[#This Row],[Crédit]])</f>
        <v>6224.3360000000048</v>
      </c>
      <c r="O1151" s="27">
        <f>IF(TableauCB[[#This Row],[Etat]]="xc",O1150-TableauCB[[#This Row],[Débit]]+TableauCB[[#This Row],[Crédit]],O1150-TableauCB[[#This Row],[Débit]])</f>
        <v>-18381.7</v>
      </c>
      <c r="P1151" s="27">
        <f>IF(AND(ISBLANK(TableauCB[[#This Row],[Débit]]),ISBLANK(TableauCB[[#This Row],[Crédit]])),"",P1150+TableauCB[[#This Row],[Crédit]]-TableauCB[[#This Row],[Débit]])</f>
        <v>8966.3860000000059</v>
      </c>
      <c r="Q1151" s="26"/>
      <c r="R1151" s="25"/>
      <c r="S1151" s="25"/>
      <c r="T1151" s="24"/>
      <c r="U1151" s="24"/>
      <c r="V1151" s="9"/>
      <c r="W1151" s="2"/>
      <c r="X1151" s="9"/>
      <c r="Y1151" s="8"/>
      <c r="Z1151" s="7"/>
      <c r="AA1151" s="7"/>
      <c r="AB1151" s="6"/>
    </row>
    <row r="1152" spans="2:28" ht="14.1" customHeight="1">
      <c r="B1152" s="35" t="str">
        <f>IF(MONTH(F1151)&lt;&gt;MONTH(TableauCB[[#This Row],[Date d''éxigibilité]]),(TableauCB[[#This Row],[Date d''éxigibilité]]),"")</f>
        <v/>
      </c>
      <c r="C1152" s="11"/>
      <c r="D1152" s="11" t="s">
        <v>5</v>
      </c>
      <c r="E1152" s="11" t="s">
        <v>6</v>
      </c>
      <c r="F1152" s="34">
        <v>43038</v>
      </c>
      <c r="G1152"/>
      <c r="H1152"/>
      <c r="I1152" s="32"/>
      <c r="J1152"/>
      <c r="K1152" s="31"/>
      <c r="L1152" s="30">
        <v>291.3</v>
      </c>
      <c r="M1152" s="29"/>
      <c r="N1152" s="28">
        <f>IF(OR(TableauCB[[#This Row],[Etat]]="",TableauCB[[#This Row],[Etat]]="c"),IF(TableauCB[[#This Row],[Solde]]="","",N1151),N1151-TableauCB[[#This Row],[Débit]]+TableauCB[[#This Row],[Crédit]])</f>
        <v>6224.3360000000048</v>
      </c>
      <c r="O1152" s="27">
        <f>IF(TableauCB[[#This Row],[Etat]]="xc",O1151-TableauCB[[#This Row],[Débit]]+TableauCB[[#This Row],[Crédit]],O1151-TableauCB[[#This Row],[Débit]])</f>
        <v>-18673</v>
      </c>
      <c r="P1152" s="27">
        <f>IF(AND(ISBLANK(TableauCB[[#This Row],[Débit]]),ISBLANK(TableauCB[[#This Row],[Crédit]])),"",P1151+TableauCB[[#This Row],[Crédit]]-TableauCB[[#This Row],[Débit]])</f>
        <v>8675.0860000000066</v>
      </c>
      <c r="Q1152" s="26"/>
      <c r="R1152" s="25"/>
      <c r="S1152" s="25"/>
      <c r="T1152" s="24"/>
      <c r="U1152" s="24"/>
      <c r="V1152" s="9"/>
      <c r="W1152" s="2"/>
      <c r="X1152" s="9"/>
      <c r="Y1152" s="8"/>
      <c r="Z1152" s="7"/>
      <c r="AA1152" s="7"/>
      <c r="AB1152" s="6"/>
    </row>
    <row r="1153" spans="2:28" ht="14.1" customHeight="1">
      <c r="B1153" s="35">
        <f>IF(MONTH(F1152)&lt;&gt;MONTH(TableauCB[[#This Row],[Date d''éxigibilité]]),(TableauCB[[#This Row],[Date d''éxigibilité]]),"")</f>
        <v>43050</v>
      </c>
      <c r="C1153" s="11"/>
      <c r="D1153" s="11" t="s">
        <v>22</v>
      </c>
      <c r="E1153" s="11" t="s">
        <v>21</v>
      </c>
      <c r="F1153" s="34">
        <v>43050</v>
      </c>
      <c r="G1153"/>
      <c r="H1153"/>
      <c r="I1153" s="32"/>
      <c r="J1153"/>
      <c r="K1153" s="31"/>
      <c r="L1153" s="30">
        <v>22.4</v>
      </c>
      <c r="M1153" s="29"/>
      <c r="N1153" s="28">
        <f>IF(OR(TableauCB[[#This Row],[Etat]]="",TableauCB[[#This Row],[Etat]]="c"),IF(TableauCB[[#This Row],[Solde]]="","",N1152),N1152-TableauCB[[#This Row],[Débit]]+TableauCB[[#This Row],[Crédit]])</f>
        <v>6224.3360000000048</v>
      </c>
      <c r="O1153" s="27">
        <f>IF(TableauCB[[#This Row],[Etat]]="xc",O1152-TableauCB[[#This Row],[Débit]]+TableauCB[[#This Row],[Crédit]],O1152-TableauCB[[#This Row],[Débit]])</f>
        <v>-18695.400000000001</v>
      </c>
      <c r="P1153" s="27">
        <f>IF(AND(ISBLANK(TableauCB[[#This Row],[Débit]]),ISBLANK(TableauCB[[#This Row],[Crédit]])),"",P1152+TableauCB[[#This Row],[Crédit]]-TableauCB[[#This Row],[Débit]])</f>
        <v>8652.686000000007</v>
      </c>
      <c r="Q1153" s="26"/>
      <c r="R1153" s="25"/>
      <c r="S1153" s="25"/>
      <c r="T1153" s="24"/>
      <c r="U1153" s="24"/>
      <c r="V1153" s="9"/>
      <c r="W1153" s="2"/>
      <c r="X1153" s="9"/>
      <c r="Y1153" s="8"/>
      <c r="Z1153" s="7"/>
      <c r="AA1153" s="7"/>
      <c r="AB1153" s="6"/>
    </row>
    <row r="1154" spans="2:28" ht="14.1" customHeight="1">
      <c r="B1154" s="35" t="str">
        <f>IF(MONTH(F1153)&lt;&gt;MONTH(TableauCB[[#This Row],[Date d''éxigibilité]]),(TableauCB[[#This Row],[Date d''éxigibilité]]),"")</f>
        <v/>
      </c>
      <c r="C1154" s="11"/>
      <c r="D1154" s="11" t="s">
        <v>17</v>
      </c>
      <c r="E1154" s="11" t="s">
        <v>18</v>
      </c>
      <c r="F1154" s="34">
        <v>43060</v>
      </c>
      <c r="G1154"/>
      <c r="H1154"/>
      <c r="I1154" s="32"/>
      <c r="J1154"/>
      <c r="K1154" s="31"/>
      <c r="L1154" s="30">
        <v>45.6</v>
      </c>
      <c r="M1154" s="29"/>
      <c r="N1154" s="28">
        <f>IF(OR(TableauCB[[#This Row],[Etat]]="",TableauCB[[#This Row],[Etat]]="c"),IF(TableauCB[[#This Row],[Solde]]="","",N1153),N1153-TableauCB[[#This Row],[Débit]]+TableauCB[[#This Row],[Crédit]])</f>
        <v>6224.3360000000048</v>
      </c>
      <c r="O1154" s="27">
        <f>IF(TableauCB[[#This Row],[Etat]]="xc",O1153-TableauCB[[#This Row],[Débit]]+TableauCB[[#This Row],[Crédit]],O1153-TableauCB[[#This Row],[Débit]])</f>
        <v>-18741</v>
      </c>
      <c r="P1154" s="27">
        <f>IF(AND(ISBLANK(TableauCB[[#This Row],[Débit]]),ISBLANK(TableauCB[[#This Row],[Crédit]])),"",P1153+TableauCB[[#This Row],[Crédit]]-TableauCB[[#This Row],[Débit]])</f>
        <v>8607.0860000000066</v>
      </c>
      <c r="Q1154" s="26"/>
      <c r="R1154" s="4"/>
      <c r="S1154" s="4"/>
      <c r="T1154" s="24"/>
      <c r="U1154" s="24"/>
      <c r="V1154" s="9"/>
      <c r="W1154" s="2"/>
      <c r="X1154" s="9"/>
      <c r="Y1154" s="8"/>
      <c r="Z1154" s="7"/>
      <c r="AA1154" s="7"/>
      <c r="AB1154" s="6"/>
    </row>
    <row r="1155" spans="2:28" ht="14.1" customHeight="1">
      <c r="B1155" s="35" t="str">
        <f>IF(MONTH(F1154)&lt;&gt;MONTH(TableauCB[[#This Row],[Date d''éxigibilité]]),(TableauCB[[#This Row],[Date d''éxigibilité]]),"")</f>
        <v/>
      </c>
      <c r="C1155" s="11"/>
      <c r="D1155" s="11" t="s">
        <v>17</v>
      </c>
      <c r="E1155" s="11" t="s">
        <v>16</v>
      </c>
      <c r="F1155" s="34">
        <v>43065</v>
      </c>
      <c r="G1155"/>
      <c r="H1155"/>
      <c r="I1155" s="32"/>
      <c r="J1155"/>
      <c r="K1155" s="31"/>
      <c r="L1155" s="30">
        <v>3.59</v>
      </c>
      <c r="M1155" s="29"/>
      <c r="N1155" s="28">
        <f>IF(OR(TableauCB[[#This Row],[Etat]]="",TableauCB[[#This Row],[Etat]]="c"),IF(TableauCB[[#This Row],[Solde]]="","",N1154),N1154-TableauCB[[#This Row],[Débit]]+TableauCB[[#This Row],[Crédit]])</f>
        <v>6224.3360000000048</v>
      </c>
      <c r="O1155" s="27">
        <f>IF(TableauCB[[#This Row],[Etat]]="xc",O1154-TableauCB[[#This Row],[Débit]]+TableauCB[[#This Row],[Crédit]],O1154-TableauCB[[#This Row],[Débit]])</f>
        <v>-18744.59</v>
      </c>
      <c r="P1155" s="27">
        <f>IF(AND(ISBLANK(TableauCB[[#This Row],[Débit]]),ISBLANK(TableauCB[[#This Row],[Crédit]])),"",P1154+TableauCB[[#This Row],[Crédit]]-TableauCB[[#This Row],[Débit]])</f>
        <v>8603.4960000000065</v>
      </c>
      <c r="Q1155" s="26"/>
      <c r="R1155" s="4"/>
      <c r="S1155" s="4"/>
      <c r="T1155" s="24"/>
      <c r="U1155" s="24"/>
      <c r="V1155" s="9"/>
      <c r="W1155" s="2"/>
      <c r="X1155" s="9"/>
      <c r="Y1155" s="8"/>
      <c r="Z1155" s="7"/>
      <c r="AA1155" s="7"/>
      <c r="AB1155" s="6"/>
    </row>
    <row r="1156" spans="2:28" ht="14.1" customHeight="1">
      <c r="B1156" s="35" t="str">
        <f>IF(MONTH(F1155)&lt;&gt;MONTH(TableauCB[[#This Row],[Date d''éxigibilité]]),(TableauCB[[#This Row],[Date d''éxigibilité]]),"")</f>
        <v/>
      </c>
      <c r="C1156" s="11"/>
      <c r="D1156" s="11" t="s">
        <v>15</v>
      </c>
      <c r="E1156" s="11" t="s">
        <v>14</v>
      </c>
      <c r="F1156" s="34">
        <v>43069</v>
      </c>
      <c r="G1156"/>
      <c r="H1156"/>
      <c r="I1156" s="32"/>
      <c r="J1156"/>
      <c r="K1156" s="31"/>
      <c r="L1156" s="30">
        <v>210</v>
      </c>
      <c r="M1156" s="29"/>
      <c r="N1156" s="28">
        <f>IF(OR(TableauCB[[#This Row],[Etat]]="",TableauCB[[#This Row],[Etat]]="c"),IF(TableauCB[[#This Row],[Solde]]="","",N1155),N1155-TableauCB[[#This Row],[Débit]]+TableauCB[[#This Row],[Crédit]])</f>
        <v>6224.3360000000048</v>
      </c>
      <c r="O1156" s="27">
        <f>IF(TableauCB[[#This Row],[Etat]]="xc",O1155-TableauCB[[#This Row],[Débit]]+TableauCB[[#This Row],[Crédit]],O1155-TableauCB[[#This Row],[Débit]])</f>
        <v>-18954.59</v>
      </c>
      <c r="P1156" s="27">
        <f>IF(AND(ISBLANK(TableauCB[[#This Row],[Débit]]),ISBLANK(TableauCB[[#This Row],[Crédit]])),"",P1155+TableauCB[[#This Row],[Crédit]]-TableauCB[[#This Row],[Débit]])</f>
        <v>8393.4960000000065</v>
      </c>
      <c r="Q1156" s="26"/>
      <c r="R1156" s="4"/>
      <c r="S1156" s="4"/>
      <c r="T1156" s="24"/>
      <c r="U1156" s="24"/>
      <c r="V1156" s="9"/>
      <c r="W1156" s="2"/>
      <c r="X1156" s="9"/>
      <c r="Y1156" s="8"/>
      <c r="Z1156" s="7"/>
      <c r="AA1156" s="7"/>
      <c r="AB1156" s="6"/>
    </row>
    <row r="1157" spans="2:28" ht="14.1" customHeight="1">
      <c r="B1157" s="35" t="str">
        <f>IF(MONTH(F1156)&lt;&gt;MONTH(TableauCB[[#This Row],[Date d''éxigibilité]]),(TableauCB[[#This Row],[Date d''éxigibilité]]),"")</f>
        <v/>
      </c>
      <c r="C1157" s="11"/>
      <c r="D1157" s="11" t="s">
        <v>11</v>
      </c>
      <c r="E1157" s="11" t="s">
        <v>12</v>
      </c>
      <c r="F1157" s="34">
        <v>43069</v>
      </c>
      <c r="G1157"/>
      <c r="H1157"/>
      <c r="I1157" s="32"/>
      <c r="J1157"/>
      <c r="K1157" s="31"/>
      <c r="L1157" s="30"/>
      <c r="M1157" s="29">
        <v>180</v>
      </c>
      <c r="N1157" s="28">
        <f>IF(OR(TableauCB[[#This Row],[Etat]]="",TableauCB[[#This Row],[Etat]]="c"),IF(TableauCB[[#This Row],[Solde]]="","",N1156),N1156-TableauCB[[#This Row],[Débit]]+TableauCB[[#This Row],[Crédit]])</f>
        <v>6224.3360000000048</v>
      </c>
      <c r="O1157" s="27">
        <f>IF(TableauCB[[#This Row],[Etat]]="xc",O1156-TableauCB[[#This Row],[Débit]]+TableauCB[[#This Row],[Crédit]],O1156-TableauCB[[#This Row],[Débit]])</f>
        <v>-18954.59</v>
      </c>
      <c r="P1157" s="27">
        <f>IF(AND(ISBLANK(TableauCB[[#This Row],[Débit]]),ISBLANK(TableauCB[[#This Row],[Crédit]])),"",P1156+TableauCB[[#This Row],[Crédit]]-TableauCB[[#This Row],[Débit]])</f>
        <v>8573.4960000000065</v>
      </c>
      <c r="Q1157" s="26"/>
      <c r="R1157" s="4"/>
      <c r="S1157" s="4"/>
      <c r="T1157" s="24"/>
      <c r="U1157" s="24"/>
      <c r="V1157" s="9"/>
      <c r="W1157" s="2"/>
      <c r="X1157" s="9"/>
      <c r="Y1157" s="8"/>
      <c r="Z1157" s="7"/>
      <c r="AA1157" s="7"/>
      <c r="AB1157" s="6"/>
    </row>
    <row r="1158" spans="2:28" ht="14.1" customHeight="1">
      <c r="B1158" s="35" t="str">
        <f>IF(MONTH(F1157)&lt;&gt;MONTH(TableauCB[[#This Row],[Date d''éxigibilité]]),(TableauCB[[#This Row],[Date d''éxigibilité]]),"")</f>
        <v/>
      </c>
      <c r="C1158" s="11"/>
      <c r="D1158" s="11" t="s">
        <v>11</v>
      </c>
      <c r="E1158" s="11" t="s">
        <v>10</v>
      </c>
      <c r="F1158" s="34">
        <v>43069</v>
      </c>
      <c r="G1158"/>
      <c r="H1158"/>
      <c r="I1158" s="32"/>
      <c r="J1158"/>
      <c r="K1158" s="31"/>
      <c r="L1158" s="30"/>
      <c r="M1158" s="29">
        <v>504</v>
      </c>
      <c r="N1158" s="28">
        <f>IF(OR(TableauCB[[#This Row],[Etat]]="",TableauCB[[#This Row],[Etat]]="c"),IF(TableauCB[[#This Row],[Solde]]="","",N1157),N1157-TableauCB[[#This Row],[Débit]]+TableauCB[[#This Row],[Crédit]])</f>
        <v>6224.3360000000048</v>
      </c>
      <c r="O1158" s="27">
        <f>IF(TableauCB[[#This Row],[Etat]]="xc",O1157-TableauCB[[#This Row],[Débit]]+TableauCB[[#This Row],[Crédit]],O1157-TableauCB[[#This Row],[Débit]])</f>
        <v>-18954.59</v>
      </c>
      <c r="P1158" s="27">
        <f>IF(AND(ISBLANK(TableauCB[[#This Row],[Débit]]),ISBLANK(TableauCB[[#This Row],[Crédit]])),"",P1157+TableauCB[[#This Row],[Crédit]]-TableauCB[[#This Row],[Débit]])</f>
        <v>9077.4960000000065</v>
      </c>
      <c r="Q1158" s="26"/>
      <c r="R1158" s="36"/>
      <c r="S1158" s="36"/>
      <c r="T1158" s="24"/>
      <c r="U1158" s="24"/>
      <c r="V1158" s="9"/>
      <c r="W1158" s="2"/>
      <c r="X1158" s="9"/>
      <c r="Y1158" s="8"/>
      <c r="Z1158" s="7"/>
      <c r="AA1158" s="7"/>
      <c r="AB1158" s="6"/>
    </row>
    <row r="1159" spans="2:28" ht="14.1" customHeight="1">
      <c r="B1159" s="35" t="str">
        <f>IF(MONTH(F1158)&lt;&gt;MONTH(TableauCB[[#This Row],[Date d''éxigibilité]]),(TableauCB[[#This Row],[Date d''éxigibilité]]),"")</f>
        <v/>
      </c>
      <c r="C1159" s="11"/>
      <c r="D1159" s="11" t="s">
        <v>11</v>
      </c>
      <c r="E1159" s="11" t="s">
        <v>10</v>
      </c>
      <c r="F1159" s="34">
        <v>43069</v>
      </c>
      <c r="G1159"/>
      <c r="H1159"/>
      <c r="I1159" s="32"/>
      <c r="J1159"/>
      <c r="K1159" s="31"/>
      <c r="L1159" s="30"/>
      <c r="M1159" s="29">
        <v>108</v>
      </c>
      <c r="N1159" s="28">
        <f>IF(OR(TableauCB[[#This Row],[Etat]]="",TableauCB[[#This Row],[Etat]]="c"),IF(TableauCB[[#This Row],[Solde]]="","",N1158),N1158-TableauCB[[#This Row],[Débit]]+TableauCB[[#This Row],[Crédit]])</f>
        <v>6224.3360000000048</v>
      </c>
      <c r="O1159" s="27">
        <f>IF(TableauCB[[#This Row],[Etat]]="xc",O1158-TableauCB[[#This Row],[Débit]]+TableauCB[[#This Row],[Crédit]],O1158-TableauCB[[#This Row],[Débit]])</f>
        <v>-18954.59</v>
      </c>
      <c r="P1159" s="27">
        <f>IF(AND(ISBLANK(TableauCB[[#This Row],[Débit]]),ISBLANK(TableauCB[[#This Row],[Crédit]])),"",P1158+TableauCB[[#This Row],[Crédit]]-TableauCB[[#This Row],[Débit]])</f>
        <v>9185.4960000000065</v>
      </c>
      <c r="Q1159" s="26"/>
      <c r="R1159" s="25"/>
      <c r="S1159" s="25"/>
      <c r="T1159" s="24"/>
      <c r="U1159" s="24"/>
      <c r="V1159" s="9"/>
      <c r="W1159" s="2"/>
      <c r="X1159" s="9"/>
      <c r="Y1159" s="8"/>
      <c r="Z1159" s="7"/>
      <c r="AA1159" s="7"/>
      <c r="AB1159" s="6"/>
    </row>
    <row r="1160" spans="2:28" ht="14.1" customHeight="1">
      <c r="B1160" s="35" t="str">
        <f>IF(MONTH(F1159)&lt;&gt;MONTH(TableauCB[[#This Row],[Date d''éxigibilité]]),(TableauCB[[#This Row],[Date d''éxigibilité]]),"")</f>
        <v/>
      </c>
      <c r="C1160" s="11"/>
      <c r="D1160" s="11" t="s">
        <v>11</v>
      </c>
      <c r="E1160" s="11" t="s">
        <v>10</v>
      </c>
      <c r="F1160" s="34">
        <v>43069</v>
      </c>
      <c r="G1160"/>
      <c r="H1160"/>
      <c r="I1160" s="32"/>
      <c r="J1160"/>
      <c r="K1160" s="31"/>
      <c r="L1160" s="30"/>
      <c r="M1160" s="29">
        <v>198</v>
      </c>
      <c r="N1160" s="28">
        <f>IF(OR(TableauCB[[#This Row],[Etat]]="",TableauCB[[#This Row],[Etat]]="c"),IF(TableauCB[[#This Row],[Solde]]="","",N1159),N1159-TableauCB[[#This Row],[Débit]]+TableauCB[[#This Row],[Crédit]])</f>
        <v>6224.3360000000048</v>
      </c>
      <c r="O1160" s="27">
        <f>IF(TableauCB[[#This Row],[Etat]]="xc",O1159-TableauCB[[#This Row],[Débit]]+TableauCB[[#This Row],[Crédit]],O1159-TableauCB[[#This Row],[Débit]])</f>
        <v>-18954.59</v>
      </c>
      <c r="P1160" s="27">
        <f>IF(AND(ISBLANK(TableauCB[[#This Row],[Débit]]),ISBLANK(TableauCB[[#This Row],[Crédit]])),"",P1159+TableauCB[[#This Row],[Crédit]]-TableauCB[[#This Row],[Débit]])</f>
        <v>9383.4960000000065</v>
      </c>
      <c r="Q1160" s="26"/>
      <c r="R1160" s="25"/>
      <c r="S1160" s="25"/>
      <c r="T1160" s="24"/>
      <c r="U1160" s="24"/>
      <c r="V1160" s="9"/>
      <c r="W1160" s="2"/>
      <c r="X1160" s="9"/>
      <c r="Y1160" s="8"/>
      <c r="Z1160" s="7"/>
      <c r="AA1160" s="7"/>
      <c r="AB1160" s="6"/>
    </row>
    <row r="1161" spans="2:28" ht="14.1" customHeight="1">
      <c r="B1161" s="35" t="str">
        <f>IF(MONTH(F1160)&lt;&gt;MONTH(TableauCB[[#This Row],[Date d''éxigibilité]]),(TableauCB[[#This Row],[Date d''éxigibilité]]),"")</f>
        <v/>
      </c>
      <c r="C1161" s="11"/>
      <c r="D1161" s="11" t="s">
        <v>11</v>
      </c>
      <c r="E1161" s="11" t="s">
        <v>10</v>
      </c>
      <c r="F1161" s="34">
        <v>43069</v>
      </c>
      <c r="G1161"/>
      <c r="H1161"/>
      <c r="I1161" s="32"/>
      <c r="J1161"/>
      <c r="K1161" s="31"/>
      <c r="L1161" s="30"/>
      <c r="M1161" s="29">
        <v>151.80000000000001</v>
      </c>
      <c r="N1161" s="28">
        <f>IF(OR(TableauCB[[#This Row],[Etat]]="",TableauCB[[#This Row],[Etat]]="c"),IF(TableauCB[[#This Row],[Solde]]="","",N1160),N1160-TableauCB[[#This Row],[Débit]]+TableauCB[[#This Row],[Crédit]])</f>
        <v>6224.3360000000048</v>
      </c>
      <c r="O1161" s="27">
        <f>IF(TableauCB[[#This Row],[Etat]]="xc",O1160-TableauCB[[#This Row],[Débit]]+TableauCB[[#This Row],[Crédit]],O1160-TableauCB[[#This Row],[Débit]])</f>
        <v>-18954.59</v>
      </c>
      <c r="P1161" s="27">
        <f>IF(AND(ISBLANK(TableauCB[[#This Row],[Débit]]),ISBLANK(TableauCB[[#This Row],[Crédit]])),"",P1160+TableauCB[[#This Row],[Crédit]]-TableauCB[[#This Row],[Débit]])</f>
        <v>9535.2960000000057</v>
      </c>
      <c r="Q1161" s="26"/>
      <c r="R1161" s="25"/>
      <c r="S1161" s="25"/>
      <c r="T1161" s="24"/>
      <c r="U1161" s="24"/>
      <c r="V1161" s="9"/>
      <c r="W1161" s="2"/>
      <c r="X1161" s="9"/>
      <c r="Y1161" s="8"/>
      <c r="Z1161" s="7"/>
      <c r="AA1161" s="7"/>
      <c r="AB1161" s="6"/>
    </row>
    <row r="1162" spans="2:28" ht="14.1" customHeight="1">
      <c r="B1162" s="35" t="str">
        <f>IF(MONTH(F1161)&lt;&gt;MONTH(TableauCB[[#This Row],[Date d''éxigibilité]]),(TableauCB[[#This Row],[Date d''éxigibilité]]),"")</f>
        <v/>
      </c>
      <c r="C1162" s="11"/>
      <c r="D1162" s="11" t="s">
        <v>11</v>
      </c>
      <c r="E1162" s="11" t="s">
        <v>12</v>
      </c>
      <c r="F1162" s="34">
        <v>43069</v>
      </c>
      <c r="G1162"/>
      <c r="H1162"/>
      <c r="I1162" s="32"/>
      <c r="J1162"/>
      <c r="K1162" s="31"/>
      <c r="L1162" s="30"/>
      <c r="M1162" s="29">
        <v>522</v>
      </c>
      <c r="N1162" s="28">
        <f>IF(OR(TableauCB[[#This Row],[Etat]]="",TableauCB[[#This Row],[Etat]]="c"),IF(TableauCB[[#This Row],[Solde]]="","",N1161),N1161-TableauCB[[#This Row],[Débit]]+TableauCB[[#This Row],[Crédit]])</f>
        <v>6224.3360000000048</v>
      </c>
      <c r="O1162" s="27">
        <f>IF(TableauCB[[#This Row],[Etat]]="xc",O1161-TableauCB[[#This Row],[Débit]]+TableauCB[[#This Row],[Crédit]],O1161-TableauCB[[#This Row],[Débit]])</f>
        <v>-18954.59</v>
      </c>
      <c r="P1162" s="27">
        <f>IF(AND(ISBLANK(TableauCB[[#This Row],[Débit]]),ISBLANK(TableauCB[[#This Row],[Crédit]])),"",P1161+TableauCB[[#This Row],[Crédit]]-TableauCB[[#This Row],[Débit]])</f>
        <v>10057.296000000006</v>
      </c>
      <c r="Q1162" s="26"/>
      <c r="R1162" s="4"/>
      <c r="S1162" s="4"/>
      <c r="T1162" s="24"/>
      <c r="U1162" s="24"/>
      <c r="V1162" s="9"/>
      <c r="W1162" s="2"/>
      <c r="X1162" s="9"/>
      <c r="Y1162" s="8"/>
      <c r="Z1162" s="7"/>
      <c r="AA1162" s="7"/>
      <c r="AB1162" s="6"/>
    </row>
    <row r="1163" spans="2:28" ht="14.1" customHeight="1">
      <c r="B1163" s="35" t="str">
        <f>IF(MONTH(F1162)&lt;&gt;MONTH(TableauCB[[#This Row],[Date d''éxigibilité]]),(TableauCB[[#This Row],[Date d''éxigibilité]]),"")</f>
        <v/>
      </c>
      <c r="C1163" s="11"/>
      <c r="D1163" s="11" t="s">
        <v>11</v>
      </c>
      <c r="E1163" s="11" t="s">
        <v>10</v>
      </c>
      <c r="F1163" s="34">
        <v>43069</v>
      </c>
      <c r="G1163"/>
      <c r="H1163"/>
      <c r="I1163" s="32"/>
      <c r="J1163"/>
      <c r="K1163" s="31"/>
      <c r="L1163" s="30"/>
      <c r="M1163" s="29">
        <v>192</v>
      </c>
      <c r="N1163" s="28">
        <f>IF(OR(TableauCB[[#This Row],[Etat]]="",TableauCB[[#This Row],[Etat]]="c"),IF(TableauCB[[#This Row],[Solde]]="","",N1162),N1162-TableauCB[[#This Row],[Débit]]+TableauCB[[#This Row],[Crédit]])</f>
        <v>6224.3360000000048</v>
      </c>
      <c r="O1163" s="27">
        <f>IF(TableauCB[[#This Row],[Etat]]="xc",O1162-TableauCB[[#This Row],[Débit]]+TableauCB[[#This Row],[Crédit]],O1162-TableauCB[[#This Row],[Débit]])</f>
        <v>-18954.59</v>
      </c>
      <c r="P1163" s="27">
        <f>IF(AND(ISBLANK(TableauCB[[#This Row],[Débit]]),ISBLANK(TableauCB[[#This Row],[Crédit]])),"",P1162+TableauCB[[#This Row],[Crédit]]-TableauCB[[#This Row],[Débit]])</f>
        <v>10249.296000000006</v>
      </c>
      <c r="Q1163" s="26"/>
      <c r="R1163" s="4"/>
      <c r="S1163" s="4"/>
      <c r="T1163" s="24"/>
      <c r="U1163" s="24"/>
      <c r="V1163" s="9"/>
      <c r="W1163" s="2"/>
      <c r="X1163" s="9"/>
      <c r="Y1163" s="8"/>
      <c r="Z1163" s="7"/>
      <c r="AA1163" s="7"/>
      <c r="AB1163" s="6"/>
    </row>
    <row r="1164" spans="2:28" ht="14.1" customHeight="1">
      <c r="B1164" s="35" t="str">
        <f>IF(MONTH(F1163)&lt;&gt;MONTH(TableauCB[[#This Row],[Date d''éxigibilité]]),(TableauCB[[#This Row],[Date d''éxigibilité]]),"")</f>
        <v/>
      </c>
      <c r="C1164" s="11"/>
      <c r="D1164" s="11" t="s">
        <v>11</v>
      </c>
      <c r="E1164" s="11" t="s">
        <v>10</v>
      </c>
      <c r="F1164" s="34">
        <v>43069</v>
      </c>
      <c r="G1164"/>
      <c r="H1164"/>
      <c r="I1164" s="32"/>
      <c r="J1164"/>
      <c r="K1164" s="31"/>
      <c r="L1164" s="30"/>
      <c r="M1164" s="29">
        <v>624</v>
      </c>
      <c r="N1164" s="28">
        <f>IF(OR(TableauCB[[#This Row],[Etat]]="",TableauCB[[#This Row],[Etat]]="c"),IF(TableauCB[[#This Row],[Solde]]="","",N1163),N1163-TableauCB[[#This Row],[Débit]]+TableauCB[[#This Row],[Crédit]])</f>
        <v>6224.3360000000048</v>
      </c>
      <c r="O1164" s="27">
        <f>IF(TableauCB[[#This Row],[Etat]]="xc",O1163-TableauCB[[#This Row],[Débit]]+TableauCB[[#This Row],[Crédit]],O1163-TableauCB[[#This Row],[Débit]])</f>
        <v>-18954.59</v>
      </c>
      <c r="P1164" s="27">
        <f>IF(AND(ISBLANK(TableauCB[[#This Row],[Débit]]),ISBLANK(TableauCB[[#This Row],[Crédit]])),"",P1163+TableauCB[[#This Row],[Crédit]]-TableauCB[[#This Row],[Débit]])</f>
        <v>10873.296000000006</v>
      </c>
      <c r="Q1164" s="26"/>
      <c r="R1164" s="4"/>
      <c r="S1164" s="4"/>
      <c r="T1164" s="24"/>
      <c r="U1164" s="24"/>
      <c r="V1164" s="9"/>
      <c r="W1164" s="2"/>
      <c r="X1164" s="9"/>
      <c r="Y1164" s="8"/>
      <c r="Z1164" s="7"/>
      <c r="AA1164" s="7"/>
      <c r="AB1164" s="6"/>
    </row>
    <row r="1165" spans="2:28" ht="14.1" customHeight="1">
      <c r="B1165" s="35" t="str">
        <f>IF(MONTH(F1164)&lt;&gt;MONTH(TableauCB[[#This Row],[Date d''éxigibilité]]),(TableauCB[[#This Row],[Date d''éxigibilité]]),"")</f>
        <v/>
      </c>
      <c r="C1165" s="11"/>
      <c r="D1165" s="11" t="s">
        <v>11</v>
      </c>
      <c r="E1165" s="11" t="s">
        <v>12</v>
      </c>
      <c r="F1165" s="34">
        <v>43069</v>
      </c>
      <c r="G1165"/>
      <c r="H1165"/>
      <c r="I1165" s="32"/>
      <c r="J1165"/>
      <c r="K1165" s="31"/>
      <c r="L1165" s="30"/>
      <c r="M1165" s="29">
        <v>117.5</v>
      </c>
      <c r="N1165" s="28">
        <f>IF(OR(TableauCB[[#This Row],[Etat]]="",TableauCB[[#This Row],[Etat]]="c"),IF(TableauCB[[#This Row],[Solde]]="","",N1164),N1164-TableauCB[[#This Row],[Débit]]+TableauCB[[#This Row],[Crédit]])</f>
        <v>6224.3360000000048</v>
      </c>
      <c r="O1165" s="27">
        <f>IF(TableauCB[[#This Row],[Etat]]="xc",O1164-TableauCB[[#This Row],[Débit]]+TableauCB[[#This Row],[Crédit]],O1164-TableauCB[[#This Row],[Débit]])</f>
        <v>-18954.59</v>
      </c>
      <c r="P1165" s="27">
        <f>IF(AND(ISBLANK(TableauCB[[#This Row],[Débit]]),ISBLANK(TableauCB[[#This Row],[Crédit]])),"",P1164+TableauCB[[#This Row],[Crédit]]-TableauCB[[#This Row],[Débit]])</f>
        <v>10990.796000000006</v>
      </c>
      <c r="Q1165" s="26"/>
      <c r="R1165" s="4"/>
      <c r="S1165" s="4"/>
      <c r="T1165" s="24"/>
      <c r="U1165" s="24"/>
      <c r="V1165" s="9"/>
      <c r="W1165" s="2"/>
      <c r="X1165" s="9"/>
      <c r="Y1165" s="8"/>
      <c r="Z1165" s="7"/>
      <c r="AA1165" s="7"/>
      <c r="AB1165" s="6"/>
    </row>
    <row r="1166" spans="2:28" ht="14.1" customHeight="1">
      <c r="B1166" s="35" t="str">
        <f>IF(MONTH(F1165)&lt;&gt;MONTH(TableauCB[[#This Row],[Date d''éxigibilité]]),(TableauCB[[#This Row],[Date d''éxigibilité]]),"")</f>
        <v/>
      </c>
      <c r="C1166" s="11"/>
      <c r="D1166" s="11" t="s">
        <v>11</v>
      </c>
      <c r="E1166" s="11" t="s">
        <v>10</v>
      </c>
      <c r="F1166" s="34">
        <v>43069</v>
      </c>
      <c r="G1166"/>
      <c r="H1166"/>
      <c r="I1166" s="32"/>
      <c r="J1166"/>
      <c r="K1166" s="31"/>
      <c r="L1166" s="30"/>
      <c r="M1166" s="29">
        <v>96</v>
      </c>
      <c r="N1166" s="28">
        <f>IF(OR(TableauCB[[#This Row],[Etat]]="",TableauCB[[#This Row],[Etat]]="c"),IF(TableauCB[[#This Row],[Solde]]="","",N1165),N1165-TableauCB[[#This Row],[Débit]]+TableauCB[[#This Row],[Crédit]])</f>
        <v>6224.3360000000048</v>
      </c>
      <c r="O1166" s="27">
        <f>IF(TableauCB[[#This Row],[Etat]]="xc",O1165-TableauCB[[#This Row],[Débit]]+TableauCB[[#This Row],[Crédit]],O1165-TableauCB[[#This Row],[Débit]])</f>
        <v>-18954.59</v>
      </c>
      <c r="P1166" s="27">
        <f>IF(AND(ISBLANK(TableauCB[[#This Row],[Débit]]),ISBLANK(TableauCB[[#This Row],[Crédit]])),"",P1165+TableauCB[[#This Row],[Crédit]]-TableauCB[[#This Row],[Débit]])</f>
        <v>11086.796000000006</v>
      </c>
      <c r="Q1166" s="26"/>
      <c r="R1166" s="4"/>
      <c r="S1166" s="4"/>
      <c r="T1166" s="24"/>
      <c r="U1166" s="24"/>
      <c r="V1166" s="9"/>
      <c r="W1166" s="2"/>
      <c r="X1166" s="9"/>
      <c r="Y1166" s="8"/>
      <c r="Z1166" s="7"/>
      <c r="AA1166" s="7"/>
      <c r="AB1166" s="6"/>
    </row>
    <row r="1167" spans="2:28" ht="14.1" customHeight="1">
      <c r="B1167" s="35" t="str">
        <f>IF(MONTH(F1166)&lt;&gt;MONTH(TableauCB[[#This Row],[Date d''éxigibilité]]),(TableauCB[[#This Row],[Date d''éxigibilité]]),"")</f>
        <v/>
      </c>
      <c r="C1167" s="11"/>
      <c r="D1167" s="11" t="s">
        <v>9</v>
      </c>
      <c r="E1167" s="11" t="s">
        <v>8</v>
      </c>
      <c r="F1167" s="34">
        <v>43069</v>
      </c>
      <c r="G1167"/>
      <c r="H1167"/>
      <c r="I1167" s="32"/>
      <c r="J1167"/>
      <c r="K1167" s="31"/>
      <c r="L1167" s="30">
        <v>240</v>
      </c>
      <c r="M1167" s="29"/>
      <c r="N1167" s="28">
        <f>IF(OR(TableauCB[[#This Row],[Etat]]="",TableauCB[[#This Row],[Etat]]="c"),IF(TableauCB[[#This Row],[Solde]]="","",N1166),N1166-TableauCB[[#This Row],[Débit]]+TableauCB[[#This Row],[Crédit]])</f>
        <v>6224.3360000000048</v>
      </c>
      <c r="O1167" s="27">
        <f>IF(TableauCB[[#This Row],[Etat]]="xc",O1166-TableauCB[[#This Row],[Débit]]+TableauCB[[#This Row],[Crédit]],O1166-TableauCB[[#This Row],[Débit]])</f>
        <v>-19194.59</v>
      </c>
      <c r="P1167" s="27">
        <f>IF(AND(ISBLANK(TableauCB[[#This Row],[Débit]]),ISBLANK(TableauCB[[#This Row],[Crédit]])),"",P1166+TableauCB[[#This Row],[Crédit]]-TableauCB[[#This Row],[Débit]])</f>
        <v>10846.796000000006</v>
      </c>
      <c r="Q1167" s="26"/>
      <c r="R1167" s="4"/>
      <c r="S1167" s="4"/>
      <c r="T1167" s="24"/>
      <c r="U1167" s="24"/>
      <c r="V1167" s="9"/>
      <c r="W1167" s="2"/>
      <c r="X1167" s="9"/>
      <c r="Y1167" s="8"/>
      <c r="Z1167" s="7"/>
      <c r="AA1167" s="7"/>
      <c r="AB1167" s="6"/>
    </row>
    <row r="1168" spans="2:28" ht="14.1" customHeight="1">
      <c r="B1168" s="35" t="str">
        <f>IF(MONTH(F1167)&lt;&gt;MONTH(TableauCB[[#This Row],[Date d''éxigibilité]]),(TableauCB[[#This Row],[Date d''éxigibilité]]),"")</f>
        <v/>
      </c>
      <c r="C1168" s="11"/>
      <c r="D1168" s="11" t="s">
        <v>5</v>
      </c>
      <c r="E1168" s="11" t="s">
        <v>7</v>
      </c>
      <c r="F1168" s="34">
        <v>43069</v>
      </c>
      <c r="G1168"/>
      <c r="H1168"/>
      <c r="I1168" s="32"/>
      <c r="J1168"/>
      <c r="K1168" s="31"/>
      <c r="L1168" s="30">
        <v>600</v>
      </c>
      <c r="M1168" s="29"/>
      <c r="N1168" s="28">
        <f>IF(OR(TableauCB[[#This Row],[Etat]]="",TableauCB[[#This Row],[Etat]]="c"),IF(TableauCB[[#This Row],[Solde]]="","",N1167),N1167-TableauCB[[#This Row],[Débit]]+TableauCB[[#This Row],[Crédit]])</f>
        <v>6224.3360000000048</v>
      </c>
      <c r="O1168" s="27">
        <f>IF(TableauCB[[#This Row],[Etat]]="xc",O1167-TableauCB[[#This Row],[Débit]]+TableauCB[[#This Row],[Crédit]],O1167-TableauCB[[#This Row],[Débit]])</f>
        <v>-19794.59</v>
      </c>
      <c r="P1168" s="27">
        <f>IF(AND(ISBLANK(TableauCB[[#This Row],[Débit]]),ISBLANK(TableauCB[[#This Row],[Crédit]])),"",P1167+TableauCB[[#This Row],[Crédit]]-TableauCB[[#This Row],[Débit]])</f>
        <v>10246.796000000006</v>
      </c>
      <c r="Q1168" s="26"/>
      <c r="R1168" s="25"/>
      <c r="S1168" s="25"/>
      <c r="T1168" s="24"/>
      <c r="U1168" s="24"/>
      <c r="V1168" s="9"/>
      <c r="W1168" s="2"/>
      <c r="X1168" s="9"/>
      <c r="Y1168" s="8"/>
      <c r="Z1168" s="7"/>
      <c r="AA1168" s="7"/>
      <c r="AB1168" s="6"/>
    </row>
    <row r="1169" spans="2:28" ht="14.1" customHeight="1">
      <c r="B1169" s="35" t="str">
        <f>IF(MONTH(F1168)&lt;&gt;MONTH(TableauCB[[#This Row],[Date d''éxigibilité]]),(TableauCB[[#This Row],[Date d''éxigibilité]]),"")</f>
        <v/>
      </c>
      <c r="C1169" s="11"/>
      <c r="D1169" s="11" t="s">
        <v>5</v>
      </c>
      <c r="E1169" s="11" t="s">
        <v>6</v>
      </c>
      <c r="F1169" s="34">
        <v>43069</v>
      </c>
      <c r="G1169"/>
      <c r="H1169"/>
      <c r="I1169" s="32"/>
      <c r="J1169"/>
      <c r="K1169" s="31"/>
      <c r="L1169" s="30">
        <v>291.3</v>
      </c>
      <c r="M1169" s="29"/>
      <c r="N1169" s="28">
        <f>IF(OR(TableauCB[[#This Row],[Etat]]="",TableauCB[[#This Row],[Etat]]="c"),IF(TableauCB[[#This Row],[Solde]]="","",N1168),N1168-TableauCB[[#This Row],[Débit]]+TableauCB[[#This Row],[Crédit]])</f>
        <v>6224.3360000000048</v>
      </c>
      <c r="O1169" s="27">
        <f>IF(TableauCB[[#This Row],[Etat]]="xc",O1168-TableauCB[[#This Row],[Débit]]+TableauCB[[#This Row],[Crédit]],O1168-TableauCB[[#This Row],[Débit]])</f>
        <v>-20085.89</v>
      </c>
      <c r="P1169" s="27">
        <f>IF(AND(ISBLANK(TableauCB[[#This Row],[Débit]]),ISBLANK(TableauCB[[#This Row],[Crédit]])),"",P1168+TableauCB[[#This Row],[Crédit]]-TableauCB[[#This Row],[Débit]])</f>
        <v>9955.4960000000065</v>
      </c>
      <c r="Q1169" s="26"/>
      <c r="R1169" s="25"/>
      <c r="S1169" s="25"/>
      <c r="T1169" s="24"/>
      <c r="U1169" s="24"/>
      <c r="V1169" s="9"/>
      <c r="W1169" s="2"/>
      <c r="X1169" s="9"/>
      <c r="Y1169" s="8"/>
      <c r="Z1169" s="7"/>
      <c r="AA1169" s="7"/>
      <c r="AB1169" s="6"/>
    </row>
    <row r="1170" spans="2:28" ht="14.1" customHeight="1">
      <c r="B1170" s="35">
        <f>IF(MONTH(F1169)&lt;&gt;MONTH(TableauCB[[#This Row],[Date d''éxigibilité]]),(TableauCB[[#This Row],[Date d''éxigibilité]]),"")</f>
        <v>43077</v>
      </c>
      <c r="C1170" s="11"/>
      <c r="D1170" s="11" t="s">
        <v>15</v>
      </c>
      <c r="E1170" s="11" t="s">
        <v>23</v>
      </c>
      <c r="F1170" s="34">
        <v>43077</v>
      </c>
      <c r="G1170"/>
      <c r="H1170"/>
      <c r="I1170" s="32"/>
      <c r="J1170"/>
      <c r="K1170" s="31"/>
      <c r="L1170" s="30">
        <v>1469</v>
      </c>
      <c r="M1170" s="29"/>
      <c r="N1170" s="28">
        <f>IF(OR(TableauCB[[#This Row],[Etat]]="",TableauCB[[#This Row],[Etat]]="c"),IF(TableauCB[[#This Row],[Solde]]="","",N1169),N1169-TableauCB[[#This Row],[Débit]]+TableauCB[[#This Row],[Crédit]])</f>
        <v>6224.3360000000048</v>
      </c>
      <c r="O1170" s="27">
        <f>IF(TableauCB[[#This Row],[Etat]]="xc",O1169-TableauCB[[#This Row],[Débit]]+TableauCB[[#This Row],[Crédit]],O1169-TableauCB[[#This Row],[Débit]])</f>
        <v>-21554.89</v>
      </c>
      <c r="P1170" s="27">
        <f>IF(AND(ISBLANK(TableauCB[[#This Row],[Débit]]),ISBLANK(TableauCB[[#This Row],[Crédit]])),"",P1169+TableauCB[[#This Row],[Crédit]]-TableauCB[[#This Row],[Débit]])</f>
        <v>8486.4960000000065</v>
      </c>
      <c r="Q1170" s="26"/>
      <c r="R1170" s="25"/>
      <c r="S1170" s="25"/>
      <c r="T1170" s="24"/>
      <c r="U1170" s="24"/>
      <c r="V1170" s="9"/>
      <c r="W1170" s="2"/>
      <c r="X1170" s="9"/>
      <c r="Y1170" s="8"/>
      <c r="Z1170" s="7"/>
      <c r="AA1170" s="7"/>
      <c r="AB1170" s="6"/>
    </row>
    <row r="1171" spans="2:28" ht="14.1" customHeight="1">
      <c r="B1171" s="35" t="str">
        <f>IF(MONTH(F1170)&lt;&gt;MONTH(TableauCB[[#This Row],[Date d''éxigibilité]]),(TableauCB[[#This Row],[Date d''éxigibilité]]),"")</f>
        <v/>
      </c>
      <c r="C1171" s="11"/>
      <c r="D1171" s="11" t="s">
        <v>22</v>
      </c>
      <c r="E1171" s="11" t="s">
        <v>21</v>
      </c>
      <c r="F1171" s="34">
        <v>43081</v>
      </c>
      <c r="G1171"/>
      <c r="H1171"/>
      <c r="I1171" s="32"/>
      <c r="J1171"/>
      <c r="K1171" s="31"/>
      <c r="L1171" s="30">
        <v>22.4</v>
      </c>
      <c r="M1171" s="29"/>
      <c r="N1171" s="28">
        <f>IF(OR(TableauCB[[#This Row],[Etat]]="",TableauCB[[#This Row],[Etat]]="c"),IF(TableauCB[[#This Row],[Solde]]="","",N1170),N1170-TableauCB[[#This Row],[Débit]]+TableauCB[[#This Row],[Crédit]])</f>
        <v>6224.3360000000048</v>
      </c>
      <c r="O1171" s="27">
        <f>IF(TableauCB[[#This Row],[Etat]]="xc",O1170-TableauCB[[#This Row],[Débit]]+TableauCB[[#This Row],[Crédit]],O1170-TableauCB[[#This Row],[Débit]])</f>
        <v>-21577.29</v>
      </c>
      <c r="P1171" s="27">
        <f>IF(AND(ISBLANK(TableauCB[[#This Row],[Débit]]),ISBLANK(TableauCB[[#This Row],[Crédit]])),"",P1170+TableauCB[[#This Row],[Crédit]]-TableauCB[[#This Row],[Débit]])</f>
        <v>8464.0960000000068</v>
      </c>
      <c r="Q1171" s="26"/>
      <c r="R1171" s="25"/>
      <c r="S1171" s="25"/>
      <c r="T1171" s="24"/>
      <c r="U1171" s="24"/>
      <c r="V1171" s="9"/>
      <c r="W1171" s="2"/>
      <c r="X1171" s="9"/>
      <c r="Y1171" s="8"/>
      <c r="Z1171" s="7"/>
      <c r="AA1171" s="7"/>
      <c r="AB1171" s="6"/>
    </row>
    <row r="1172" spans="2:28" ht="14.1" customHeight="1">
      <c r="B1172" s="35" t="str">
        <f>IF(MONTH(F1171)&lt;&gt;MONTH(TableauCB[[#This Row],[Date d''éxigibilité]]),(TableauCB[[#This Row],[Date d''éxigibilité]]),"")</f>
        <v/>
      </c>
      <c r="C1172" s="11"/>
      <c r="D1172" s="11" t="s">
        <v>15</v>
      </c>
      <c r="E1172" s="11" t="s">
        <v>19</v>
      </c>
      <c r="F1172" s="34">
        <v>43084</v>
      </c>
      <c r="G1172"/>
      <c r="H1172"/>
      <c r="I1172" s="32"/>
      <c r="J1172"/>
      <c r="K1172" s="31"/>
      <c r="L1172" s="30">
        <v>100</v>
      </c>
      <c r="M1172" s="29"/>
      <c r="N1172" s="28">
        <f>IF(OR(TableauCB[[#This Row],[Etat]]="",TableauCB[[#This Row],[Etat]]="c"),IF(TableauCB[[#This Row],[Solde]]="","",N1171),N1171-TableauCB[[#This Row],[Débit]]+TableauCB[[#This Row],[Crédit]])</f>
        <v>6224.3360000000048</v>
      </c>
      <c r="O1172" s="27">
        <f>IF(TableauCB[[#This Row],[Etat]]="xc",O1171-TableauCB[[#This Row],[Débit]]+TableauCB[[#This Row],[Crédit]],O1171-TableauCB[[#This Row],[Débit]])</f>
        <v>-21677.29</v>
      </c>
      <c r="P1172" s="27">
        <f>IF(AND(ISBLANK(TableauCB[[#This Row],[Débit]]),ISBLANK(TableauCB[[#This Row],[Crédit]])),"",P1171+TableauCB[[#This Row],[Crédit]]-TableauCB[[#This Row],[Débit]])</f>
        <v>8364.0960000000068</v>
      </c>
      <c r="Q1172" s="26"/>
      <c r="R1172" s="36"/>
      <c r="S1172" s="36"/>
      <c r="T1172" s="24"/>
      <c r="U1172" s="24"/>
      <c r="V1172" s="9"/>
      <c r="W1172" s="2"/>
      <c r="X1172" s="9"/>
      <c r="Y1172" s="8"/>
      <c r="Z1172" s="7"/>
      <c r="AA1172" s="7"/>
      <c r="AB1172" s="6"/>
    </row>
    <row r="1173" spans="2:28" ht="14.1" customHeight="1">
      <c r="B1173" s="35" t="str">
        <f>IF(MONTH(F1172)&lt;&gt;MONTH(TableauCB[[#This Row],[Date d''éxigibilité]]),(TableauCB[[#This Row],[Date d''éxigibilité]]),"")</f>
        <v/>
      </c>
      <c r="C1173" s="11"/>
      <c r="D1173" s="11" t="s">
        <v>17</v>
      </c>
      <c r="E1173" s="11" t="s">
        <v>18</v>
      </c>
      <c r="F1173" s="34">
        <v>43090</v>
      </c>
      <c r="G1173"/>
      <c r="H1173"/>
      <c r="I1173" s="32"/>
      <c r="J1173"/>
      <c r="K1173" s="31"/>
      <c r="L1173" s="30">
        <v>45.6</v>
      </c>
      <c r="M1173" s="29"/>
      <c r="N1173" s="28">
        <f>IF(OR(TableauCB[[#This Row],[Etat]]="",TableauCB[[#This Row],[Etat]]="c"),IF(TableauCB[[#This Row],[Solde]]="","",N1172),N1172-TableauCB[[#This Row],[Débit]]+TableauCB[[#This Row],[Crédit]])</f>
        <v>6224.3360000000048</v>
      </c>
      <c r="O1173" s="27">
        <f>IF(TableauCB[[#This Row],[Etat]]="xc",O1172-TableauCB[[#This Row],[Débit]]+TableauCB[[#This Row],[Crédit]],O1172-TableauCB[[#This Row],[Débit]])</f>
        <v>-21722.89</v>
      </c>
      <c r="P1173" s="27">
        <f>IF(AND(ISBLANK(TableauCB[[#This Row],[Débit]]),ISBLANK(TableauCB[[#This Row],[Crédit]])),"",P1172+TableauCB[[#This Row],[Crédit]]-TableauCB[[#This Row],[Débit]])</f>
        <v>8318.4960000000065</v>
      </c>
      <c r="Q1173" s="26"/>
      <c r="R1173" s="25"/>
      <c r="S1173" s="25"/>
      <c r="T1173" s="24"/>
      <c r="U1173" s="24"/>
      <c r="V1173" s="9"/>
      <c r="W1173" s="2"/>
      <c r="X1173" s="9"/>
      <c r="Y1173" s="8"/>
      <c r="Z1173" s="7"/>
      <c r="AA1173" s="7"/>
      <c r="AB1173" s="6"/>
    </row>
    <row r="1174" spans="2:28" ht="14.1" customHeight="1">
      <c r="B1174" s="35" t="str">
        <f>IF(MONTH(F1173)&lt;&gt;MONTH(TableauCB[[#This Row],[Date d''éxigibilité]]),(TableauCB[[#This Row],[Date d''éxigibilité]]),"")</f>
        <v/>
      </c>
      <c r="C1174" s="11"/>
      <c r="D1174" s="11" t="s">
        <v>17</v>
      </c>
      <c r="E1174" s="11" t="s">
        <v>16</v>
      </c>
      <c r="F1174" s="34">
        <v>43095</v>
      </c>
      <c r="G1174"/>
      <c r="H1174"/>
      <c r="I1174" s="32"/>
      <c r="J1174"/>
      <c r="K1174" s="31"/>
      <c r="L1174" s="30">
        <v>3.59</v>
      </c>
      <c r="M1174" s="29"/>
      <c r="N1174" s="28">
        <f>IF(OR(TableauCB[[#This Row],[Etat]]="",TableauCB[[#This Row],[Etat]]="c"),IF(TableauCB[[#This Row],[Solde]]="","",N1173),N1173-TableauCB[[#This Row],[Débit]]+TableauCB[[#This Row],[Crédit]])</f>
        <v>6224.3360000000048</v>
      </c>
      <c r="O1174" s="27">
        <f>IF(TableauCB[[#This Row],[Etat]]="xc",O1173-TableauCB[[#This Row],[Débit]]+TableauCB[[#This Row],[Crédit]],O1173-TableauCB[[#This Row],[Débit]])</f>
        <v>-21726.48</v>
      </c>
      <c r="P1174" s="27">
        <f>IF(AND(ISBLANK(TableauCB[[#This Row],[Débit]]),ISBLANK(TableauCB[[#This Row],[Crédit]])),"",P1173+TableauCB[[#This Row],[Crédit]]-TableauCB[[#This Row],[Débit]])</f>
        <v>8314.9060000000063</v>
      </c>
      <c r="Q1174" s="26"/>
      <c r="R1174" s="25"/>
      <c r="S1174" s="25"/>
      <c r="T1174" s="24"/>
      <c r="U1174" s="24"/>
      <c r="V1174" s="9"/>
      <c r="W1174" s="2"/>
      <c r="X1174" s="9"/>
      <c r="Y1174" s="8"/>
      <c r="Z1174" s="7"/>
      <c r="AA1174" s="7"/>
      <c r="AB1174" s="6"/>
    </row>
    <row r="1175" spans="2:28" ht="14.1" customHeight="1">
      <c r="B1175" s="35" t="str">
        <f>IF(MONTH(F1174)&lt;&gt;MONTH(TableauCB[[#This Row],[Date d''éxigibilité]]),(TableauCB[[#This Row],[Date d''éxigibilité]]),"")</f>
        <v/>
      </c>
      <c r="C1175" s="11"/>
      <c r="D1175" s="11" t="s">
        <v>15</v>
      </c>
      <c r="E1175" s="11" t="s">
        <v>14</v>
      </c>
      <c r="F1175" s="34">
        <v>43099</v>
      </c>
      <c r="G1175"/>
      <c r="H1175"/>
      <c r="I1175" s="32"/>
      <c r="J1175"/>
      <c r="K1175" s="31"/>
      <c r="L1175" s="30">
        <v>210</v>
      </c>
      <c r="M1175" s="29"/>
      <c r="N1175" s="28">
        <f>IF(OR(TableauCB[[#This Row],[Etat]]="",TableauCB[[#This Row],[Etat]]="c"),IF(TableauCB[[#This Row],[Solde]]="","",N1174),N1174-TableauCB[[#This Row],[Débit]]+TableauCB[[#This Row],[Crédit]])</f>
        <v>6224.3360000000048</v>
      </c>
      <c r="O1175" s="27">
        <f>IF(TableauCB[[#This Row],[Etat]]="xc",O1174-TableauCB[[#This Row],[Débit]]+TableauCB[[#This Row],[Crédit]],O1174-TableauCB[[#This Row],[Débit]])</f>
        <v>-21936.48</v>
      </c>
      <c r="P1175" s="27">
        <f>IF(AND(ISBLANK(TableauCB[[#This Row],[Débit]]),ISBLANK(TableauCB[[#This Row],[Crédit]])),"",P1174+TableauCB[[#This Row],[Crédit]]-TableauCB[[#This Row],[Débit]])</f>
        <v>8104.9060000000063</v>
      </c>
      <c r="Q1175" s="26"/>
      <c r="R1175" s="25"/>
      <c r="S1175" s="25"/>
      <c r="T1175" s="24"/>
      <c r="U1175" s="24"/>
      <c r="V1175" s="9"/>
      <c r="W1175" s="2"/>
      <c r="X1175" s="9"/>
      <c r="Y1175" s="8"/>
      <c r="Z1175" s="7"/>
      <c r="AA1175" s="7"/>
      <c r="AB1175" s="6"/>
    </row>
    <row r="1176" spans="2:28" ht="14.1" customHeight="1">
      <c r="B1176" s="35" t="str">
        <f>IF(MONTH(F1175)&lt;&gt;MONTH(TableauCB[[#This Row],[Date d''éxigibilité]]),(TableauCB[[#This Row],[Date d''éxigibilité]]),"")</f>
        <v/>
      </c>
      <c r="C1176" s="11"/>
      <c r="D1176" s="11" t="s">
        <v>11</v>
      </c>
      <c r="E1176" s="11" t="s">
        <v>12</v>
      </c>
      <c r="F1176" s="34">
        <v>43099</v>
      </c>
      <c r="G1176"/>
      <c r="H1176"/>
      <c r="I1176" s="32"/>
      <c r="J1176"/>
      <c r="K1176" s="31"/>
      <c r="L1176" s="30"/>
      <c r="M1176" s="29">
        <v>180</v>
      </c>
      <c r="N1176" s="28">
        <f>IF(OR(TableauCB[[#This Row],[Etat]]="",TableauCB[[#This Row],[Etat]]="c"),IF(TableauCB[[#This Row],[Solde]]="","",N1175),N1175-TableauCB[[#This Row],[Débit]]+TableauCB[[#This Row],[Crédit]])</f>
        <v>6224.3360000000048</v>
      </c>
      <c r="O1176" s="27">
        <f>IF(TableauCB[[#This Row],[Etat]]="xc",O1175-TableauCB[[#This Row],[Débit]]+TableauCB[[#This Row],[Crédit]],O1175-TableauCB[[#This Row],[Débit]])</f>
        <v>-21936.48</v>
      </c>
      <c r="P1176" s="27">
        <f>IF(AND(ISBLANK(TableauCB[[#This Row],[Débit]]),ISBLANK(TableauCB[[#This Row],[Crédit]])),"",P1175+TableauCB[[#This Row],[Crédit]]-TableauCB[[#This Row],[Débit]])</f>
        <v>8284.9060000000063</v>
      </c>
      <c r="Q1176" s="26"/>
      <c r="R1176" s="4"/>
      <c r="S1176" s="4"/>
      <c r="T1176" s="24"/>
      <c r="U1176" s="24"/>
      <c r="V1176" s="9"/>
      <c r="W1176" s="2"/>
      <c r="X1176" s="9"/>
      <c r="Y1176" s="8"/>
      <c r="Z1176" s="7"/>
      <c r="AA1176" s="7"/>
      <c r="AB1176" s="6"/>
    </row>
    <row r="1177" spans="2:28" ht="14.1" customHeight="1">
      <c r="B1177" s="35" t="str">
        <f>IF(MONTH(F1176)&lt;&gt;MONTH(TableauCB[[#This Row],[Date d''éxigibilité]]),(TableauCB[[#This Row],[Date d''éxigibilité]]),"")</f>
        <v/>
      </c>
      <c r="C1177" s="11"/>
      <c r="D1177" s="11" t="s">
        <v>11</v>
      </c>
      <c r="E1177" s="11" t="s">
        <v>10</v>
      </c>
      <c r="F1177" s="34">
        <v>43099</v>
      </c>
      <c r="G1177"/>
      <c r="H1177"/>
      <c r="I1177" s="32"/>
      <c r="J1177"/>
      <c r="K1177" s="31"/>
      <c r="L1177" s="30"/>
      <c r="M1177" s="29">
        <v>504</v>
      </c>
      <c r="N1177" s="28">
        <f>IF(OR(TableauCB[[#This Row],[Etat]]="",TableauCB[[#This Row],[Etat]]="c"),IF(TableauCB[[#This Row],[Solde]]="","",N1176),N1176-TableauCB[[#This Row],[Débit]]+TableauCB[[#This Row],[Crédit]])</f>
        <v>6224.3360000000048</v>
      </c>
      <c r="O1177" s="27">
        <f>IF(TableauCB[[#This Row],[Etat]]="xc",O1176-TableauCB[[#This Row],[Débit]]+TableauCB[[#This Row],[Crédit]],O1176-TableauCB[[#This Row],[Débit]])</f>
        <v>-21936.48</v>
      </c>
      <c r="P1177" s="27">
        <f>IF(AND(ISBLANK(TableauCB[[#This Row],[Débit]]),ISBLANK(TableauCB[[#This Row],[Crédit]])),"",P1176+TableauCB[[#This Row],[Crédit]]-TableauCB[[#This Row],[Débit]])</f>
        <v>8788.9060000000063</v>
      </c>
      <c r="Q1177" s="26"/>
      <c r="R1177" s="4"/>
      <c r="S1177" s="4"/>
      <c r="T1177" s="24"/>
      <c r="U1177" s="24"/>
      <c r="V1177" s="9"/>
      <c r="W1177" s="2"/>
      <c r="X1177" s="9"/>
      <c r="Y1177" s="8"/>
      <c r="Z1177" s="7"/>
      <c r="AA1177" s="7"/>
      <c r="AB1177" s="6"/>
    </row>
    <row r="1178" spans="2:28" ht="14.1" customHeight="1">
      <c r="B1178" s="35" t="str">
        <f>IF(MONTH(F1177)&lt;&gt;MONTH(TableauCB[[#This Row],[Date d''éxigibilité]]),(TableauCB[[#This Row],[Date d''éxigibilité]]),"")</f>
        <v/>
      </c>
      <c r="C1178" s="11"/>
      <c r="D1178" s="11" t="s">
        <v>11</v>
      </c>
      <c r="E1178" s="11" t="s">
        <v>10</v>
      </c>
      <c r="F1178" s="34">
        <v>43099</v>
      </c>
      <c r="G1178"/>
      <c r="H1178"/>
      <c r="I1178" s="32"/>
      <c r="J1178"/>
      <c r="K1178" s="31"/>
      <c r="L1178" s="30"/>
      <c r="M1178" s="29">
        <v>108</v>
      </c>
      <c r="N1178" s="28">
        <f>IF(OR(TableauCB[[#This Row],[Etat]]="",TableauCB[[#This Row],[Etat]]="c"),IF(TableauCB[[#This Row],[Solde]]="","",N1177),N1177-TableauCB[[#This Row],[Débit]]+TableauCB[[#This Row],[Crédit]])</f>
        <v>6224.3360000000048</v>
      </c>
      <c r="O1178" s="27">
        <f>IF(TableauCB[[#This Row],[Etat]]="xc",O1177-TableauCB[[#This Row],[Débit]]+TableauCB[[#This Row],[Crédit]],O1177-TableauCB[[#This Row],[Débit]])</f>
        <v>-21936.48</v>
      </c>
      <c r="P1178" s="27">
        <f>IF(AND(ISBLANK(TableauCB[[#This Row],[Débit]]),ISBLANK(TableauCB[[#This Row],[Crédit]])),"",P1177+TableauCB[[#This Row],[Crédit]]-TableauCB[[#This Row],[Débit]])</f>
        <v>8896.9060000000063</v>
      </c>
      <c r="Q1178" s="26"/>
      <c r="R1178" s="4"/>
      <c r="S1178" s="4"/>
      <c r="T1178" s="24"/>
      <c r="U1178" s="24"/>
      <c r="V1178" s="9"/>
      <c r="W1178" s="2"/>
      <c r="X1178" s="9"/>
      <c r="Y1178" s="8"/>
      <c r="Z1178" s="7"/>
      <c r="AA1178" s="7"/>
      <c r="AB1178" s="6"/>
    </row>
    <row r="1179" spans="2:28" ht="14.1" customHeight="1">
      <c r="B1179" s="35" t="str">
        <f>IF(MONTH(F1178)&lt;&gt;MONTH(TableauCB[[#This Row],[Date d''éxigibilité]]),(TableauCB[[#This Row],[Date d''éxigibilité]]),"")</f>
        <v/>
      </c>
      <c r="C1179" s="11"/>
      <c r="D1179" s="11" t="s">
        <v>11</v>
      </c>
      <c r="E1179" s="11" t="s">
        <v>10</v>
      </c>
      <c r="F1179" s="34">
        <v>43099</v>
      </c>
      <c r="G1179"/>
      <c r="H1179"/>
      <c r="I1179" s="32"/>
      <c r="J1179"/>
      <c r="K1179" s="31"/>
      <c r="L1179" s="30"/>
      <c r="M1179" s="29">
        <v>198</v>
      </c>
      <c r="N1179" s="28">
        <f>IF(OR(TableauCB[[#This Row],[Etat]]="",TableauCB[[#This Row],[Etat]]="c"),IF(TableauCB[[#This Row],[Solde]]="","",N1178),N1178-TableauCB[[#This Row],[Débit]]+TableauCB[[#This Row],[Crédit]])</f>
        <v>6224.3360000000048</v>
      </c>
      <c r="O1179" s="27">
        <f>IF(TableauCB[[#This Row],[Etat]]="xc",O1178-TableauCB[[#This Row],[Débit]]+TableauCB[[#This Row],[Crédit]],O1178-TableauCB[[#This Row],[Débit]])</f>
        <v>-21936.48</v>
      </c>
      <c r="P1179" s="27">
        <f>IF(AND(ISBLANK(TableauCB[[#This Row],[Débit]]),ISBLANK(TableauCB[[#This Row],[Crédit]])),"",P1178+TableauCB[[#This Row],[Crédit]]-TableauCB[[#This Row],[Débit]])</f>
        <v>9094.9060000000063</v>
      </c>
      <c r="Q1179" s="26"/>
      <c r="R1179" s="4"/>
      <c r="S1179" s="4"/>
      <c r="T1179" s="24"/>
      <c r="U1179" s="24"/>
      <c r="V1179" s="9"/>
      <c r="W1179" s="2"/>
      <c r="X1179" s="9"/>
      <c r="Y1179" s="8"/>
      <c r="Z1179" s="7"/>
      <c r="AA1179" s="7"/>
      <c r="AB1179" s="6"/>
    </row>
    <row r="1180" spans="2:28" ht="14.1" customHeight="1">
      <c r="B1180" s="35" t="str">
        <f>IF(MONTH(F1179)&lt;&gt;MONTH(TableauCB[[#This Row],[Date d''éxigibilité]]),(TableauCB[[#This Row],[Date d''éxigibilité]]),"")</f>
        <v/>
      </c>
      <c r="C1180" s="11"/>
      <c r="D1180" s="11" t="s">
        <v>11</v>
      </c>
      <c r="E1180" s="11" t="s">
        <v>10</v>
      </c>
      <c r="F1180" s="34">
        <v>43099</v>
      </c>
      <c r="G1180"/>
      <c r="H1180"/>
      <c r="I1180" s="32"/>
      <c r="J1180"/>
      <c r="K1180" s="31"/>
      <c r="L1180" s="30"/>
      <c r="M1180" s="29">
        <v>151.80000000000001</v>
      </c>
      <c r="N1180" s="28">
        <f>IF(OR(TableauCB[[#This Row],[Etat]]="",TableauCB[[#This Row],[Etat]]="c"),IF(TableauCB[[#This Row],[Solde]]="","",N1179),N1179-TableauCB[[#This Row],[Débit]]+TableauCB[[#This Row],[Crédit]])</f>
        <v>6224.3360000000048</v>
      </c>
      <c r="O1180" s="27">
        <f>IF(TableauCB[[#This Row],[Etat]]="xc",O1179-TableauCB[[#This Row],[Débit]]+TableauCB[[#This Row],[Crédit]],O1179-TableauCB[[#This Row],[Débit]])</f>
        <v>-21936.48</v>
      </c>
      <c r="P1180" s="27">
        <f>IF(AND(ISBLANK(TableauCB[[#This Row],[Débit]]),ISBLANK(TableauCB[[#This Row],[Crédit]])),"",P1179+TableauCB[[#This Row],[Crédit]]-TableauCB[[#This Row],[Débit]])</f>
        <v>9246.7060000000056</v>
      </c>
      <c r="Q1180" s="26"/>
      <c r="R1180" s="4"/>
      <c r="S1180" s="4"/>
      <c r="T1180" s="24"/>
      <c r="U1180" s="24"/>
      <c r="V1180" s="9"/>
      <c r="W1180" s="2"/>
      <c r="X1180" s="9"/>
      <c r="Y1180" s="8"/>
      <c r="Z1180" s="7"/>
      <c r="AA1180" s="7"/>
      <c r="AB1180" s="6"/>
    </row>
    <row r="1181" spans="2:28" ht="14.1" customHeight="1">
      <c r="B1181" s="35" t="str">
        <f>IF(MONTH(F1180)&lt;&gt;MONTH(TableauCB[[#This Row],[Date d''éxigibilité]]),(TableauCB[[#This Row],[Date d''éxigibilité]]),"")</f>
        <v/>
      </c>
      <c r="C1181" s="11"/>
      <c r="D1181" s="11" t="s">
        <v>11</v>
      </c>
      <c r="E1181" s="11" t="s">
        <v>12</v>
      </c>
      <c r="F1181" s="34">
        <v>43099</v>
      </c>
      <c r="G1181"/>
      <c r="H1181"/>
      <c r="I1181" s="32"/>
      <c r="J1181"/>
      <c r="K1181" s="31"/>
      <c r="L1181" s="30"/>
      <c r="M1181" s="29">
        <v>522</v>
      </c>
      <c r="N1181" s="28">
        <f>IF(OR(TableauCB[[#This Row],[Etat]]="",TableauCB[[#This Row],[Etat]]="c"),IF(TableauCB[[#This Row],[Solde]]="","",N1180),N1180-TableauCB[[#This Row],[Débit]]+TableauCB[[#This Row],[Crédit]])</f>
        <v>6224.3360000000048</v>
      </c>
      <c r="O1181" s="27">
        <f>IF(TableauCB[[#This Row],[Etat]]="xc",O1180-TableauCB[[#This Row],[Débit]]+TableauCB[[#This Row],[Crédit]],O1180-TableauCB[[#This Row],[Débit]])</f>
        <v>-21936.48</v>
      </c>
      <c r="P1181" s="27">
        <f>IF(AND(ISBLANK(TableauCB[[#This Row],[Débit]]),ISBLANK(TableauCB[[#This Row],[Crédit]])),"",P1180+TableauCB[[#This Row],[Crédit]]-TableauCB[[#This Row],[Débit]])</f>
        <v>9768.7060000000056</v>
      </c>
      <c r="Q1181" s="26"/>
      <c r="R1181" s="4"/>
      <c r="S1181" s="4"/>
      <c r="T1181" s="24"/>
      <c r="U1181" s="24"/>
      <c r="V1181" s="9"/>
      <c r="W1181" s="2"/>
      <c r="X1181" s="9"/>
      <c r="Y1181" s="8"/>
      <c r="Z1181" s="7"/>
      <c r="AA1181" s="7"/>
      <c r="AB1181" s="6"/>
    </row>
    <row r="1182" spans="2:28" ht="14.1" customHeight="1">
      <c r="B1182" s="35" t="str">
        <f>IF(MONTH(F1181)&lt;&gt;MONTH(TableauCB[[#This Row],[Date d''éxigibilité]]),(TableauCB[[#This Row],[Date d''éxigibilité]]),"")</f>
        <v/>
      </c>
      <c r="C1182" s="11"/>
      <c r="D1182" s="11" t="s">
        <v>11</v>
      </c>
      <c r="E1182" s="11" t="s">
        <v>10</v>
      </c>
      <c r="F1182" s="34">
        <v>43099</v>
      </c>
      <c r="G1182"/>
      <c r="H1182"/>
      <c r="I1182" s="32"/>
      <c r="J1182"/>
      <c r="K1182" s="31"/>
      <c r="L1182" s="30"/>
      <c r="M1182" s="29">
        <v>192</v>
      </c>
      <c r="N1182" s="28">
        <f>IF(OR(TableauCB[[#This Row],[Etat]]="",TableauCB[[#This Row],[Etat]]="c"),IF(TableauCB[[#This Row],[Solde]]="","",N1181),N1181-TableauCB[[#This Row],[Débit]]+TableauCB[[#This Row],[Crédit]])</f>
        <v>6224.3360000000048</v>
      </c>
      <c r="O1182" s="27">
        <f>IF(TableauCB[[#This Row],[Etat]]="xc",O1181-TableauCB[[#This Row],[Débit]]+TableauCB[[#This Row],[Crédit]],O1181-TableauCB[[#This Row],[Débit]])</f>
        <v>-21936.48</v>
      </c>
      <c r="P1182" s="27">
        <f>IF(AND(ISBLANK(TableauCB[[#This Row],[Débit]]),ISBLANK(TableauCB[[#This Row],[Crédit]])),"",P1181+TableauCB[[#This Row],[Crédit]]-TableauCB[[#This Row],[Débit]])</f>
        <v>9960.7060000000056</v>
      </c>
      <c r="Q1182" s="26"/>
      <c r="R1182" s="4"/>
      <c r="S1182" s="4"/>
      <c r="T1182" s="24"/>
      <c r="U1182" s="24"/>
      <c r="V1182" s="9"/>
      <c r="W1182" s="2"/>
      <c r="X1182" s="9"/>
      <c r="Y1182" s="8"/>
      <c r="Z1182" s="7"/>
      <c r="AA1182" s="7"/>
      <c r="AB1182" s="6"/>
    </row>
    <row r="1183" spans="2:28" ht="14.1" customHeight="1">
      <c r="B1183" s="35" t="str">
        <f>IF(MONTH(F1182)&lt;&gt;MONTH(TableauCB[[#This Row],[Date d''éxigibilité]]),(TableauCB[[#This Row],[Date d''éxigibilité]]),"")</f>
        <v/>
      </c>
      <c r="C1183" s="11"/>
      <c r="D1183" s="11" t="s">
        <v>11</v>
      </c>
      <c r="E1183" s="11" t="s">
        <v>10</v>
      </c>
      <c r="F1183" s="34">
        <v>43099</v>
      </c>
      <c r="G1183"/>
      <c r="H1183"/>
      <c r="I1183" s="32"/>
      <c r="J1183"/>
      <c r="K1183" s="31"/>
      <c r="L1183" s="30"/>
      <c r="M1183" s="29">
        <v>624</v>
      </c>
      <c r="N1183" s="28">
        <f>IF(OR(TableauCB[[#This Row],[Etat]]="",TableauCB[[#This Row],[Etat]]="c"),IF(TableauCB[[#This Row],[Solde]]="","",N1182),N1182-TableauCB[[#This Row],[Débit]]+TableauCB[[#This Row],[Crédit]])</f>
        <v>6224.3360000000048</v>
      </c>
      <c r="O1183" s="27">
        <f>IF(TableauCB[[#This Row],[Etat]]="xc",O1182-TableauCB[[#This Row],[Débit]]+TableauCB[[#This Row],[Crédit]],O1182-TableauCB[[#This Row],[Débit]])</f>
        <v>-21936.48</v>
      </c>
      <c r="P1183" s="27">
        <f>IF(AND(ISBLANK(TableauCB[[#This Row],[Débit]]),ISBLANK(TableauCB[[#This Row],[Crédit]])),"",P1182+TableauCB[[#This Row],[Crédit]]-TableauCB[[#This Row],[Débit]])</f>
        <v>10584.706000000006</v>
      </c>
      <c r="Q1183" s="26"/>
      <c r="R1183" s="4"/>
      <c r="S1183" s="4"/>
      <c r="T1183" s="24"/>
      <c r="U1183" s="24"/>
      <c r="V1183" s="9"/>
      <c r="W1183" s="2"/>
      <c r="X1183" s="9"/>
      <c r="Y1183" s="8"/>
      <c r="Z1183" s="7"/>
      <c r="AA1183" s="7"/>
      <c r="AB1183" s="6"/>
    </row>
    <row r="1184" spans="2:28" ht="12" customHeight="1">
      <c r="B1184" s="35" t="str">
        <f>IF(MONTH(F1183)&lt;&gt;MONTH(TableauCB[[#This Row],[Date d''éxigibilité]]),(TableauCB[[#This Row],[Date d''éxigibilité]]),"")</f>
        <v/>
      </c>
      <c r="C1184" s="11"/>
      <c r="D1184" s="11" t="s">
        <v>11</v>
      </c>
      <c r="E1184" s="11" t="s">
        <v>12</v>
      </c>
      <c r="F1184" s="34">
        <v>43099</v>
      </c>
      <c r="G1184"/>
      <c r="H1184"/>
      <c r="I1184" s="32"/>
      <c r="J1184"/>
      <c r="K1184" s="31"/>
      <c r="L1184" s="30"/>
      <c r="M1184" s="29">
        <v>117.5</v>
      </c>
      <c r="N1184" s="28">
        <f>IF(OR(TableauCB[[#This Row],[Etat]]="",TableauCB[[#This Row],[Etat]]="c"),IF(TableauCB[[#This Row],[Solde]]="","",N1183),N1183-TableauCB[[#This Row],[Débit]]+TableauCB[[#This Row],[Crédit]])</f>
        <v>6224.3360000000048</v>
      </c>
      <c r="O1184" s="27">
        <f>IF(TableauCB[[#This Row],[Etat]]="xc",O1183-TableauCB[[#This Row],[Débit]]+TableauCB[[#This Row],[Crédit]],O1183-TableauCB[[#This Row],[Débit]])</f>
        <v>-21936.48</v>
      </c>
      <c r="P1184" s="27">
        <f>IF(AND(ISBLANK(TableauCB[[#This Row],[Débit]]),ISBLANK(TableauCB[[#This Row],[Crédit]])),"",P1183+TableauCB[[#This Row],[Crédit]]-TableauCB[[#This Row],[Débit]])</f>
        <v>10702.206000000006</v>
      </c>
      <c r="Q1184" s="26"/>
      <c r="R1184" s="25"/>
      <c r="S1184" s="25"/>
      <c r="T1184" s="24"/>
      <c r="U1184" s="24"/>
      <c r="V1184" s="9"/>
      <c r="W1184" s="2"/>
      <c r="X1184" s="9"/>
      <c r="Y1184" s="8"/>
      <c r="Z1184" s="7"/>
      <c r="AA1184" s="7"/>
      <c r="AB1184" s="6"/>
    </row>
    <row r="1185" spans="2:28" ht="14.1" customHeight="1">
      <c r="B1185" s="35" t="str">
        <f>IF(MONTH(F1184)&lt;&gt;MONTH(TableauCB[[#This Row],[Date d''éxigibilité]]),(TableauCB[[#This Row],[Date d''éxigibilité]]),"")</f>
        <v/>
      </c>
      <c r="C1185" s="11"/>
      <c r="D1185" s="11" t="s">
        <v>11</v>
      </c>
      <c r="E1185" s="11" t="s">
        <v>10</v>
      </c>
      <c r="F1185" s="34">
        <v>43099</v>
      </c>
      <c r="G1185"/>
      <c r="H1185"/>
      <c r="I1185" s="32"/>
      <c r="J1185"/>
      <c r="K1185" s="31"/>
      <c r="L1185" s="30"/>
      <c r="M1185" s="29">
        <v>96</v>
      </c>
      <c r="N1185" s="28">
        <f>IF(OR(TableauCB[[#This Row],[Etat]]="",TableauCB[[#This Row],[Etat]]="c"),IF(TableauCB[[#This Row],[Solde]]="","",N1184),N1184-TableauCB[[#This Row],[Débit]]+TableauCB[[#This Row],[Crédit]])</f>
        <v>6224.3360000000048</v>
      </c>
      <c r="O1185" s="27">
        <f>IF(TableauCB[[#This Row],[Etat]]="xc",O1184-TableauCB[[#This Row],[Débit]]+TableauCB[[#This Row],[Crédit]],O1184-TableauCB[[#This Row],[Débit]])</f>
        <v>-21936.48</v>
      </c>
      <c r="P1185" s="27">
        <f>IF(AND(ISBLANK(TableauCB[[#This Row],[Débit]]),ISBLANK(TableauCB[[#This Row],[Crédit]])),"",P1184+TableauCB[[#This Row],[Crédit]]-TableauCB[[#This Row],[Débit]])</f>
        <v>10798.206000000006</v>
      </c>
      <c r="Q1185" s="26"/>
      <c r="R1185" s="25"/>
      <c r="S1185" s="25"/>
      <c r="T1185" s="24"/>
      <c r="U1185" s="24"/>
      <c r="V1185" s="9"/>
      <c r="W1185" s="2"/>
      <c r="X1185" s="9"/>
      <c r="Y1185" s="8"/>
      <c r="Z1185" s="7"/>
      <c r="AA1185" s="7"/>
      <c r="AB1185" s="6"/>
    </row>
    <row r="1186" spans="2:28" ht="14.1" customHeight="1">
      <c r="B1186" s="35" t="str">
        <f>IF(MONTH(F1185)&lt;&gt;MONTH(TableauCB[[#This Row],[Date d''éxigibilité]]),(TableauCB[[#This Row],[Date d''éxigibilité]]),"")</f>
        <v/>
      </c>
      <c r="C1186" s="11"/>
      <c r="D1186" s="11" t="s">
        <v>9</v>
      </c>
      <c r="E1186" s="11" t="s">
        <v>8</v>
      </c>
      <c r="F1186" s="34">
        <v>43099</v>
      </c>
      <c r="G1186"/>
      <c r="H1186"/>
      <c r="I1186" s="32"/>
      <c r="J1186"/>
      <c r="K1186" s="31"/>
      <c r="L1186" s="30">
        <v>240</v>
      </c>
      <c r="M1186" s="29"/>
      <c r="N1186" s="28">
        <f>IF(OR(TableauCB[[#This Row],[Etat]]="",TableauCB[[#This Row],[Etat]]="c"),IF(TableauCB[[#This Row],[Solde]]="","",N1185),N1185-TableauCB[[#This Row],[Débit]]+TableauCB[[#This Row],[Crédit]])</f>
        <v>6224.3360000000048</v>
      </c>
      <c r="O1186" s="27">
        <f>IF(TableauCB[[#This Row],[Etat]]="xc",O1185-TableauCB[[#This Row],[Débit]]+TableauCB[[#This Row],[Crédit]],O1185-TableauCB[[#This Row],[Débit]])</f>
        <v>-22176.48</v>
      </c>
      <c r="P1186" s="27">
        <f>IF(AND(ISBLANK(TableauCB[[#This Row],[Débit]]),ISBLANK(TableauCB[[#This Row],[Crédit]])),"",P1185+TableauCB[[#This Row],[Crédit]]-TableauCB[[#This Row],[Débit]])</f>
        <v>10558.206000000006</v>
      </c>
      <c r="Q1186" s="26"/>
      <c r="R1186" s="4"/>
      <c r="S1186" s="4"/>
      <c r="T1186" s="37"/>
      <c r="U1186" s="37"/>
      <c r="V1186" s="9"/>
      <c r="W1186" s="2"/>
      <c r="X1186" s="9"/>
      <c r="Y1186" s="8"/>
      <c r="Z1186" s="7"/>
      <c r="AA1186" s="7"/>
      <c r="AB1186" s="6"/>
    </row>
    <row r="1187" spans="2:28" ht="14.1" customHeight="1">
      <c r="B1187" s="35" t="str">
        <f>IF(MONTH(F1186)&lt;&gt;MONTH(TableauCB[[#This Row],[Date d''éxigibilité]]),(TableauCB[[#This Row],[Date d''éxigibilité]]),"")</f>
        <v/>
      </c>
      <c r="C1187" s="11"/>
      <c r="D1187" s="11" t="s">
        <v>5</v>
      </c>
      <c r="E1187" s="11" t="s">
        <v>7</v>
      </c>
      <c r="F1187" s="34">
        <v>43099</v>
      </c>
      <c r="G1187"/>
      <c r="H1187"/>
      <c r="I1187" s="32"/>
      <c r="J1187"/>
      <c r="K1187" s="31"/>
      <c r="L1187" s="30">
        <v>650</v>
      </c>
      <c r="M1187" s="29"/>
      <c r="N1187" s="28">
        <f>IF(OR(TableauCB[[#This Row],[Etat]]="",TableauCB[[#This Row],[Etat]]="c"),IF(TableauCB[[#This Row],[Solde]]="","",N1186),N1186-TableauCB[[#This Row],[Débit]]+TableauCB[[#This Row],[Crédit]])</f>
        <v>6224.3360000000048</v>
      </c>
      <c r="O1187" s="27">
        <f>IF(TableauCB[[#This Row],[Etat]]="xc",O1186-TableauCB[[#This Row],[Débit]]+TableauCB[[#This Row],[Crédit]],O1186-TableauCB[[#This Row],[Débit]])</f>
        <v>-22826.48</v>
      </c>
      <c r="P1187" s="27">
        <f>IF(AND(ISBLANK(TableauCB[[#This Row],[Débit]]),ISBLANK(TableauCB[[#This Row],[Crédit]])),"",P1186+TableauCB[[#This Row],[Crédit]]-TableauCB[[#This Row],[Débit]])</f>
        <v>9908.2060000000056</v>
      </c>
      <c r="Q1187" s="26"/>
      <c r="R1187" s="36"/>
      <c r="S1187" s="36"/>
      <c r="T1187" s="36"/>
      <c r="U1187" s="36"/>
      <c r="V1187" s="9"/>
      <c r="W1187" s="2"/>
      <c r="X1187" s="9"/>
      <c r="Y1187" s="8"/>
      <c r="Z1187" s="7"/>
      <c r="AA1187" s="7"/>
      <c r="AB1187" s="6"/>
    </row>
    <row r="1188" spans="2:28" ht="14.1" customHeight="1">
      <c r="B1188" s="35" t="str">
        <f>IF(MONTH(F1187)&lt;&gt;MONTH(TableauCB[[#This Row],[Date d''éxigibilité]]),(TableauCB[[#This Row],[Date d''éxigibilité]]),"")</f>
        <v/>
      </c>
      <c r="C1188" s="11"/>
      <c r="D1188" s="11" t="s">
        <v>5</v>
      </c>
      <c r="E1188" s="11" t="s">
        <v>6</v>
      </c>
      <c r="F1188" s="34">
        <v>43099</v>
      </c>
      <c r="G1188"/>
      <c r="H1188"/>
      <c r="I1188" s="32"/>
      <c r="J1188"/>
      <c r="K1188" s="31"/>
      <c r="L1188" s="30">
        <v>291.3</v>
      </c>
      <c r="M1188" s="29"/>
      <c r="N1188" s="28">
        <f>IF(OR(TableauCB[[#This Row],[Etat]]="",TableauCB[[#This Row],[Etat]]="c"),IF(TableauCB[[#This Row],[Solde]]="","",N1187),N1187-TableauCB[[#This Row],[Débit]]+TableauCB[[#This Row],[Crédit]])</f>
        <v>6224.3360000000048</v>
      </c>
      <c r="O1188" s="27">
        <f>IF(TableauCB[[#This Row],[Etat]]="xc",O1187-TableauCB[[#This Row],[Débit]]+TableauCB[[#This Row],[Crédit]],O1187-TableauCB[[#This Row],[Débit]])</f>
        <v>-23117.78</v>
      </c>
      <c r="P1188" s="27">
        <f>IF(AND(ISBLANK(TableauCB[[#This Row],[Débit]]),ISBLANK(TableauCB[[#This Row],[Crédit]])),"",P1187+TableauCB[[#This Row],[Crédit]]-TableauCB[[#This Row],[Débit]])</f>
        <v>9616.9060000000063</v>
      </c>
      <c r="Q1188" s="26"/>
      <c r="R1188" s="25"/>
      <c r="S1188" s="25"/>
      <c r="T1188" s="24"/>
      <c r="U1188" s="24"/>
      <c r="V1188" s="9"/>
      <c r="W1188" s="2"/>
      <c r="X1188" s="9"/>
      <c r="Y1188" s="8"/>
      <c r="Z1188" s="7"/>
      <c r="AA1188" s="7"/>
      <c r="AB1188" s="6"/>
    </row>
    <row r="1189" spans="2:28" ht="14.1" customHeight="1">
      <c r="C1189" s="22"/>
      <c r="D1189" s="22"/>
      <c r="E1189" s="22"/>
      <c r="F1189" s="19"/>
      <c r="G1189" s="21"/>
      <c r="H1189" s="20"/>
      <c r="I1189" s="19"/>
      <c r="J1189" s="18" t="s">
        <v>4</v>
      </c>
      <c r="K1189" s="18"/>
      <c r="L1189" s="17">
        <f>SUBTOTAL(109,L29:L317)</f>
        <v>0</v>
      </c>
      <c r="M1189" s="17">
        <f>SUBTOTAL(109,M29:M317)/1.2</f>
        <v>0</v>
      </c>
      <c r="N1189" s="17">
        <f>M1189-L1189</f>
        <v>0</v>
      </c>
      <c r="O1189" s="17"/>
      <c r="P1189" s="23"/>
      <c r="R1189" s="4"/>
      <c r="S1189" s="4"/>
      <c r="T1189" s="11"/>
      <c r="U1189" s="11"/>
      <c r="V1189" s="9"/>
      <c r="W1189" s="2"/>
      <c r="X1189" s="9"/>
      <c r="Y1189" s="8"/>
      <c r="Z1189" s="7"/>
      <c r="AA1189" s="7"/>
      <c r="AB1189" s="6"/>
    </row>
    <row r="1190" spans="2:28" ht="13.8">
      <c r="C1190" s="22"/>
      <c r="D1190" s="22"/>
      <c r="E1190" s="22"/>
      <c r="F1190" s="19"/>
      <c r="G1190" s="21"/>
      <c r="H1190" s="20"/>
      <c r="I1190" s="19"/>
      <c r="J1190" s="18" t="s">
        <v>3</v>
      </c>
      <c r="K1190" s="18"/>
      <c r="L1190" s="17">
        <f>SUBTOTAL(109,L318:L613)</f>
        <v>0</v>
      </c>
      <c r="M1190" s="17">
        <f>(SUBTOTAL(109,M318:M613))</f>
        <v>0</v>
      </c>
      <c r="N1190" s="17">
        <f>M1190-L1190</f>
        <v>0</v>
      </c>
      <c r="O1190" s="17"/>
      <c r="P1190" s="16" t="e">
        <f>(N1190/N1189)-1</f>
        <v>#DIV/0!</v>
      </c>
      <c r="R1190" s="4"/>
      <c r="S1190" s="4"/>
      <c r="T1190" s="11"/>
      <c r="U1190" s="11"/>
      <c r="V1190" s="9"/>
      <c r="W1190" s="2"/>
      <c r="X1190" s="9"/>
      <c r="Y1190" s="8"/>
      <c r="Z1190" s="7"/>
      <c r="AA1190" s="7"/>
      <c r="AB1190" s="6"/>
    </row>
    <row r="1191" spans="2:28" ht="13.8">
      <c r="C1191" s="22"/>
      <c r="D1191" s="22"/>
      <c r="E1191" s="22"/>
      <c r="F1191" s="19"/>
      <c r="G1191" s="21"/>
      <c r="H1191" s="20"/>
      <c r="I1191" s="19"/>
      <c r="J1191" s="18" t="s">
        <v>2</v>
      </c>
      <c r="K1191" s="18"/>
      <c r="L1191" s="17">
        <f>SUBTOTAL(109,L614:L933)</f>
        <v>0</v>
      </c>
      <c r="M1191" s="17">
        <f>(SUBTOTAL(109,M614:M933))</f>
        <v>0</v>
      </c>
      <c r="N1191" s="17">
        <f>M1191-L1191</f>
        <v>0</v>
      </c>
      <c r="O1191" s="17"/>
      <c r="P1191" s="16" t="e">
        <f>(N1191/N1190)-1</f>
        <v>#DIV/0!</v>
      </c>
      <c r="R1191" s="4"/>
      <c r="S1191" s="4"/>
      <c r="T1191" s="11"/>
      <c r="U1191" s="11"/>
      <c r="V1191" s="9"/>
      <c r="W1191" s="2"/>
      <c r="X1191" s="9"/>
      <c r="Y1191" s="8"/>
      <c r="Z1191" s="7"/>
      <c r="AA1191" s="7"/>
      <c r="AB1191" s="6"/>
    </row>
    <row r="1192" spans="2:28" ht="13.8">
      <c r="C1192" s="22"/>
      <c r="D1192" s="22"/>
      <c r="E1192" s="22"/>
      <c r="F1192" s="19"/>
      <c r="G1192" s="21"/>
      <c r="H1192" s="20"/>
      <c r="I1192" s="19"/>
      <c r="J1192" s="18" t="s">
        <v>1</v>
      </c>
      <c r="K1192" s="18"/>
      <c r="L1192" s="17">
        <f>SUBTOTAL(109,L934:L1188)</f>
        <v>33420.259999999995</v>
      </c>
      <c r="M1192" s="17">
        <f>(SUBTOTAL(109,M934:M1188))</f>
        <v>34452.799999999996</v>
      </c>
      <c r="N1192" s="17">
        <f>M1192-L1192</f>
        <v>1032.5400000000009</v>
      </c>
      <c r="O1192" s="17"/>
      <c r="P1192" s="16" t="e">
        <f>(N1192/N1191)-1</f>
        <v>#DIV/0!</v>
      </c>
      <c r="R1192" s="4"/>
      <c r="S1192" s="4"/>
      <c r="T1192" s="11"/>
      <c r="U1192" s="11"/>
      <c r="V1192" s="9"/>
      <c r="W1192" s="2"/>
      <c r="X1192" s="9"/>
      <c r="Y1192" s="8"/>
      <c r="Z1192" s="7"/>
      <c r="AA1192" s="7"/>
      <c r="AB1192" s="6"/>
    </row>
    <row r="1193" spans="2:28" ht="17.399999999999999">
      <c r="J1193" s="15"/>
      <c r="K1193" s="15"/>
      <c r="L1193" s="14"/>
      <c r="M1193" s="13"/>
      <c r="N1193" s="12" t="s">
        <v>0</v>
      </c>
      <c r="O1193" s="12"/>
      <c r="R1193" s="4"/>
      <c r="S1193" s="4"/>
      <c r="T1193" s="11"/>
      <c r="U1193" s="11"/>
      <c r="V1193" s="9"/>
      <c r="W1193" s="2"/>
      <c r="X1193" s="9"/>
      <c r="Y1193" s="8"/>
      <c r="Z1193" s="7"/>
      <c r="AA1193" s="7"/>
      <c r="AB1193" s="6"/>
    </row>
    <row r="1194" spans="2:28">
      <c r="R1194" s="4"/>
      <c r="S1194" s="4"/>
      <c r="T1194" s="11"/>
      <c r="U1194" s="11"/>
      <c r="V1194" s="9"/>
      <c r="W1194" s="2"/>
      <c r="X1194" s="9"/>
      <c r="Y1194" s="8"/>
      <c r="Z1194" s="7"/>
      <c r="AA1194" s="7"/>
      <c r="AB1194" s="6"/>
    </row>
    <row r="1195" spans="2:28">
      <c r="R1195" s="4"/>
      <c r="S1195" s="4"/>
      <c r="T1195" s="11"/>
      <c r="U1195" s="11"/>
      <c r="V1195" s="9"/>
      <c r="W1195" s="2"/>
      <c r="X1195" s="9"/>
      <c r="Y1195" s="8"/>
      <c r="Z1195" s="7"/>
      <c r="AA1195" s="7"/>
      <c r="AB1195" s="6"/>
    </row>
    <row r="1196" spans="2:28">
      <c r="R1196" s="4"/>
      <c r="S1196" s="4"/>
      <c r="T1196" s="11"/>
      <c r="U1196" s="11"/>
      <c r="V1196" s="9"/>
      <c r="W1196" s="2"/>
      <c r="X1196" s="9"/>
      <c r="Y1196" s="8"/>
      <c r="Z1196" s="7"/>
      <c r="AA1196" s="7"/>
      <c r="AB1196" s="6"/>
    </row>
    <row r="1197" spans="2:28">
      <c r="R1197" s="4"/>
      <c r="S1197" s="4"/>
      <c r="T1197" s="11"/>
      <c r="U1197" s="11"/>
      <c r="V1197" s="9"/>
      <c r="W1197" s="2"/>
      <c r="X1197" s="9"/>
      <c r="Y1197" s="8"/>
      <c r="Z1197" s="7"/>
      <c r="AA1197" s="7"/>
      <c r="AB1197" s="6"/>
    </row>
    <row r="1198" spans="2:28">
      <c r="R1198" s="4"/>
      <c r="S1198" s="4"/>
      <c r="T1198" s="11"/>
      <c r="U1198" s="11"/>
      <c r="V1198" s="9"/>
      <c r="W1198" s="2"/>
      <c r="X1198" s="9"/>
      <c r="Y1198" s="8"/>
      <c r="Z1198" s="7"/>
      <c r="AA1198" s="7"/>
      <c r="AB1198" s="6"/>
    </row>
    <row r="1199" spans="2:28">
      <c r="R1199" s="4"/>
      <c r="S1199" s="4"/>
      <c r="T1199" s="11"/>
      <c r="U1199" s="11"/>
      <c r="V1199" s="9"/>
      <c r="W1199" s="2"/>
      <c r="X1199" s="9"/>
      <c r="Y1199" s="8"/>
      <c r="Z1199" s="7"/>
      <c r="AA1199" s="7"/>
      <c r="AB1199" s="6"/>
    </row>
    <row r="1200" spans="2:28">
      <c r="R1200" s="4"/>
      <c r="S1200" s="4"/>
      <c r="T1200" s="11"/>
      <c r="U1200" s="11"/>
      <c r="V1200" s="9"/>
      <c r="W1200" s="2"/>
      <c r="X1200" s="9"/>
      <c r="Y1200" s="8"/>
      <c r="Z1200" s="7"/>
      <c r="AA1200" s="7"/>
      <c r="AB1200" s="6"/>
    </row>
    <row r="1201" spans="18:28">
      <c r="R1201" s="4"/>
      <c r="S1201" s="4"/>
      <c r="T1201" s="11"/>
      <c r="U1201" s="11"/>
      <c r="V1201" s="9"/>
      <c r="W1201" s="2"/>
      <c r="X1201" s="9"/>
      <c r="Y1201" s="8"/>
      <c r="Z1201" s="7"/>
      <c r="AA1201" s="7"/>
      <c r="AB1201" s="6"/>
    </row>
    <row r="1202" spans="18:28">
      <c r="R1202" s="4"/>
      <c r="S1202" s="4"/>
      <c r="T1202" s="11"/>
      <c r="U1202" s="11"/>
      <c r="V1202" s="9"/>
      <c r="W1202" s="2"/>
      <c r="X1202" s="9"/>
      <c r="Y1202" s="8"/>
      <c r="Z1202" s="7"/>
      <c r="AA1202" s="7"/>
      <c r="AB1202" s="6"/>
    </row>
    <row r="1203" spans="18:28">
      <c r="R1203" s="4"/>
      <c r="S1203" s="4"/>
      <c r="T1203" s="11"/>
      <c r="U1203" s="11"/>
      <c r="V1203" s="9"/>
      <c r="W1203" s="2"/>
      <c r="X1203" s="9"/>
      <c r="Y1203" s="8"/>
      <c r="Z1203" s="7"/>
      <c r="AA1203" s="7"/>
      <c r="AB1203" s="6"/>
    </row>
    <row r="1204" spans="18:28">
      <c r="R1204" s="4"/>
      <c r="S1204" s="4"/>
      <c r="T1204" s="11"/>
      <c r="U1204" s="11"/>
      <c r="V1204" s="9"/>
      <c r="W1204" s="2"/>
      <c r="X1204" s="9"/>
      <c r="Y1204" s="8"/>
      <c r="Z1204" s="7"/>
      <c r="AA1204" s="7"/>
      <c r="AB1204" s="6"/>
    </row>
    <row r="1205" spans="18:28">
      <c r="R1205" s="4"/>
      <c r="S1205" s="4"/>
      <c r="T1205" s="11"/>
      <c r="U1205" s="11"/>
      <c r="V1205" s="9"/>
      <c r="W1205" s="2"/>
      <c r="X1205" s="9"/>
      <c r="Y1205" s="8"/>
      <c r="Z1205" s="7"/>
      <c r="AA1205" s="7"/>
      <c r="AB1205" s="6"/>
    </row>
    <row r="1206" spans="18:28">
      <c r="R1206" s="4"/>
      <c r="S1206" s="4"/>
      <c r="T1206" s="11"/>
      <c r="U1206" s="11"/>
      <c r="V1206" s="9"/>
      <c r="W1206" s="2"/>
      <c r="X1206" s="9"/>
      <c r="Y1206" s="8"/>
      <c r="Z1206" s="7"/>
      <c r="AA1206" s="7"/>
      <c r="AB1206" s="6"/>
    </row>
    <row r="1207" spans="18:28">
      <c r="R1207" s="4"/>
      <c r="S1207" s="4"/>
      <c r="T1207" s="11"/>
      <c r="U1207" s="11"/>
      <c r="V1207" s="9"/>
      <c r="W1207" s="2"/>
      <c r="X1207" s="9"/>
      <c r="Y1207" s="8"/>
      <c r="Z1207" s="7"/>
      <c r="AA1207" s="7"/>
      <c r="AB1207" s="6"/>
    </row>
    <row r="1208" spans="18:28">
      <c r="R1208" s="4"/>
      <c r="S1208" s="4"/>
      <c r="T1208" s="11"/>
      <c r="U1208" s="11"/>
      <c r="V1208" s="9"/>
      <c r="W1208" s="2"/>
      <c r="X1208" s="9"/>
      <c r="Y1208" s="8"/>
      <c r="Z1208" s="7"/>
      <c r="AA1208" s="7"/>
      <c r="AB1208" s="6"/>
    </row>
    <row r="1209" spans="18:28">
      <c r="R1209" s="4"/>
      <c r="S1209" s="4"/>
      <c r="T1209" s="11"/>
      <c r="U1209" s="11"/>
      <c r="V1209" s="9"/>
      <c r="W1209" s="2"/>
      <c r="X1209" s="9"/>
      <c r="Y1209" s="8"/>
      <c r="Z1209" s="7"/>
      <c r="AA1209" s="7"/>
      <c r="AB1209" s="6"/>
    </row>
    <row r="1210" spans="18:28">
      <c r="R1210" s="4"/>
      <c r="S1210" s="4"/>
      <c r="T1210" s="11"/>
      <c r="U1210" s="11"/>
      <c r="V1210" s="9"/>
      <c r="W1210" s="2"/>
      <c r="X1210" s="9"/>
      <c r="Y1210" s="8"/>
      <c r="Z1210" s="7"/>
      <c r="AA1210" s="7"/>
      <c r="AB1210" s="6"/>
    </row>
    <row r="1211" spans="18:28">
      <c r="R1211" s="4"/>
      <c r="S1211" s="4"/>
      <c r="T1211" s="11"/>
      <c r="U1211" s="11"/>
      <c r="V1211" s="9"/>
      <c r="W1211" s="2"/>
      <c r="X1211" s="9"/>
      <c r="Y1211" s="8"/>
      <c r="Z1211" s="7"/>
      <c r="AA1211" s="7"/>
      <c r="AB1211" s="6"/>
    </row>
    <row r="1212" spans="18:28">
      <c r="R1212" s="4"/>
      <c r="S1212" s="4"/>
      <c r="T1212" s="11"/>
      <c r="U1212" s="11"/>
      <c r="V1212" s="9"/>
      <c r="W1212" s="2"/>
      <c r="X1212" s="9"/>
      <c r="Y1212" s="8"/>
      <c r="Z1212" s="7"/>
      <c r="AA1212" s="7"/>
      <c r="AB1212" s="6"/>
    </row>
    <row r="1213" spans="18:28">
      <c r="R1213" s="4"/>
      <c r="S1213" s="4"/>
      <c r="T1213" s="11"/>
      <c r="U1213" s="11"/>
      <c r="V1213" s="9"/>
      <c r="W1213" s="2"/>
      <c r="X1213" s="9"/>
      <c r="Y1213" s="8"/>
      <c r="Z1213" s="7"/>
      <c r="AA1213" s="7"/>
      <c r="AB1213" s="6"/>
    </row>
    <row r="1214" spans="18:28">
      <c r="R1214" s="4"/>
      <c r="S1214" s="4"/>
      <c r="T1214" s="11"/>
      <c r="U1214" s="11"/>
      <c r="V1214" s="9"/>
      <c r="W1214" s="2"/>
      <c r="X1214" s="9"/>
      <c r="Y1214" s="8"/>
      <c r="Z1214" s="7"/>
      <c r="AA1214" s="7"/>
      <c r="AB1214" s="6"/>
    </row>
    <row r="1215" spans="18:28">
      <c r="R1215" s="4"/>
      <c r="S1215" s="4"/>
      <c r="T1215" s="11"/>
      <c r="U1215" s="11"/>
      <c r="V1215" s="9"/>
      <c r="W1215" s="2"/>
      <c r="X1215" s="9"/>
      <c r="Y1215" s="8"/>
      <c r="Z1215" s="7"/>
      <c r="AA1215" s="7"/>
      <c r="AB1215" s="6"/>
    </row>
    <row r="1216" spans="18:28">
      <c r="R1216" s="4"/>
      <c r="S1216" s="4"/>
      <c r="T1216" s="11"/>
      <c r="U1216" s="11"/>
      <c r="V1216" s="9"/>
      <c r="W1216" s="2"/>
      <c r="X1216" s="9"/>
      <c r="Y1216" s="8"/>
      <c r="Z1216" s="7"/>
      <c r="AA1216" s="7"/>
      <c r="AB1216" s="6"/>
    </row>
    <row r="1217" spans="18:28">
      <c r="R1217" s="4"/>
      <c r="S1217" s="4"/>
      <c r="T1217" s="11"/>
      <c r="U1217" s="11"/>
      <c r="V1217" s="9"/>
      <c r="W1217" s="2"/>
      <c r="X1217" s="9"/>
      <c r="Y1217" s="8"/>
      <c r="Z1217" s="7"/>
      <c r="AA1217" s="7"/>
      <c r="AB1217" s="6"/>
    </row>
    <row r="1218" spans="18:28">
      <c r="R1218" s="4"/>
      <c r="S1218" s="4"/>
      <c r="T1218" s="11"/>
      <c r="U1218" s="11"/>
      <c r="V1218" s="9"/>
      <c r="W1218" s="2"/>
      <c r="X1218" s="9"/>
      <c r="Y1218" s="8"/>
      <c r="Z1218" s="7"/>
      <c r="AA1218" s="7"/>
      <c r="AB1218" s="6"/>
    </row>
    <row r="1219" spans="18:28">
      <c r="R1219" s="4"/>
      <c r="S1219" s="4"/>
      <c r="T1219" s="11"/>
      <c r="U1219" s="11"/>
      <c r="V1219" s="9"/>
      <c r="W1219" s="2"/>
      <c r="X1219" s="9"/>
      <c r="Y1219" s="8"/>
      <c r="Z1219" s="7"/>
      <c r="AA1219" s="7"/>
      <c r="AB1219" s="6"/>
    </row>
    <row r="1220" spans="18:28">
      <c r="R1220" s="4"/>
      <c r="S1220" s="4"/>
      <c r="T1220" s="11"/>
      <c r="U1220" s="11"/>
      <c r="V1220" s="9"/>
      <c r="W1220" s="2"/>
      <c r="X1220" s="9"/>
      <c r="Y1220" s="8"/>
      <c r="Z1220" s="7"/>
      <c r="AA1220" s="7"/>
      <c r="AB1220" s="6"/>
    </row>
    <row r="1221" spans="18:28">
      <c r="R1221" s="4"/>
      <c r="S1221" s="4"/>
      <c r="T1221" s="11"/>
      <c r="U1221" s="11"/>
      <c r="V1221" s="9"/>
      <c r="W1221" s="2"/>
      <c r="X1221" s="9"/>
      <c r="Y1221" s="8"/>
      <c r="Z1221" s="7"/>
      <c r="AA1221" s="7"/>
      <c r="AB1221" s="6"/>
    </row>
    <row r="1222" spans="18:28">
      <c r="R1222" s="4"/>
      <c r="S1222" s="4"/>
      <c r="T1222" s="11"/>
      <c r="U1222" s="11"/>
      <c r="V1222" s="9"/>
      <c r="W1222" s="2"/>
      <c r="X1222" s="9"/>
      <c r="Y1222" s="8"/>
      <c r="Z1222" s="7"/>
      <c r="AA1222" s="7"/>
      <c r="AB1222" s="6"/>
    </row>
    <row r="1223" spans="18:28">
      <c r="R1223" s="4"/>
      <c r="S1223" s="4"/>
      <c r="T1223" s="11"/>
      <c r="U1223" s="11"/>
      <c r="V1223" s="9"/>
      <c r="W1223" s="2"/>
      <c r="X1223" s="9"/>
      <c r="Y1223" s="8"/>
      <c r="Z1223" s="7"/>
      <c r="AA1223" s="7"/>
      <c r="AB1223" s="6"/>
    </row>
    <row r="1224" spans="18:28">
      <c r="R1224" s="4"/>
      <c r="S1224" s="4"/>
      <c r="T1224" s="11"/>
      <c r="U1224" s="11"/>
      <c r="V1224" s="9"/>
      <c r="W1224" s="2"/>
      <c r="X1224" s="9"/>
      <c r="Y1224" s="8"/>
      <c r="Z1224" s="7"/>
      <c r="AA1224" s="7"/>
      <c r="AB1224" s="6"/>
    </row>
    <row r="1225" spans="18:28">
      <c r="R1225" s="4"/>
      <c r="S1225" s="4"/>
      <c r="T1225" s="11"/>
      <c r="U1225" s="11"/>
      <c r="V1225" s="9"/>
      <c r="W1225" s="2"/>
      <c r="X1225" s="9"/>
      <c r="Y1225" s="8"/>
      <c r="Z1225" s="7"/>
      <c r="AA1225" s="7"/>
      <c r="AB1225" s="6"/>
    </row>
    <row r="1226" spans="18:28">
      <c r="R1226" s="4"/>
      <c r="S1226" s="4"/>
      <c r="T1226" s="11"/>
      <c r="U1226" s="11"/>
      <c r="V1226" s="9"/>
      <c r="W1226" s="2"/>
      <c r="X1226" s="9"/>
      <c r="Y1226" s="8"/>
      <c r="Z1226" s="7"/>
      <c r="AA1226" s="7"/>
      <c r="AB1226" s="6"/>
    </row>
    <row r="1227" spans="18:28">
      <c r="R1227" s="4"/>
      <c r="S1227" s="4"/>
      <c r="T1227" s="11"/>
      <c r="U1227" s="11"/>
      <c r="V1227" s="9"/>
      <c r="W1227" s="2"/>
      <c r="X1227" s="9"/>
      <c r="Y1227" s="8"/>
      <c r="Z1227" s="7"/>
      <c r="AA1227" s="7"/>
      <c r="AB1227" s="6"/>
    </row>
    <row r="1228" spans="18:28">
      <c r="R1228" s="4"/>
      <c r="S1228" s="4"/>
      <c r="T1228" s="11"/>
      <c r="U1228" s="11"/>
      <c r="V1228" s="9"/>
      <c r="W1228" s="2"/>
      <c r="X1228" s="9"/>
      <c r="Y1228" s="8"/>
      <c r="Z1228" s="7"/>
      <c r="AA1228" s="7"/>
      <c r="AB1228" s="6"/>
    </row>
    <row r="1229" spans="18:28">
      <c r="R1229" s="4"/>
      <c r="S1229" s="4"/>
      <c r="T1229" s="11"/>
      <c r="U1229" s="11"/>
      <c r="V1229" s="9"/>
      <c r="W1229" s="2"/>
      <c r="X1229" s="9"/>
      <c r="Y1229" s="8"/>
      <c r="Z1229" s="7"/>
      <c r="AA1229" s="7"/>
      <c r="AB1229" s="6"/>
    </row>
    <row r="1230" spans="18:28">
      <c r="R1230" s="4"/>
      <c r="S1230" s="4"/>
      <c r="T1230" s="11"/>
      <c r="U1230" s="11"/>
      <c r="V1230" s="9"/>
      <c r="W1230" s="2"/>
      <c r="X1230" s="9"/>
      <c r="Y1230" s="8"/>
      <c r="Z1230" s="7"/>
      <c r="AA1230" s="7"/>
      <c r="AB1230" s="6"/>
    </row>
    <row r="1231" spans="18:28">
      <c r="R1231" s="4"/>
      <c r="S1231" s="4"/>
      <c r="T1231" s="11"/>
      <c r="U1231" s="11"/>
      <c r="V1231" s="9"/>
      <c r="W1231" s="2"/>
      <c r="X1231" s="9"/>
      <c r="Y1231" s="8"/>
      <c r="Z1231" s="7"/>
      <c r="AA1231" s="7"/>
      <c r="AB1231" s="6"/>
    </row>
    <row r="1232" spans="18:28">
      <c r="R1232" s="4"/>
      <c r="S1232" s="4"/>
      <c r="T1232" s="11"/>
      <c r="U1232" s="11"/>
      <c r="V1232" s="9"/>
      <c r="W1232" s="2"/>
      <c r="X1232" s="9"/>
      <c r="Y1232" s="8"/>
      <c r="Z1232" s="7"/>
      <c r="AA1232" s="7"/>
      <c r="AB1232" s="6"/>
    </row>
    <row r="1233" spans="18:28">
      <c r="R1233" s="4"/>
      <c r="S1233" s="4"/>
      <c r="T1233" s="11"/>
      <c r="U1233" s="11"/>
      <c r="V1233" s="9"/>
      <c r="W1233" s="2"/>
      <c r="X1233" s="9"/>
      <c r="Y1233" s="8"/>
      <c r="Z1233" s="7"/>
      <c r="AA1233" s="7"/>
      <c r="AB1233" s="6"/>
    </row>
    <row r="1234" spans="18:28">
      <c r="R1234" s="4"/>
      <c r="S1234" s="4"/>
      <c r="T1234" s="11"/>
      <c r="U1234" s="11"/>
      <c r="V1234" s="9"/>
      <c r="W1234" s="2"/>
      <c r="X1234" s="9"/>
      <c r="Y1234" s="8"/>
      <c r="Z1234" s="7"/>
      <c r="AA1234" s="7"/>
      <c r="AB1234" s="6"/>
    </row>
    <row r="1235" spans="18:28">
      <c r="R1235" s="4"/>
      <c r="S1235" s="4"/>
      <c r="T1235" s="11"/>
      <c r="U1235" s="11"/>
      <c r="V1235" s="9"/>
      <c r="W1235" s="2"/>
      <c r="X1235" s="9"/>
      <c r="Y1235" s="8"/>
      <c r="Z1235" s="7"/>
      <c r="AA1235" s="7"/>
      <c r="AB1235" s="6"/>
    </row>
    <row r="1236" spans="18:28">
      <c r="R1236" s="4"/>
      <c r="S1236" s="4"/>
      <c r="T1236" s="11"/>
      <c r="U1236" s="11"/>
      <c r="V1236" s="9"/>
      <c r="W1236" s="2"/>
      <c r="X1236" s="9"/>
      <c r="Y1236" s="8"/>
      <c r="Z1236" s="7"/>
      <c r="AA1236" s="7"/>
      <c r="AB1236" s="6"/>
    </row>
    <row r="1237" spans="18:28">
      <c r="R1237" s="4"/>
      <c r="S1237" s="4"/>
      <c r="T1237" s="11"/>
      <c r="U1237" s="11"/>
      <c r="V1237" s="9"/>
      <c r="W1237" s="2"/>
      <c r="X1237" s="9"/>
      <c r="Y1237" s="8"/>
      <c r="Z1237" s="7"/>
      <c r="AA1237" s="7"/>
      <c r="AB1237" s="6"/>
    </row>
    <row r="1238" spans="18:28">
      <c r="R1238" s="4"/>
      <c r="S1238" s="4"/>
      <c r="T1238" s="11"/>
      <c r="U1238" s="11"/>
      <c r="V1238" s="9"/>
      <c r="W1238" s="2"/>
      <c r="X1238" s="9"/>
      <c r="Y1238" s="8"/>
      <c r="Z1238" s="7"/>
      <c r="AA1238" s="7"/>
      <c r="AB1238" s="6"/>
    </row>
    <row r="1239" spans="18:28">
      <c r="R1239" s="4"/>
      <c r="S1239" s="4"/>
      <c r="T1239" s="11"/>
      <c r="U1239" s="11"/>
      <c r="V1239" s="9"/>
      <c r="W1239" s="2"/>
      <c r="X1239" s="9"/>
      <c r="Y1239" s="8"/>
      <c r="Z1239" s="7"/>
      <c r="AA1239" s="7"/>
      <c r="AB1239" s="6"/>
    </row>
    <row r="1240" spans="18:28">
      <c r="R1240" s="4"/>
      <c r="S1240" s="4"/>
      <c r="T1240" s="11"/>
      <c r="U1240" s="11"/>
      <c r="V1240" s="9"/>
      <c r="W1240" s="2"/>
      <c r="X1240" s="9"/>
      <c r="Y1240" s="8"/>
      <c r="Z1240" s="7"/>
      <c r="AA1240" s="7"/>
      <c r="AB1240" s="6"/>
    </row>
    <row r="1241" spans="18:28">
      <c r="R1241" s="4"/>
      <c r="S1241" s="4"/>
      <c r="T1241" s="11"/>
      <c r="U1241" s="11"/>
      <c r="V1241" s="9"/>
      <c r="W1241" s="2"/>
      <c r="X1241" s="9"/>
      <c r="Y1241" s="8"/>
      <c r="Z1241" s="7"/>
      <c r="AA1241" s="7"/>
      <c r="AB1241" s="6"/>
    </row>
    <row r="1242" spans="18:28">
      <c r="R1242" s="4"/>
      <c r="S1242" s="4"/>
      <c r="T1242" s="11"/>
      <c r="U1242" s="11"/>
      <c r="V1242" s="9"/>
      <c r="W1242" s="2"/>
      <c r="X1242" s="9"/>
      <c r="Y1242" s="8"/>
      <c r="Z1242" s="7"/>
      <c r="AA1242" s="7"/>
      <c r="AB1242" s="6"/>
    </row>
    <row r="1243" spans="18:28">
      <c r="R1243" s="4"/>
      <c r="S1243" s="4"/>
      <c r="T1243" s="11"/>
      <c r="U1243" s="11"/>
      <c r="V1243" s="9"/>
      <c r="W1243" s="2"/>
      <c r="X1243" s="9"/>
      <c r="Y1243" s="8"/>
      <c r="Z1243" s="7"/>
      <c r="AA1243" s="7"/>
      <c r="AB1243" s="6"/>
    </row>
    <row r="1244" spans="18:28">
      <c r="R1244" s="4"/>
      <c r="S1244" s="4"/>
      <c r="T1244" s="11"/>
      <c r="U1244" s="11"/>
      <c r="V1244" s="9"/>
      <c r="W1244" s="2"/>
      <c r="X1244" s="9"/>
      <c r="Y1244" s="8"/>
      <c r="Z1244" s="7"/>
      <c r="AA1244" s="7"/>
      <c r="AB1244" s="6"/>
    </row>
    <row r="1245" spans="18:28">
      <c r="R1245" s="4"/>
      <c r="S1245" s="4"/>
      <c r="T1245" s="11"/>
      <c r="U1245" s="11"/>
      <c r="V1245" s="9"/>
      <c r="W1245" s="2"/>
      <c r="X1245" s="9"/>
      <c r="Y1245" s="8"/>
      <c r="Z1245" s="7"/>
      <c r="AA1245" s="7"/>
      <c r="AB1245" s="6"/>
    </row>
    <row r="1246" spans="18:28">
      <c r="R1246" s="4"/>
      <c r="S1246" s="4"/>
      <c r="T1246" s="11"/>
      <c r="U1246" s="11"/>
      <c r="V1246" s="9"/>
      <c r="W1246" s="2"/>
      <c r="X1246" s="9"/>
      <c r="Y1246" s="8"/>
      <c r="Z1246" s="7"/>
      <c r="AA1246" s="7"/>
      <c r="AB1246" s="6"/>
    </row>
    <row r="1247" spans="18:28">
      <c r="R1247" s="4"/>
      <c r="S1247" s="4"/>
      <c r="T1247" s="11"/>
      <c r="U1247" s="11"/>
      <c r="V1247" s="9"/>
      <c r="W1247" s="2"/>
      <c r="X1247" s="9"/>
      <c r="Y1247" s="8"/>
      <c r="Z1247" s="7"/>
      <c r="AA1247" s="7"/>
      <c r="AB1247" s="6"/>
    </row>
    <row r="1248" spans="18:28">
      <c r="R1248" s="4"/>
      <c r="S1248" s="4"/>
      <c r="T1248" s="11"/>
      <c r="U1248" s="11"/>
      <c r="V1248" s="9"/>
      <c r="W1248" s="2"/>
      <c r="X1248" s="9"/>
      <c r="Y1248" s="8"/>
      <c r="Z1248" s="7"/>
      <c r="AA1248" s="7"/>
      <c r="AB1248" s="6"/>
    </row>
    <row r="1249" spans="18:28">
      <c r="R1249" s="4"/>
      <c r="S1249" s="4"/>
      <c r="T1249" s="11"/>
      <c r="U1249" s="11"/>
      <c r="V1249" s="9"/>
      <c r="W1249" s="2"/>
      <c r="X1249" s="9"/>
      <c r="Y1249" s="8"/>
      <c r="Z1249" s="7"/>
      <c r="AA1249" s="7"/>
      <c r="AB1249" s="6"/>
    </row>
    <row r="1250" spans="18:28">
      <c r="R1250" s="4"/>
      <c r="S1250" s="4"/>
      <c r="T1250" s="11"/>
      <c r="U1250" s="11"/>
      <c r="V1250" s="9"/>
      <c r="W1250" s="2"/>
      <c r="X1250" s="9"/>
      <c r="Y1250" s="8"/>
      <c r="Z1250" s="7"/>
      <c r="AA1250" s="7"/>
      <c r="AB1250" s="6"/>
    </row>
    <row r="1251" spans="18:28">
      <c r="R1251" s="4"/>
      <c r="S1251" s="4"/>
      <c r="T1251" s="11"/>
      <c r="U1251" s="11"/>
      <c r="V1251" s="9"/>
      <c r="W1251" s="2"/>
      <c r="X1251" s="9"/>
      <c r="Y1251" s="8"/>
      <c r="Z1251" s="7"/>
      <c r="AA1251" s="7"/>
      <c r="AB1251" s="6"/>
    </row>
    <row r="1252" spans="18:28">
      <c r="R1252" s="4"/>
      <c r="S1252" s="4"/>
      <c r="T1252" s="11"/>
      <c r="U1252" s="11"/>
      <c r="V1252" s="9"/>
      <c r="W1252" s="2"/>
      <c r="X1252" s="9"/>
      <c r="Y1252" s="8"/>
      <c r="Z1252" s="7"/>
      <c r="AA1252" s="7"/>
      <c r="AB1252" s="6"/>
    </row>
    <row r="1253" spans="18:28">
      <c r="R1253" s="4"/>
      <c r="S1253" s="4"/>
      <c r="T1253" s="11"/>
      <c r="U1253" s="11"/>
      <c r="V1253" s="9"/>
      <c r="W1253" s="2"/>
      <c r="X1253" s="9"/>
      <c r="Y1253" s="8"/>
      <c r="Z1253" s="7"/>
      <c r="AA1253" s="7"/>
      <c r="AB1253" s="6"/>
    </row>
    <row r="1254" spans="18:28">
      <c r="R1254" s="4"/>
      <c r="S1254" s="4"/>
      <c r="T1254" s="11"/>
      <c r="U1254" s="11"/>
      <c r="V1254" s="9"/>
      <c r="W1254" s="2"/>
      <c r="X1254" s="9"/>
      <c r="Y1254" s="8"/>
      <c r="Z1254" s="7"/>
      <c r="AA1254" s="7"/>
      <c r="AB1254" s="6"/>
    </row>
    <row r="1255" spans="18:28">
      <c r="R1255" s="4"/>
      <c r="S1255" s="4"/>
      <c r="T1255" s="11"/>
      <c r="U1255" s="11"/>
      <c r="V1255" s="9"/>
      <c r="W1255" s="2"/>
      <c r="X1255" s="9"/>
      <c r="Y1255" s="8"/>
      <c r="Z1255" s="7"/>
      <c r="AA1255" s="7"/>
      <c r="AB1255" s="6"/>
    </row>
    <row r="1256" spans="18:28">
      <c r="R1256" s="4"/>
      <c r="S1256" s="4"/>
      <c r="T1256" s="11"/>
      <c r="U1256" s="11"/>
      <c r="V1256" s="9"/>
      <c r="W1256" s="2"/>
      <c r="X1256" s="9"/>
      <c r="Y1256" s="8"/>
      <c r="Z1256" s="7"/>
      <c r="AA1256" s="7"/>
      <c r="AB1256" s="6"/>
    </row>
    <row r="1257" spans="18:28">
      <c r="R1257" s="4"/>
      <c r="S1257" s="4"/>
      <c r="T1257" s="11"/>
      <c r="U1257" s="11"/>
      <c r="V1257" s="9"/>
      <c r="W1257" s="2"/>
      <c r="X1257" s="9"/>
      <c r="Y1257" s="8"/>
      <c r="Z1257" s="7"/>
      <c r="AA1257" s="7"/>
      <c r="AB1257" s="6"/>
    </row>
    <row r="1258" spans="18:28">
      <c r="R1258" s="4"/>
      <c r="S1258" s="4"/>
      <c r="T1258" s="11"/>
      <c r="U1258" s="11"/>
      <c r="V1258" s="9"/>
      <c r="W1258" s="2"/>
      <c r="X1258" s="9"/>
      <c r="Y1258" s="8"/>
      <c r="Z1258" s="7"/>
      <c r="AA1258" s="7"/>
      <c r="AB1258" s="6"/>
    </row>
    <row r="1259" spans="18:28">
      <c r="R1259" s="4"/>
      <c r="S1259" s="4"/>
      <c r="T1259" s="11"/>
      <c r="U1259" s="11"/>
      <c r="V1259" s="9"/>
      <c r="W1259" s="2"/>
      <c r="X1259" s="9"/>
      <c r="Y1259" s="8"/>
      <c r="Z1259" s="7"/>
      <c r="AA1259" s="7"/>
      <c r="AB1259" s="6"/>
    </row>
    <row r="1260" spans="18:28">
      <c r="R1260" s="4"/>
      <c r="S1260" s="4"/>
      <c r="T1260" s="11"/>
      <c r="U1260" s="11"/>
      <c r="V1260" s="9"/>
      <c r="W1260" s="2"/>
      <c r="X1260" s="9"/>
      <c r="Y1260" s="8"/>
      <c r="Z1260" s="7"/>
      <c r="AA1260" s="7"/>
      <c r="AB1260" s="6"/>
    </row>
    <row r="1261" spans="18:28">
      <c r="R1261" s="4"/>
      <c r="S1261" s="4"/>
      <c r="T1261" s="11"/>
      <c r="U1261" s="11"/>
      <c r="V1261" s="9"/>
      <c r="W1261" s="2"/>
      <c r="X1261" s="9"/>
      <c r="Y1261" s="8"/>
      <c r="Z1261" s="7"/>
      <c r="AA1261" s="7"/>
      <c r="AB1261" s="6"/>
    </row>
    <row r="1262" spans="18:28">
      <c r="R1262" s="4"/>
      <c r="S1262" s="4"/>
      <c r="T1262" s="11"/>
      <c r="U1262" s="11"/>
      <c r="V1262" s="9"/>
      <c r="W1262" s="2"/>
      <c r="X1262" s="9"/>
      <c r="Y1262" s="8"/>
      <c r="Z1262" s="7"/>
      <c r="AA1262" s="7"/>
      <c r="AB1262" s="6"/>
    </row>
    <row r="1263" spans="18:28">
      <c r="R1263" s="4"/>
      <c r="S1263" s="4"/>
      <c r="T1263" s="11"/>
      <c r="U1263" s="11"/>
      <c r="V1263" s="9"/>
      <c r="W1263" s="2"/>
      <c r="X1263" s="9"/>
      <c r="Y1263" s="8"/>
      <c r="Z1263" s="7"/>
      <c r="AA1263" s="7"/>
      <c r="AB1263" s="6"/>
    </row>
    <row r="1264" spans="18:28">
      <c r="R1264" s="4"/>
      <c r="S1264" s="4"/>
      <c r="T1264" s="11"/>
      <c r="U1264" s="11"/>
      <c r="V1264" s="9"/>
      <c r="W1264" s="2"/>
      <c r="X1264" s="9"/>
      <c r="Y1264" s="8"/>
      <c r="Z1264" s="7"/>
      <c r="AA1264" s="7"/>
      <c r="AB1264" s="6"/>
    </row>
    <row r="1265" spans="18:28">
      <c r="R1265" s="4"/>
      <c r="S1265" s="4"/>
      <c r="T1265" s="11"/>
      <c r="U1265" s="11"/>
      <c r="V1265" s="9"/>
      <c r="W1265" s="2"/>
      <c r="X1265" s="9"/>
      <c r="Y1265" s="8"/>
      <c r="Z1265" s="7"/>
      <c r="AA1265" s="7"/>
      <c r="AB1265" s="6"/>
    </row>
    <row r="1266" spans="18:28">
      <c r="R1266" s="4"/>
      <c r="S1266" s="4"/>
      <c r="T1266" s="11"/>
      <c r="U1266" s="11"/>
      <c r="V1266" s="9"/>
      <c r="W1266" s="2"/>
      <c r="X1266" s="9"/>
      <c r="Y1266" s="8"/>
      <c r="Z1266" s="7"/>
      <c r="AA1266" s="7"/>
      <c r="AB1266" s="6"/>
    </row>
    <row r="1267" spans="18:28">
      <c r="R1267" s="4"/>
      <c r="S1267" s="4"/>
      <c r="T1267" s="11"/>
      <c r="U1267" s="11"/>
      <c r="V1267" s="9"/>
      <c r="W1267" s="2"/>
      <c r="X1267" s="9"/>
      <c r="Y1267" s="8"/>
      <c r="Z1267" s="7"/>
      <c r="AA1267" s="7"/>
      <c r="AB1267" s="6"/>
    </row>
    <row r="1268" spans="18:28">
      <c r="R1268" s="4"/>
      <c r="S1268" s="4"/>
      <c r="T1268" s="11"/>
      <c r="U1268" s="11"/>
      <c r="V1268" s="9"/>
      <c r="W1268" s="2"/>
      <c r="X1268" s="9"/>
      <c r="Y1268" s="8"/>
      <c r="Z1268" s="7"/>
      <c r="AA1268" s="7"/>
      <c r="AB1268" s="6"/>
    </row>
    <row r="1269" spans="18:28">
      <c r="R1269" s="4"/>
      <c r="S1269" s="4"/>
      <c r="T1269" s="11"/>
      <c r="U1269" s="11"/>
      <c r="V1269" s="9"/>
      <c r="W1269" s="2"/>
      <c r="X1269" s="9"/>
      <c r="Y1269" s="8"/>
      <c r="Z1269" s="7"/>
      <c r="AA1269" s="7"/>
      <c r="AB1269" s="6"/>
    </row>
    <row r="1270" spans="18:28">
      <c r="R1270" s="4"/>
      <c r="S1270" s="4"/>
      <c r="T1270" s="11"/>
      <c r="U1270" s="11"/>
      <c r="V1270" s="9"/>
      <c r="W1270" s="2"/>
      <c r="X1270" s="9"/>
      <c r="Y1270" s="8"/>
      <c r="Z1270" s="7"/>
      <c r="AA1270" s="7"/>
      <c r="AB1270" s="6"/>
    </row>
    <row r="1271" spans="18:28">
      <c r="R1271" s="4"/>
      <c r="S1271" s="4"/>
      <c r="T1271" s="11"/>
      <c r="U1271" s="11"/>
      <c r="V1271" s="9"/>
      <c r="W1271" s="2"/>
      <c r="X1271" s="9"/>
      <c r="Y1271" s="8"/>
      <c r="Z1271" s="7"/>
      <c r="AA1271" s="7"/>
      <c r="AB1271" s="6"/>
    </row>
    <row r="1272" spans="18:28">
      <c r="R1272" s="4"/>
      <c r="S1272" s="4"/>
      <c r="T1272" s="11"/>
      <c r="U1272" s="11"/>
      <c r="V1272" s="9"/>
      <c r="W1272" s="2"/>
      <c r="X1272" s="9"/>
      <c r="Y1272" s="8"/>
      <c r="Z1272" s="7"/>
      <c r="AA1272" s="7"/>
      <c r="AB1272" s="6"/>
    </row>
    <row r="1273" spans="18:28">
      <c r="R1273" s="4"/>
      <c r="S1273" s="4"/>
      <c r="T1273" s="11"/>
      <c r="U1273" s="11"/>
      <c r="V1273" s="9"/>
      <c r="W1273" s="2"/>
      <c r="X1273" s="9"/>
      <c r="Y1273" s="8"/>
      <c r="Z1273" s="7"/>
      <c r="AA1273" s="7"/>
      <c r="AB1273" s="6"/>
    </row>
    <row r="1274" spans="18:28">
      <c r="R1274" s="4"/>
      <c r="S1274" s="4"/>
      <c r="T1274" s="11"/>
      <c r="U1274" s="11"/>
      <c r="V1274" s="9"/>
      <c r="W1274" s="2"/>
      <c r="X1274" s="9"/>
      <c r="Y1274" s="8"/>
      <c r="Z1274" s="7"/>
      <c r="AA1274" s="7"/>
      <c r="AB1274" s="6"/>
    </row>
    <row r="1275" spans="18:28">
      <c r="R1275" s="4"/>
      <c r="S1275" s="4"/>
      <c r="T1275" s="11"/>
      <c r="U1275" s="11"/>
      <c r="V1275" s="9"/>
      <c r="W1275" s="2"/>
      <c r="X1275" s="9"/>
      <c r="Y1275" s="8"/>
      <c r="Z1275" s="7"/>
      <c r="AA1275" s="7"/>
      <c r="AB1275" s="6"/>
    </row>
    <row r="1276" spans="18:28">
      <c r="R1276" s="4"/>
      <c r="S1276" s="4"/>
      <c r="T1276" s="11"/>
      <c r="U1276" s="11"/>
      <c r="V1276" s="9"/>
      <c r="W1276" s="2"/>
      <c r="X1276" s="9"/>
      <c r="Y1276" s="8"/>
      <c r="Z1276" s="7"/>
      <c r="AA1276" s="7"/>
      <c r="AB1276" s="6"/>
    </row>
    <row r="1277" spans="18:28">
      <c r="R1277" s="4"/>
      <c r="S1277" s="4"/>
      <c r="T1277" s="11"/>
      <c r="U1277" s="11"/>
      <c r="V1277" s="9"/>
      <c r="W1277" s="2"/>
      <c r="X1277" s="9"/>
      <c r="Y1277" s="8"/>
      <c r="Z1277" s="7"/>
      <c r="AA1277" s="7"/>
      <c r="AB1277" s="6"/>
    </row>
    <row r="1278" spans="18:28">
      <c r="R1278" s="4"/>
      <c r="S1278" s="4"/>
      <c r="T1278" s="11"/>
      <c r="U1278" s="11"/>
      <c r="V1278" s="9"/>
      <c r="W1278" s="2"/>
      <c r="X1278" s="9"/>
      <c r="Y1278" s="8"/>
      <c r="Z1278" s="7"/>
      <c r="AA1278" s="7"/>
      <c r="AB1278" s="6"/>
    </row>
    <row r="1279" spans="18:28">
      <c r="R1279" s="4"/>
      <c r="S1279" s="4"/>
      <c r="T1279" s="11"/>
      <c r="U1279" s="11"/>
      <c r="V1279" s="9"/>
      <c r="W1279" s="2"/>
      <c r="X1279" s="9"/>
      <c r="Y1279" s="8"/>
      <c r="Z1279" s="7"/>
      <c r="AA1279" s="7"/>
      <c r="AB1279" s="6"/>
    </row>
    <row r="1280" spans="18:28">
      <c r="R1280" s="4"/>
      <c r="S1280" s="4"/>
      <c r="T1280" s="11"/>
      <c r="U1280" s="11"/>
      <c r="V1280" s="9"/>
      <c r="W1280" s="2"/>
      <c r="X1280" s="9"/>
      <c r="Y1280" s="8"/>
      <c r="Z1280" s="7"/>
      <c r="AA1280" s="7"/>
      <c r="AB1280" s="6"/>
    </row>
    <row r="1281" spans="18:28">
      <c r="R1281" s="4"/>
      <c r="S1281" s="4"/>
      <c r="T1281" s="11"/>
      <c r="U1281" s="11"/>
      <c r="V1281" s="9"/>
      <c r="W1281" s="2"/>
      <c r="X1281" s="9"/>
      <c r="Y1281" s="8"/>
      <c r="Z1281" s="7"/>
      <c r="AA1281" s="7"/>
      <c r="AB1281" s="6"/>
    </row>
    <row r="1282" spans="18:28">
      <c r="R1282" s="4"/>
      <c r="S1282" s="4"/>
      <c r="T1282" s="11"/>
      <c r="U1282" s="11"/>
      <c r="V1282" s="9"/>
      <c r="W1282" s="2"/>
      <c r="X1282" s="9"/>
      <c r="Y1282" s="8"/>
      <c r="Z1282" s="7"/>
      <c r="AA1282" s="7"/>
      <c r="AB1282" s="6"/>
    </row>
    <row r="1283" spans="18:28">
      <c r="R1283" s="4"/>
      <c r="S1283" s="4"/>
      <c r="T1283" s="11"/>
      <c r="U1283" s="11"/>
      <c r="V1283" s="9"/>
      <c r="W1283" s="2"/>
      <c r="X1283" s="9"/>
      <c r="Y1283" s="8"/>
      <c r="Z1283" s="7"/>
      <c r="AA1283" s="7"/>
      <c r="AB1283" s="6"/>
    </row>
    <row r="1284" spans="18:28">
      <c r="R1284" s="4"/>
      <c r="S1284" s="4"/>
      <c r="T1284" s="11"/>
      <c r="U1284" s="11"/>
      <c r="V1284" s="9"/>
      <c r="W1284" s="2"/>
      <c r="X1284" s="9"/>
      <c r="Y1284" s="8"/>
      <c r="Z1284" s="7"/>
      <c r="AA1284" s="7"/>
      <c r="AB1284" s="6"/>
    </row>
    <row r="1285" spans="18:28">
      <c r="R1285" s="4"/>
      <c r="S1285" s="4"/>
      <c r="T1285" s="11"/>
      <c r="U1285" s="11"/>
      <c r="V1285" s="9"/>
      <c r="W1285" s="2"/>
      <c r="X1285" s="9"/>
      <c r="Y1285" s="8"/>
      <c r="Z1285" s="7"/>
      <c r="AA1285" s="7"/>
      <c r="AB1285" s="6"/>
    </row>
    <row r="1286" spans="18:28">
      <c r="R1286" s="4"/>
      <c r="S1286" s="4"/>
      <c r="T1286" s="11"/>
      <c r="U1286" s="11"/>
      <c r="V1286" s="9"/>
      <c r="W1286" s="2"/>
      <c r="X1286" s="9"/>
      <c r="Y1286" s="8"/>
      <c r="Z1286" s="7"/>
      <c r="AA1286" s="7"/>
      <c r="AB1286" s="6"/>
    </row>
    <row r="1287" spans="18:28">
      <c r="R1287" s="4"/>
      <c r="S1287" s="4"/>
      <c r="T1287" s="11"/>
      <c r="U1287" s="11"/>
      <c r="V1287" s="9"/>
      <c r="W1287" s="2"/>
      <c r="X1287" s="9"/>
      <c r="Y1287" s="8"/>
      <c r="Z1287" s="7"/>
      <c r="AA1287" s="7"/>
      <c r="AB1287" s="6"/>
    </row>
    <row r="1288" spans="18:28">
      <c r="R1288" s="4"/>
      <c r="S1288" s="4"/>
      <c r="T1288" s="11"/>
      <c r="U1288" s="11"/>
      <c r="V1288" s="9"/>
      <c r="W1288" s="2"/>
      <c r="X1288" s="9"/>
      <c r="Y1288" s="8"/>
      <c r="Z1288" s="7"/>
      <c r="AA1288" s="7"/>
      <c r="AB1288" s="6"/>
    </row>
    <row r="1289" spans="18:28">
      <c r="R1289" s="4"/>
      <c r="S1289" s="4"/>
      <c r="T1289" s="11"/>
      <c r="U1289" s="11"/>
      <c r="V1289" s="9"/>
      <c r="W1289" s="2"/>
      <c r="X1289" s="9"/>
      <c r="Y1289" s="8"/>
      <c r="Z1289" s="7"/>
      <c r="AA1289" s="7"/>
      <c r="AB1289" s="6"/>
    </row>
    <row r="1290" spans="18:28">
      <c r="R1290" s="4"/>
      <c r="S1290" s="4"/>
      <c r="T1290" s="11"/>
      <c r="U1290" s="11"/>
      <c r="V1290" s="9"/>
      <c r="W1290" s="2"/>
      <c r="X1290" s="9"/>
      <c r="Y1290" s="8"/>
      <c r="Z1290" s="7"/>
      <c r="AA1290" s="7"/>
      <c r="AB1290" s="6"/>
    </row>
    <row r="1291" spans="18:28">
      <c r="R1291" s="4"/>
      <c r="S1291" s="4"/>
      <c r="T1291" s="11"/>
      <c r="U1291" s="11"/>
      <c r="V1291" s="9"/>
      <c r="W1291" s="2"/>
      <c r="X1291" s="9"/>
      <c r="Y1291" s="8"/>
      <c r="Z1291" s="7"/>
      <c r="AA1291" s="7"/>
      <c r="AB1291" s="6"/>
    </row>
    <row r="1292" spans="18:28">
      <c r="R1292" s="4"/>
      <c r="S1292" s="4"/>
      <c r="T1292" s="11"/>
      <c r="U1292" s="11"/>
      <c r="V1292" s="9"/>
      <c r="W1292" s="2"/>
      <c r="X1292" s="9"/>
      <c r="Y1292" s="8"/>
      <c r="Z1292" s="7"/>
      <c r="AA1292" s="7"/>
      <c r="AB1292" s="6"/>
    </row>
    <row r="1293" spans="18:28">
      <c r="R1293" s="4"/>
      <c r="S1293" s="4"/>
      <c r="T1293" s="11"/>
      <c r="U1293" s="11"/>
      <c r="V1293" s="9"/>
      <c r="W1293" s="2"/>
      <c r="X1293" s="9"/>
      <c r="Y1293" s="8"/>
      <c r="Z1293" s="7"/>
      <c r="AA1293" s="7"/>
      <c r="AB1293" s="6"/>
    </row>
    <row r="1294" spans="18:28">
      <c r="R1294" s="4"/>
      <c r="S1294" s="4"/>
      <c r="T1294" s="11"/>
      <c r="U1294" s="11"/>
      <c r="V1294" s="9"/>
      <c r="W1294" s="2"/>
      <c r="X1294" s="9"/>
      <c r="Y1294" s="8"/>
      <c r="Z1294" s="7"/>
      <c r="AA1294" s="7"/>
      <c r="AB1294" s="6"/>
    </row>
    <row r="1295" spans="18:28">
      <c r="R1295" s="4"/>
      <c r="S1295" s="4"/>
      <c r="T1295" s="11"/>
      <c r="U1295" s="11"/>
      <c r="V1295" s="9"/>
      <c r="W1295" s="2"/>
      <c r="X1295" s="9"/>
      <c r="Y1295" s="8"/>
      <c r="Z1295" s="7"/>
      <c r="AA1295" s="7"/>
      <c r="AB1295" s="6"/>
    </row>
    <row r="1296" spans="18:28">
      <c r="R1296" s="4"/>
      <c r="S1296" s="4"/>
      <c r="T1296" s="11"/>
      <c r="U1296" s="11"/>
      <c r="V1296" s="9"/>
      <c r="W1296" s="2"/>
      <c r="X1296" s="9"/>
      <c r="Y1296" s="8"/>
      <c r="Z1296" s="7"/>
      <c r="AA1296" s="7"/>
      <c r="AB1296" s="6"/>
    </row>
    <row r="1297" spans="18:28">
      <c r="R1297" s="4"/>
      <c r="S1297" s="4"/>
      <c r="T1297" s="11"/>
      <c r="U1297" s="11"/>
      <c r="V1297" s="9"/>
      <c r="W1297" s="2"/>
      <c r="X1297" s="9"/>
      <c r="Y1297" s="8"/>
      <c r="Z1297" s="7"/>
      <c r="AA1297" s="7"/>
      <c r="AB1297" s="6"/>
    </row>
    <row r="1298" spans="18:28">
      <c r="R1298" s="4"/>
      <c r="S1298" s="4"/>
      <c r="T1298" s="11"/>
      <c r="U1298" s="11"/>
      <c r="V1298" s="9"/>
      <c r="W1298" s="2"/>
      <c r="X1298" s="9"/>
      <c r="Y1298" s="8"/>
      <c r="Z1298" s="7"/>
      <c r="AA1298" s="7"/>
      <c r="AB1298" s="6"/>
    </row>
    <row r="1299" spans="18:28">
      <c r="R1299" s="4"/>
      <c r="S1299" s="4"/>
      <c r="T1299" s="11"/>
      <c r="U1299" s="11"/>
      <c r="V1299" s="9"/>
      <c r="W1299" s="2"/>
      <c r="X1299" s="9"/>
      <c r="Y1299" s="8"/>
      <c r="Z1299" s="7"/>
      <c r="AA1299" s="7"/>
      <c r="AB1299" s="6"/>
    </row>
    <row r="1300" spans="18:28">
      <c r="R1300" s="4"/>
      <c r="S1300" s="4"/>
      <c r="T1300" s="11"/>
      <c r="U1300" s="11"/>
      <c r="V1300" s="9"/>
      <c r="W1300" s="2"/>
      <c r="X1300" s="9"/>
      <c r="Y1300" s="8"/>
      <c r="Z1300" s="7"/>
      <c r="AA1300" s="7"/>
      <c r="AB1300" s="6"/>
    </row>
    <row r="1301" spans="18:28">
      <c r="R1301" s="4"/>
      <c r="S1301" s="4"/>
      <c r="T1301" s="11"/>
      <c r="U1301" s="11"/>
      <c r="V1301" s="9"/>
      <c r="W1301" s="2"/>
      <c r="X1301" s="9"/>
      <c r="Y1301" s="8"/>
      <c r="Z1301" s="7"/>
      <c r="AA1301" s="7"/>
      <c r="AB1301" s="6"/>
    </row>
    <row r="1302" spans="18:28">
      <c r="R1302" s="4"/>
      <c r="S1302" s="4"/>
      <c r="T1302" s="11"/>
      <c r="U1302" s="11"/>
      <c r="V1302" s="9"/>
      <c r="W1302" s="2"/>
      <c r="X1302" s="9"/>
      <c r="Y1302" s="8"/>
      <c r="Z1302" s="7"/>
      <c r="AA1302" s="7"/>
      <c r="AB1302" s="6"/>
    </row>
    <row r="1303" spans="18:28">
      <c r="R1303" s="4"/>
      <c r="S1303" s="4"/>
      <c r="T1303" s="11"/>
      <c r="U1303" s="11"/>
      <c r="V1303" s="9"/>
      <c r="W1303" s="2"/>
      <c r="X1303" s="9"/>
      <c r="Y1303" s="8"/>
      <c r="Z1303" s="7"/>
      <c r="AA1303" s="7"/>
      <c r="AB1303" s="6"/>
    </row>
    <row r="1304" spans="18:28">
      <c r="R1304" s="4"/>
      <c r="S1304" s="4"/>
      <c r="T1304" s="11"/>
      <c r="U1304" s="11"/>
      <c r="V1304" s="9"/>
      <c r="W1304" s="2"/>
      <c r="X1304" s="9"/>
      <c r="Y1304" s="8"/>
      <c r="Z1304" s="7"/>
      <c r="AA1304" s="7"/>
      <c r="AB1304" s="6"/>
    </row>
    <row r="1305" spans="18:28">
      <c r="R1305" s="4"/>
      <c r="S1305" s="4"/>
      <c r="T1305" s="11"/>
      <c r="U1305" s="11"/>
      <c r="V1305" s="9"/>
      <c r="W1305" s="2"/>
      <c r="X1305" s="9"/>
      <c r="Y1305" s="8"/>
      <c r="Z1305" s="7"/>
      <c r="AA1305" s="7"/>
      <c r="AB1305" s="6"/>
    </row>
    <row r="1306" spans="18:28">
      <c r="R1306" s="4"/>
      <c r="S1306" s="4"/>
      <c r="T1306" s="11"/>
      <c r="U1306" s="11"/>
      <c r="V1306" s="9"/>
      <c r="W1306" s="2"/>
      <c r="X1306" s="9"/>
      <c r="Y1306" s="8"/>
      <c r="Z1306" s="7"/>
      <c r="AA1306" s="7"/>
      <c r="AB1306" s="6"/>
    </row>
    <row r="1307" spans="18:28">
      <c r="R1307" s="4"/>
      <c r="S1307" s="4"/>
      <c r="T1307" s="11"/>
      <c r="U1307" s="11"/>
      <c r="V1307" s="9"/>
      <c r="W1307" s="2"/>
      <c r="X1307" s="9"/>
      <c r="Y1307" s="8"/>
      <c r="Z1307" s="7"/>
      <c r="AA1307" s="7"/>
      <c r="AB1307" s="6"/>
    </row>
    <row r="1308" spans="18:28">
      <c r="R1308" s="4"/>
      <c r="S1308" s="4"/>
      <c r="T1308" s="11"/>
      <c r="U1308" s="11"/>
      <c r="V1308" s="9"/>
      <c r="W1308" s="2"/>
      <c r="X1308" s="9"/>
      <c r="Y1308" s="8"/>
      <c r="Z1308" s="7"/>
      <c r="AA1308" s="7"/>
      <c r="AB1308" s="6"/>
    </row>
    <row r="1309" spans="18:28">
      <c r="R1309" s="4"/>
      <c r="S1309" s="4"/>
      <c r="T1309" s="11"/>
      <c r="U1309" s="11"/>
      <c r="V1309" s="9"/>
      <c r="W1309" s="2"/>
      <c r="X1309" s="9"/>
      <c r="Y1309" s="8"/>
      <c r="Z1309" s="7"/>
      <c r="AA1309" s="7"/>
      <c r="AB1309" s="6"/>
    </row>
    <row r="1310" spans="18:28">
      <c r="R1310" s="4"/>
      <c r="S1310" s="4"/>
      <c r="T1310" s="11"/>
      <c r="U1310" s="11"/>
      <c r="V1310" s="9"/>
      <c r="W1310" s="2"/>
      <c r="X1310" s="9"/>
      <c r="Y1310" s="8"/>
      <c r="Z1310" s="7"/>
      <c r="AA1310" s="7"/>
      <c r="AB1310" s="6"/>
    </row>
    <row r="1311" spans="18:28">
      <c r="R1311" s="4"/>
      <c r="S1311" s="4"/>
      <c r="T1311" s="11"/>
      <c r="U1311" s="11"/>
      <c r="V1311" s="9"/>
      <c r="W1311" s="2"/>
      <c r="X1311" s="9"/>
      <c r="Y1311" s="8"/>
      <c r="Z1311" s="7"/>
      <c r="AA1311" s="7"/>
      <c r="AB1311" s="6"/>
    </row>
    <row r="1312" spans="18:28">
      <c r="R1312" s="4"/>
      <c r="S1312" s="4"/>
      <c r="T1312" s="11"/>
      <c r="U1312" s="11"/>
      <c r="V1312" s="9"/>
      <c r="W1312" s="2"/>
      <c r="X1312" s="9"/>
      <c r="Y1312" s="8"/>
      <c r="Z1312" s="7"/>
      <c r="AA1312" s="7"/>
      <c r="AB1312" s="6"/>
    </row>
    <row r="1313" spans="18:28">
      <c r="R1313" s="4"/>
      <c r="S1313" s="4"/>
      <c r="T1313" s="11"/>
      <c r="U1313" s="11"/>
      <c r="V1313" s="9"/>
      <c r="W1313" s="2"/>
      <c r="X1313" s="9"/>
      <c r="Y1313" s="8"/>
      <c r="Z1313" s="7"/>
      <c r="AA1313" s="7"/>
      <c r="AB1313" s="6"/>
    </row>
    <row r="1314" spans="18:28">
      <c r="R1314" s="4"/>
      <c r="S1314" s="4"/>
      <c r="T1314" s="11"/>
      <c r="U1314" s="11"/>
      <c r="V1314" s="9"/>
      <c r="W1314" s="2"/>
      <c r="X1314" s="9"/>
      <c r="Y1314" s="8"/>
      <c r="Z1314" s="7"/>
      <c r="AA1314" s="7"/>
      <c r="AB1314" s="6"/>
    </row>
    <row r="1315" spans="18:28">
      <c r="R1315" s="4"/>
      <c r="S1315" s="4"/>
      <c r="T1315" s="11"/>
      <c r="U1315" s="11"/>
      <c r="V1315" s="9"/>
      <c r="W1315" s="2"/>
      <c r="X1315" s="9"/>
      <c r="Y1315" s="8"/>
      <c r="Z1315" s="7"/>
      <c r="AA1315" s="7"/>
      <c r="AB1315" s="6"/>
    </row>
    <row r="1316" spans="18:28">
      <c r="R1316" s="4"/>
      <c r="S1316" s="4"/>
      <c r="T1316" s="11"/>
      <c r="U1316" s="11"/>
      <c r="V1316" s="9"/>
      <c r="W1316" s="2"/>
      <c r="X1316" s="9"/>
      <c r="Y1316" s="8"/>
      <c r="Z1316" s="7"/>
      <c r="AA1316" s="7"/>
      <c r="AB1316" s="6"/>
    </row>
    <row r="1317" spans="18:28">
      <c r="R1317" s="4"/>
      <c r="S1317" s="4"/>
      <c r="T1317" s="11"/>
      <c r="U1317" s="11"/>
      <c r="V1317" s="9"/>
      <c r="W1317" s="2"/>
      <c r="X1317" s="9"/>
      <c r="Y1317" s="8"/>
      <c r="Z1317" s="7"/>
      <c r="AA1317" s="7"/>
      <c r="AB1317" s="6"/>
    </row>
    <row r="1318" spans="18:28">
      <c r="R1318" s="4"/>
      <c r="S1318" s="4"/>
      <c r="T1318" s="11"/>
      <c r="U1318" s="11"/>
      <c r="V1318" s="9"/>
      <c r="W1318" s="2"/>
      <c r="X1318" s="9"/>
      <c r="Y1318" s="8"/>
      <c r="Z1318" s="7"/>
      <c r="AA1318" s="7"/>
      <c r="AB1318" s="6"/>
    </row>
    <row r="1319" spans="18:28">
      <c r="R1319" s="4"/>
      <c r="S1319" s="4"/>
      <c r="T1319" s="11"/>
      <c r="U1319" s="11"/>
      <c r="V1319" s="9"/>
      <c r="W1319" s="2"/>
      <c r="X1319" s="9"/>
      <c r="Y1319" s="8"/>
      <c r="Z1319" s="7"/>
      <c r="AA1319" s="7"/>
      <c r="AB1319" s="6"/>
    </row>
    <row r="1320" spans="18:28">
      <c r="R1320" s="4"/>
      <c r="S1320" s="4"/>
      <c r="T1320" s="11"/>
      <c r="U1320" s="11"/>
      <c r="V1320" s="9"/>
      <c r="W1320" s="2"/>
      <c r="X1320" s="9"/>
      <c r="Y1320" s="8"/>
      <c r="Z1320" s="7"/>
      <c r="AA1320" s="7"/>
      <c r="AB1320" s="6"/>
    </row>
    <row r="1321" spans="18:28">
      <c r="R1321" s="4"/>
      <c r="S1321" s="4"/>
      <c r="T1321" s="11"/>
      <c r="U1321" s="11"/>
      <c r="V1321" s="9"/>
      <c r="W1321" s="2"/>
      <c r="X1321" s="9"/>
      <c r="Y1321" s="8"/>
      <c r="Z1321" s="7"/>
      <c r="AA1321" s="7"/>
      <c r="AB1321" s="6"/>
    </row>
    <row r="1322" spans="18:28">
      <c r="R1322" s="4"/>
      <c r="S1322" s="4"/>
      <c r="T1322" s="11"/>
      <c r="U1322" s="11"/>
      <c r="V1322" s="9"/>
      <c r="W1322" s="2"/>
      <c r="X1322" s="9"/>
      <c r="Y1322" s="8"/>
      <c r="Z1322" s="7"/>
      <c r="AA1322" s="7"/>
      <c r="AB1322" s="6"/>
    </row>
    <row r="1323" spans="18:28">
      <c r="R1323" s="4"/>
      <c r="S1323" s="4"/>
      <c r="T1323" s="11"/>
      <c r="U1323" s="11"/>
      <c r="V1323" s="9"/>
      <c r="W1323" s="2"/>
      <c r="X1323" s="9"/>
      <c r="Y1323" s="8"/>
      <c r="Z1323" s="7"/>
      <c r="AA1323" s="7"/>
      <c r="AB1323" s="6"/>
    </row>
    <row r="1324" spans="18:28">
      <c r="R1324" s="4"/>
      <c r="S1324" s="4"/>
      <c r="T1324" s="11"/>
      <c r="U1324" s="11"/>
      <c r="V1324" s="9"/>
      <c r="W1324" s="2"/>
      <c r="X1324" s="9"/>
      <c r="Y1324" s="8"/>
      <c r="Z1324" s="7"/>
      <c r="AA1324" s="7"/>
      <c r="AB1324" s="6"/>
    </row>
    <row r="1325" spans="18:28">
      <c r="R1325" s="4"/>
      <c r="S1325" s="4"/>
      <c r="T1325" s="11"/>
      <c r="U1325" s="11"/>
      <c r="V1325" s="9"/>
      <c r="W1325" s="2"/>
      <c r="X1325" s="9"/>
      <c r="Y1325" s="8"/>
      <c r="Z1325" s="7"/>
      <c r="AA1325" s="7"/>
      <c r="AB1325" s="6"/>
    </row>
    <row r="1326" spans="18:28">
      <c r="R1326" s="4"/>
      <c r="S1326" s="4"/>
      <c r="T1326" s="11"/>
      <c r="U1326" s="11"/>
      <c r="V1326" s="9"/>
      <c r="W1326" s="2"/>
      <c r="X1326" s="9"/>
      <c r="Y1326" s="8"/>
      <c r="Z1326" s="7"/>
      <c r="AA1326" s="7"/>
      <c r="AB1326" s="6"/>
    </row>
    <row r="1327" spans="18:28">
      <c r="R1327" s="4"/>
      <c r="S1327" s="4"/>
      <c r="T1327" s="11"/>
      <c r="U1327" s="11"/>
      <c r="V1327" s="9"/>
      <c r="W1327" s="2"/>
      <c r="X1327" s="9"/>
      <c r="Y1327" s="8"/>
      <c r="Z1327" s="7"/>
      <c r="AA1327" s="7"/>
      <c r="AB1327" s="6"/>
    </row>
    <row r="1328" spans="18:28">
      <c r="R1328" s="4"/>
      <c r="S1328" s="4"/>
      <c r="T1328" s="11"/>
      <c r="U1328" s="11"/>
      <c r="V1328" s="9"/>
      <c r="W1328" s="2"/>
      <c r="X1328" s="9"/>
      <c r="Y1328" s="8"/>
      <c r="Z1328" s="7"/>
      <c r="AA1328" s="7"/>
      <c r="AB1328" s="6"/>
    </row>
    <row r="1329" spans="18:28">
      <c r="R1329" s="4"/>
      <c r="S1329" s="4"/>
      <c r="T1329" s="11"/>
      <c r="U1329" s="11"/>
      <c r="V1329" s="9"/>
      <c r="W1329" s="2"/>
      <c r="X1329" s="9"/>
      <c r="Y1329" s="8"/>
      <c r="Z1329" s="7"/>
      <c r="AA1329" s="7"/>
      <c r="AB1329" s="6"/>
    </row>
    <row r="1330" spans="18:28">
      <c r="R1330" s="4"/>
      <c r="S1330" s="4"/>
      <c r="T1330" s="11"/>
      <c r="U1330" s="11"/>
      <c r="V1330" s="9"/>
      <c r="W1330" s="2"/>
      <c r="X1330" s="9"/>
      <c r="Y1330" s="8"/>
      <c r="Z1330" s="7"/>
      <c r="AA1330" s="7"/>
      <c r="AB1330" s="6"/>
    </row>
    <row r="1331" spans="18:28">
      <c r="R1331" s="4"/>
      <c r="S1331" s="4"/>
      <c r="T1331" s="11"/>
      <c r="U1331" s="11"/>
      <c r="V1331" s="9"/>
      <c r="W1331" s="2"/>
      <c r="X1331" s="9"/>
      <c r="Y1331" s="8"/>
      <c r="Z1331" s="7"/>
      <c r="AA1331" s="7"/>
      <c r="AB1331" s="6"/>
    </row>
    <row r="1332" spans="18:28">
      <c r="R1332" s="4"/>
      <c r="S1332" s="4"/>
      <c r="T1332" s="11"/>
      <c r="U1332" s="11"/>
      <c r="V1332" s="9"/>
      <c r="W1332" s="2"/>
      <c r="X1332" s="9"/>
      <c r="Y1332" s="8"/>
      <c r="Z1332" s="7"/>
      <c r="AA1332" s="7"/>
      <c r="AB1332" s="6"/>
    </row>
    <row r="1333" spans="18:28">
      <c r="R1333" s="4"/>
      <c r="S1333" s="4"/>
      <c r="T1333" s="11"/>
      <c r="U1333" s="11"/>
      <c r="V1333" s="9"/>
      <c r="W1333" s="2"/>
      <c r="X1333" s="9"/>
      <c r="Y1333" s="8"/>
      <c r="Z1333" s="7"/>
      <c r="AA1333" s="7"/>
      <c r="AB1333" s="6"/>
    </row>
    <row r="1334" spans="18:28">
      <c r="R1334" s="4"/>
      <c r="S1334" s="4"/>
      <c r="T1334" s="11"/>
      <c r="U1334" s="11"/>
      <c r="V1334" s="9"/>
      <c r="W1334" s="2"/>
      <c r="X1334" s="9"/>
      <c r="Y1334" s="8"/>
      <c r="Z1334" s="7"/>
      <c r="AA1334" s="7"/>
      <c r="AB1334" s="6"/>
    </row>
    <row r="1335" spans="18:28">
      <c r="R1335" s="4"/>
      <c r="S1335" s="4"/>
      <c r="T1335" s="11"/>
      <c r="U1335" s="11"/>
      <c r="V1335" s="9"/>
      <c r="W1335" s="2"/>
      <c r="X1335" s="9"/>
      <c r="Y1335" s="8"/>
      <c r="Z1335" s="7"/>
      <c r="AA1335" s="7"/>
      <c r="AB1335" s="6"/>
    </row>
    <row r="1336" spans="18:28">
      <c r="R1336" s="4"/>
      <c r="S1336" s="4"/>
      <c r="T1336" s="11"/>
      <c r="U1336" s="11"/>
      <c r="V1336" s="9"/>
      <c r="W1336" s="2"/>
      <c r="X1336" s="9"/>
      <c r="Y1336" s="8"/>
      <c r="Z1336" s="7"/>
      <c r="AA1336" s="7"/>
      <c r="AB1336" s="6"/>
    </row>
    <row r="1337" spans="18:28">
      <c r="R1337" s="4"/>
      <c r="S1337" s="4"/>
      <c r="T1337" s="11"/>
      <c r="U1337" s="11"/>
      <c r="V1337" s="9"/>
      <c r="W1337" s="2"/>
      <c r="X1337" s="9"/>
      <c r="Y1337" s="8"/>
      <c r="Z1337" s="7"/>
      <c r="AA1337" s="7"/>
      <c r="AB1337" s="6"/>
    </row>
    <row r="1338" spans="18:28">
      <c r="R1338" s="4"/>
      <c r="S1338" s="4"/>
      <c r="T1338" s="11"/>
      <c r="U1338" s="11"/>
      <c r="V1338" s="9"/>
      <c r="W1338" s="2"/>
      <c r="X1338" s="9"/>
      <c r="Y1338" s="8"/>
      <c r="Z1338" s="7"/>
      <c r="AA1338" s="7"/>
      <c r="AB1338" s="6"/>
    </row>
    <row r="1339" spans="18:28">
      <c r="R1339" s="4"/>
      <c r="S1339" s="4"/>
      <c r="T1339" s="11"/>
      <c r="U1339" s="11"/>
      <c r="V1339" s="9"/>
      <c r="W1339" s="2"/>
      <c r="X1339" s="9"/>
      <c r="Y1339" s="8"/>
      <c r="Z1339" s="7"/>
      <c r="AA1339" s="7"/>
      <c r="AB1339" s="6"/>
    </row>
    <row r="1340" spans="18:28">
      <c r="R1340" s="4"/>
      <c r="S1340" s="4"/>
      <c r="T1340" s="11"/>
      <c r="U1340" s="11"/>
      <c r="V1340" s="9"/>
      <c r="W1340" s="2"/>
      <c r="X1340" s="9"/>
      <c r="Y1340" s="8"/>
      <c r="Z1340" s="7"/>
      <c r="AA1340" s="7"/>
      <c r="AB1340" s="6"/>
    </row>
    <row r="1341" spans="18:28">
      <c r="R1341" s="4"/>
      <c r="S1341" s="4"/>
      <c r="T1341" s="11"/>
      <c r="U1341" s="11"/>
      <c r="V1341" s="9"/>
      <c r="W1341" s="2"/>
      <c r="X1341" s="9"/>
      <c r="Y1341" s="8"/>
      <c r="Z1341" s="7"/>
      <c r="AA1341" s="7"/>
      <c r="AB1341" s="6"/>
    </row>
    <row r="1342" spans="18:28">
      <c r="R1342" s="4"/>
      <c r="S1342" s="4"/>
      <c r="T1342" s="11"/>
      <c r="U1342" s="11"/>
      <c r="V1342" s="9"/>
      <c r="W1342" s="2"/>
      <c r="X1342" s="9"/>
      <c r="Y1342" s="8"/>
      <c r="Z1342" s="7"/>
      <c r="AA1342" s="7"/>
      <c r="AB1342" s="6"/>
    </row>
    <row r="1343" spans="18:28">
      <c r="R1343" s="4"/>
      <c r="S1343" s="4"/>
      <c r="T1343" s="11"/>
      <c r="U1343" s="11"/>
      <c r="V1343" s="9"/>
      <c r="W1343" s="2"/>
      <c r="X1343" s="9"/>
      <c r="Y1343" s="8"/>
      <c r="Z1343" s="7"/>
      <c r="AA1343" s="7"/>
      <c r="AB1343" s="6"/>
    </row>
    <row r="1344" spans="18:28">
      <c r="R1344" s="4"/>
      <c r="S1344" s="4"/>
      <c r="T1344" s="11"/>
      <c r="U1344" s="11"/>
      <c r="V1344" s="9"/>
      <c r="W1344" s="2"/>
      <c r="X1344" s="9"/>
      <c r="Y1344" s="8"/>
      <c r="Z1344" s="7"/>
      <c r="AA1344" s="7"/>
      <c r="AB1344" s="6"/>
    </row>
    <row r="1345" spans="18:28">
      <c r="R1345" s="4"/>
      <c r="S1345" s="4"/>
      <c r="T1345" s="11"/>
      <c r="U1345" s="11"/>
      <c r="V1345" s="9"/>
      <c r="W1345" s="2"/>
      <c r="X1345" s="9"/>
      <c r="Y1345" s="8"/>
      <c r="Z1345" s="7"/>
      <c r="AA1345" s="7"/>
      <c r="AB1345" s="6"/>
    </row>
    <row r="1346" spans="18:28">
      <c r="R1346" s="4"/>
      <c r="S1346" s="4"/>
      <c r="T1346" s="11"/>
      <c r="U1346" s="11"/>
      <c r="V1346" s="9"/>
      <c r="W1346" s="2"/>
      <c r="X1346" s="9"/>
      <c r="Y1346" s="8"/>
      <c r="Z1346" s="7"/>
      <c r="AA1346" s="7"/>
      <c r="AB1346" s="6"/>
    </row>
    <row r="1347" spans="18:28">
      <c r="R1347" s="4"/>
      <c r="S1347" s="4"/>
      <c r="T1347" s="11"/>
      <c r="U1347" s="11"/>
      <c r="V1347" s="9"/>
      <c r="W1347" s="2"/>
      <c r="X1347" s="9"/>
      <c r="Y1347" s="8"/>
      <c r="Z1347" s="7"/>
      <c r="AA1347" s="7"/>
      <c r="AB1347" s="6"/>
    </row>
    <row r="1348" spans="18:28">
      <c r="R1348" s="4"/>
      <c r="S1348" s="4"/>
      <c r="T1348" s="11"/>
      <c r="U1348" s="11"/>
      <c r="V1348" s="9"/>
      <c r="W1348" s="2"/>
      <c r="X1348" s="9"/>
      <c r="Y1348" s="8"/>
      <c r="Z1348" s="7"/>
      <c r="AA1348" s="7"/>
      <c r="AB1348" s="6"/>
    </row>
    <row r="1349" spans="18:28">
      <c r="R1349" s="4"/>
      <c r="S1349" s="4"/>
      <c r="T1349" s="11"/>
      <c r="U1349" s="11"/>
      <c r="V1349" s="9"/>
      <c r="W1349" s="2"/>
      <c r="X1349" s="9"/>
      <c r="Y1349" s="8"/>
      <c r="Z1349" s="7"/>
      <c r="AA1349" s="7"/>
      <c r="AB1349" s="6"/>
    </row>
    <row r="1350" spans="18:28">
      <c r="R1350" s="4"/>
      <c r="S1350" s="4"/>
      <c r="T1350" s="11"/>
      <c r="U1350" s="11"/>
      <c r="V1350" s="9"/>
      <c r="W1350" s="2"/>
      <c r="X1350" s="9"/>
      <c r="Y1350" s="8"/>
      <c r="Z1350" s="7"/>
      <c r="AA1350" s="7"/>
      <c r="AB1350" s="6"/>
    </row>
    <row r="1351" spans="18:28">
      <c r="R1351" s="4"/>
      <c r="S1351" s="4"/>
      <c r="T1351" s="11"/>
      <c r="U1351" s="11"/>
      <c r="V1351" s="9"/>
      <c r="W1351" s="2"/>
      <c r="X1351" s="9"/>
      <c r="Y1351" s="8"/>
      <c r="Z1351" s="7"/>
      <c r="AA1351" s="7"/>
      <c r="AB1351" s="6"/>
    </row>
    <row r="1352" spans="18:28">
      <c r="R1352" s="4"/>
      <c r="S1352" s="4"/>
      <c r="T1352" s="11"/>
      <c r="U1352" s="11"/>
      <c r="V1352" s="9"/>
      <c r="W1352" s="2"/>
      <c r="X1352" s="9"/>
      <c r="Y1352" s="8"/>
      <c r="Z1352" s="7"/>
      <c r="AA1352" s="7"/>
      <c r="AB1352" s="6"/>
    </row>
    <row r="1353" spans="18:28">
      <c r="R1353" s="4"/>
      <c r="S1353" s="4"/>
      <c r="T1353" s="11"/>
      <c r="U1353" s="11"/>
      <c r="V1353" s="9"/>
      <c r="W1353" s="2"/>
      <c r="X1353" s="9"/>
      <c r="Y1353" s="8"/>
      <c r="Z1353" s="7"/>
      <c r="AA1353" s="7"/>
      <c r="AB1353" s="6"/>
    </row>
    <row r="1354" spans="18:28">
      <c r="R1354" s="4"/>
      <c r="S1354" s="4"/>
      <c r="T1354" s="11"/>
      <c r="U1354" s="11"/>
      <c r="V1354" s="9"/>
      <c r="W1354" s="2"/>
      <c r="X1354" s="9"/>
      <c r="Y1354" s="8"/>
      <c r="Z1354" s="7"/>
      <c r="AA1354" s="7"/>
      <c r="AB1354" s="6"/>
    </row>
    <row r="1355" spans="18:28">
      <c r="R1355" s="4"/>
      <c r="S1355" s="4"/>
      <c r="T1355" s="11"/>
      <c r="U1355" s="11"/>
      <c r="V1355" s="9"/>
      <c r="W1355" s="2"/>
      <c r="X1355" s="9"/>
      <c r="Y1355" s="8"/>
      <c r="Z1355" s="7"/>
      <c r="AA1355" s="7"/>
      <c r="AB1355" s="6"/>
    </row>
    <row r="1356" spans="18:28">
      <c r="R1356" s="4"/>
      <c r="S1356" s="4"/>
      <c r="T1356" s="11"/>
      <c r="U1356" s="11"/>
      <c r="V1356" s="9"/>
      <c r="W1356" s="2"/>
      <c r="X1356" s="9"/>
      <c r="Y1356" s="8"/>
      <c r="Z1356" s="7"/>
      <c r="AA1356" s="7"/>
      <c r="AB1356" s="6"/>
    </row>
    <row r="1357" spans="18:28">
      <c r="R1357" s="4"/>
      <c r="S1357" s="4"/>
      <c r="T1357" s="11"/>
      <c r="U1357" s="11"/>
      <c r="V1357" s="9"/>
      <c r="W1357" s="2"/>
      <c r="X1357" s="9"/>
      <c r="Y1357" s="8"/>
      <c r="Z1357" s="7"/>
      <c r="AA1357" s="7"/>
      <c r="AB1357" s="6"/>
    </row>
    <row r="1358" spans="18:28">
      <c r="R1358" s="4"/>
      <c r="S1358" s="4"/>
      <c r="T1358" s="11"/>
      <c r="U1358" s="11"/>
      <c r="V1358" s="9"/>
      <c r="W1358" s="2"/>
      <c r="X1358" s="9"/>
      <c r="Y1358" s="8"/>
      <c r="Z1358" s="7"/>
      <c r="AA1358" s="7"/>
      <c r="AB1358" s="6"/>
    </row>
    <row r="1359" spans="18:28">
      <c r="R1359" s="4"/>
      <c r="S1359" s="4"/>
      <c r="T1359" s="11"/>
      <c r="U1359" s="11"/>
      <c r="V1359" s="9"/>
      <c r="W1359" s="2"/>
      <c r="X1359" s="9"/>
      <c r="Y1359" s="8"/>
      <c r="Z1359" s="7"/>
      <c r="AA1359" s="7"/>
      <c r="AB1359" s="6"/>
    </row>
    <row r="1360" spans="18:28">
      <c r="R1360" s="4"/>
      <c r="S1360" s="4"/>
      <c r="T1360" s="11"/>
      <c r="U1360" s="11"/>
      <c r="V1360" s="9"/>
      <c r="W1360" s="2"/>
      <c r="X1360" s="9"/>
      <c r="Y1360" s="8"/>
      <c r="Z1360" s="7"/>
      <c r="AA1360" s="7"/>
      <c r="AB1360" s="6"/>
    </row>
    <row r="1361" spans="18:28">
      <c r="R1361" s="4"/>
      <c r="S1361" s="4"/>
      <c r="T1361" s="11"/>
      <c r="U1361" s="11"/>
      <c r="V1361" s="9"/>
      <c r="W1361" s="2"/>
      <c r="X1361" s="9"/>
      <c r="Y1361" s="8"/>
      <c r="Z1361" s="7"/>
      <c r="AA1361" s="7"/>
      <c r="AB1361" s="6"/>
    </row>
    <row r="1362" spans="18:28">
      <c r="R1362" s="4"/>
      <c r="S1362" s="4"/>
      <c r="T1362" s="11"/>
      <c r="U1362" s="11"/>
      <c r="V1362" s="9"/>
      <c r="W1362" s="2"/>
      <c r="X1362" s="9"/>
      <c r="Y1362" s="8"/>
      <c r="Z1362" s="7"/>
      <c r="AA1362" s="7"/>
      <c r="AB1362" s="6"/>
    </row>
    <row r="1363" spans="18:28">
      <c r="R1363" s="4"/>
      <c r="S1363" s="4"/>
      <c r="T1363" s="11"/>
      <c r="U1363" s="11"/>
      <c r="V1363" s="9"/>
      <c r="W1363" s="2"/>
      <c r="X1363" s="9"/>
      <c r="Y1363" s="8"/>
      <c r="Z1363" s="7"/>
      <c r="AA1363" s="7"/>
      <c r="AB1363" s="6"/>
    </row>
    <row r="1364" spans="18:28">
      <c r="T1364" s="10"/>
      <c r="U1364" s="10"/>
      <c r="V1364" s="9"/>
      <c r="W1364" s="2"/>
      <c r="X1364" s="9"/>
      <c r="Y1364" s="8"/>
      <c r="Z1364" s="7"/>
      <c r="AA1364" s="7"/>
      <c r="AB1364" s="6"/>
    </row>
    <row r="1365" spans="18:28">
      <c r="T1365" s="10"/>
      <c r="U1365" s="10"/>
      <c r="V1365" s="9"/>
      <c r="W1365" s="2"/>
      <c r="X1365" s="9"/>
      <c r="Y1365" s="8"/>
      <c r="Z1365" s="7"/>
      <c r="AA1365" s="7"/>
      <c r="AB1365" s="6"/>
    </row>
    <row r="1366" spans="18:28">
      <c r="T1366" s="10"/>
      <c r="U1366" s="10"/>
      <c r="V1366" s="9"/>
      <c r="W1366" s="2"/>
      <c r="X1366" s="9"/>
      <c r="Y1366" s="8"/>
      <c r="Z1366" s="7"/>
      <c r="AA1366" s="7"/>
      <c r="AB1366" s="6"/>
    </row>
    <row r="1367" spans="18:28">
      <c r="T1367" s="10"/>
      <c r="U1367" s="10"/>
      <c r="V1367" s="9"/>
      <c r="W1367" s="2"/>
      <c r="X1367" s="9"/>
      <c r="Y1367" s="8"/>
      <c r="Z1367" s="7"/>
      <c r="AA1367" s="7"/>
      <c r="AB1367" s="6"/>
    </row>
    <row r="1368" spans="18:28">
      <c r="T1368" s="10"/>
      <c r="U1368" s="10"/>
      <c r="V1368" s="9"/>
      <c r="W1368" s="2"/>
      <c r="X1368" s="9"/>
      <c r="Y1368" s="8"/>
      <c r="Z1368" s="7"/>
      <c r="AA1368" s="7"/>
      <c r="AB1368" s="6"/>
    </row>
    <row r="1369" spans="18:28">
      <c r="T1369" s="10"/>
      <c r="U1369" s="10"/>
      <c r="V1369" s="9"/>
      <c r="W1369" s="2"/>
      <c r="X1369" s="9"/>
      <c r="Y1369" s="8"/>
      <c r="Z1369" s="7"/>
      <c r="AA1369" s="7"/>
      <c r="AB1369" s="6"/>
    </row>
    <row r="1370" spans="18:28">
      <c r="T1370" s="10"/>
      <c r="U1370" s="10"/>
      <c r="V1370" s="9"/>
      <c r="W1370" s="2"/>
      <c r="X1370" s="9"/>
      <c r="Y1370" s="8"/>
      <c r="Z1370" s="7"/>
      <c r="AA1370" s="7"/>
      <c r="AB1370" s="6"/>
    </row>
    <row r="1371" spans="18:28">
      <c r="T1371" s="10"/>
      <c r="U1371" s="10"/>
      <c r="V1371" s="9"/>
      <c r="W1371" s="2"/>
      <c r="X1371" s="9"/>
      <c r="Y1371" s="8"/>
      <c r="Z1371" s="7"/>
      <c r="AA1371" s="7"/>
      <c r="AB1371" s="6"/>
    </row>
    <row r="1372" spans="18:28">
      <c r="T1372" s="10"/>
      <c r="U1372" s="10"/>
      <c r="V1372" s="9"/>
      <c r="W1372" s="2"/>
      <c r="X1372" s="9"/>
      <c r="Y1372" s="8"/>
      <c r="Z1372" s="7"/>
      <c r="AA1372" s="7"/>
      <c r="AB1372" s="6"/>
    </row>
    <row r="1373" spans="18:28">
      <c r="T1373" s="10"/>
      <c r="U1373" s="10"/>
      <c r="V1373" s="9"/>
      <c r="W1373" s="2"/>
      <c r="X1373" s="9"/>
      <c r="Y1373" s="8"/>
      <c r="Z1373" s="7"/>
      <c r="AA1373" s="7"/>
      <c r="AB1373" s="6"/>
    </row>
    <row r="1374" spans="18:28">
      <c r="T1374" s="10"/>
      <c r="U1374" s="10"/>
      <c r="V1374" s="9"/>
      <c r="W1374" s="2"/>
      <c r="X1374" s="9"/>
      <c r="Y1374" s="8"/>
      <c r="Z1374" s="7"/>
      <c r="AA1374" s="7"/>
      <c r="AB1374" s="6"/>
    </row>
    <row r="1375" spans="18:28">
      <c r="T1375" s="10"/>
      <c r="U1375" s="10"/>
      <c r="V1375" s="9"/>
      <c r="W1375" s="2"/>
      <c r="X1375" s="9"/>
      <c r="Y1375" s="8"/>
      <c r="Z1375" s="7"/>
      <c r="AA1375" s="7"/>
      <c r="AB1375" s="6"/>
    </row>
    <row r="1376" spans="18:28">
      <c r="T1376" s="10"/>
      <c r="U1376" s="10"/>
      <c r="V1376" s="9"/>
      <c r="W1376" s="2"/>
      <c r="X1376" s="9"/>
      <c r="Y1376" s="8"/>
      <c r="Z1376" s="7"/>
      <c r="AA1376" s="7"/>
      <c r="AB1376" s="6"/>
    </row>
    <row r="1377" spans="20:28">
      <c r="T1377" s="10"/>
      <c r="U1377" s="10"/>
      <c r="V1377" s="9"/>
      <c r="W1377" s="2"/>
      <c r="X1377" s="9"/>
      <c r="Y1377" s="8"/>
      <c r="Z1377" s="7"/>
      <c r="AA1377" s="7"/>
      <c r="AB1377" s="6"/>
    </row>
    <row r="1378" spans="20:28">
      <c r="T1378" s="10"/>
      <c r="U1378" s="10"/>
      <c r="V1378" s="9"/>
      <c r="W1378" s="2"/>
      <c r="X1378" s="9"/>
      <c r="Y1378" s="8"/>
      <c r="Z1378" s="7"/>
      <c r="AA1378" s="7"/>
      <c r="AB1378" s="6"/>
    </row>
    <row r="1379" spans="20:28">
      <c r="T1379" s="10"/>
      <c r="U1379" s="10"/>
      <c r="V1379" s="9"/>
      <c r="W1379" s="2"/>
      <c r="X1379" s="9"/>
      <c r="Y1379" s="8"/>
      <c r="Z1379" s="7"/>
      <c r="AA1379" s="7"/>
      <c r="AB1379" s="6"/>
    </row>
    <row r="1380" spans="20:28">
      <c r="T1380" s="10"/>
      <c r="U1380" s="10"/>
      <c r="V1380" s="9"/>
      <c r="W1380" s="2"/>
      <c r="X1380" s="9"/>
      <c r="Y1380" s="8"/>
      <c r="Z1380" s="7"/>
      <c r="AA1380" s="7"/>
      <c r="AB1380" s="6"/>
    </row>
    <row r="1381" spans="20:28">
      <c r="T1381" s="10"/>
      <c r="U1381" s="10"/>
      <c r="V1381" s="9"/>
      <c r="W1381" s="2"/>
      <c r="X1381" s="9"/>
      <c r="Y1381" s="8"/>
      <c r="Z1381" s="7"/>
      <c r="AA1381" s="7"/>
      <c r="AB1381" s="6"/>
    </row>
    <row r="1382" spans="20:28">
      <c r="T1382" s="10"/>
      <c r="U1382" s="10"/>
      <c r="V1382" s="9"/>
      <c r="W1382" s="2"/>
      <c r="X1382" s="9"/>
      <c r="Y1382" s="8"/>
      <c r="Z1382" s="7"/>
      <c r="AA1382" s="7"/>
      <c r="AB1382" s="6"/>
    </row>
    <row r="1383" spans="20:28">
      <c r="T1383" s="10"/>
      <c r="U1383" s="10"/>
      <c r="V1383" s="9"/>
      <c r="W1383" s="2"/>
      <c r="X1383" s="9"/>
      <c r="Y1383" s="8"/>
      <c r="Z1383" s="7"/>
      <c r="AA1383" s="7"/>
      <c r="AB1383" s="6"/>
    </row>
    <row r="1384" spans="20:28">
      <c r="T1384" s="10"/>
      <c r="U1384" s="10"/>
      <c r="V1384" s="9"/>
      <c r="W1384" s="2"/>
      <c r="X1384" s="9"/>
      <c r="Y1384" s="8"/>
      <c r="Z1384" s="7"/>
      <c r="AA1384" s="7"/>
      <c r="AB1384" s="6"/>
    </row>
    <row r="1385" spans="20:28">
      <c r="T1385" s="10"/>
      <c r="U1385" s="10"/>
      <c r="V1385" s="9"/>
      <c r="W1385" s="2"/>
      <c r="X1385" s="9"/>
      <c r="Y1385" s="8"/>
      <c r="Z1385" s="7"/>
      <c r="AA1385" s="7"/>
      <c r="AB1385" s="6"/>
    </row>
    <row r="1386" spans="20:28">
      <c r="T1386" s="10"/>
      <c r="U1386" s="10"/>
      <c r="V1386" s="9"/>
      <c r="W1386" s="2"/>
      <c r="X1386" s="9"/>
      <c r="Y1386" s="8"/>
      <c r="Z1386" s="7"/>
      <c r="AA1386" s="7"/>
      <c r="AB1386" s="6"/>
    </row>
    <row r="1387" spans="20:28">
      <c r="T1387" s="10"/>
      <c r="U1387" s="10"/>
      <c r="V1387" s="9"/>
      <c r="W1387" s="2"/>
      <c r="X1387" s="9"/>
      <c r="Y1387" s="8"/>
      <c r="Z1387" s="7"/>
      <c r="AA1387" s="7"/>
      <c r="AB1387" s="6"/>
    </row>
    <row r="1388" spans="20:28">
      <c r="T1388" s="10"/>
      <c r="U1388" s="10"/>
      <c r="V1388" s="9"/>
      <c r="W1388" s="2"/>
      <c r="X1388" s="9"/>
      <c r="Y1388" s="8"/>
      <c r="Z1388" s="7"/>
      <c r="AA1388" s="7"/>
      <c r="AB1388" s="6"/>
    </row>
    <row r="1389" spans="20:28">
      <c r="T1389" s="10"/>
      <c r="U1389" s="10"/>
      <c r="V1389" s="9"/>
      <c r="W1389" s="2"/>
      <c r="X1389" s="9"/>
      <c r="Y1389" s="8"/>
      <c r="Z1389" s="7"/>
      <c r="AA1389" s="7"/>
      <c r="AB1389" s="6"/>
    </row>
    <row r="1390" spans="20:28">
      <c r="T1390" s="10"/>
      <c r="U1390" s="10"/>
      <c r="V1390" s="9"/>
      <c r="W1390" s="2"/>
      <c r="X1390" s="9"/>
      <c r="Y1390" s="8"/>
      <c r="Z1390" s="7"/>
      <c r="AA1390" s="7"/>
      <c r="AB1390" s="6"/>
    </row>
    <row r="1391" spans="20:28">
      <c r="T1391" s="10"/>
      <c r="U1391" s="10"/>
      <c r="V1391" s="9"/>
      <c r="W1391" s="2"/>
      <c r="X1391" s="9"/>
      <c r="Y1391" s="8"/>
      <c r="Z1391" s="7"/>
      <c r="AA1391" s="7"/>
      <c r="AB1391" s="6"/>
    </row>
    <row r="1392" spans="20:28">
      <c r="T1392" s="10"/>
      <c r="U1392" s="10"/>
      <c r="V1392" s="9"/>
      <c r="W1392" s="2"/>
      <c r="X1392" s="9"/>
      <c r="Y1392" s="8"/>
      <c r="Z1392" s="7"/>
      <c r="AA1392" s="7"/>
      <c r="AB1392" s="6"/>
    </row>
    <row r="1393" spans="20:28">
      <c r="T1393" s="10"/>
      <c r="U1393" s="10"/>
      <c r="V1393" s="9"/>
      <c r="W1393" s="2"/>
      <c r="X1393" s="9"/>
      <c r="Y1393" s="8"/>
      <c r="Z1393" s="7"/>
      <c r="AA1393" s="7"/>
      <c r="AB1393" s="6"/>
    </row>
    <row r="1394" spans="20:28">
      <c r="T1394" s="10"/>
      <c r="U1394" s="10"/>
      <c r="V1394" s="9"/>
      <c r="W1394" s="2"/>
      <c r="X1394" s="9"/>
      <c r="Y1394" s="8"/>
      <c r="Z1394" s="7"/>
      <c r="AA1394" s="7"/>
      <c r="AB1394" s="6"/>
    </row>
    <row r="1395" spans="20:28">
      <c r="T1395" s="10"/>
      <c r="U1395" s="10"/>
      <c r="V1395" s="9"/>
      <c r="W1395" s="2"/>
      <c r="X1395" s="9"/>
      <c r="Y1395" s="8"/>
      <c r="Z1395" s="7"/>
      <c r="AA1395" s="7"/>
      <c r="AB1395" s="6"/>
    </row>
    <row r="1396" spans="20:28">
      <c r="T1396" s="10"/>
      <c r="U1396" s="10"/>
      <c r="V1396" s="9"/>
      <c r="W1396" s="2"/>
      <c r="X1396" s="9"/>
      <c r="Y1396" s="8"/>
      <c r="Z1396" s="7"/>
      <c r="AA1396" s="7"/>
      <c r="AB1396" s="6"/>
    </row>
    <row r="1397" spans="20:28">
      <c r="T1397" s="10"/>
      <c r="U1397" s="10"/>
      <c r="V1397" s="9"/>
      <c r="W1397" s="2"/>
      <c r="X1397" s="9"/>
      <c r="Y1397" s="8"/>
      <c r="Z1397" s="7"/>
      <c r="AA1397" s="7"/>
      <c r="AB1397" s="6"/>
    </row>
    <row r="1398" spans="20:28">
      <c r="T1398" s="10"/>
      <c r="U1398" s="10"/>
      <c r="V1398" s="9"/>
      <c r="W1398" s="2"/>
      <c r="X1398" s="9"/>
      <c r="Y1398" s="8"/>
      <c r="Z1398" s="7"/>
      <c r="AA1398" s="7"/>
      <c r="AB1398" s="6"/>
    </row>
    <row r="1399" spans="20:28">
      <c r="T1399" s="10"/>
      <c r="U1399" s="10"/>
      <c r="V1399" s="9"/>
      <c r="W1399" s="2"/>
      <c r="X1399" s="9"/>
      <c r="Y1399" s="8"/>
      <c r="Z1399" s="7"/>
      <c r="AA1399" s="7"/>
      <c r="AB1399" s="6"/>
    </row>
    <row r="1400" spans="20:28">
      <c r="T1400" s="10"/>
      <c r="U1400" s="10"/>
      <c r="V1400" s="9"/>
      <c r="W1400" s="2"/>
      <c r="X1400" s="9"/>
      <c r="Y1400" s="8"/>
      <c r="Z1400" s="7"/>
      <c r="AA1400" s="7"/>
      <c r="AB1400" s="6"/>
    </row>
    <row r="1401" spans="20:28">
      <c r="T1401" s="10"/>
      <c r="U1401" s="10"/>
      <c r="V1401" s="9"/>
      <c r="W1401" s="2"/>
      <c r="X1401" s="9"/>
      <c r="Y1401" s="8"/>
      <c r="Z1401" s="7"/>
      <c r="AA1401" s="7"/>
      <c r="AB1401" s="6"/>
    </row>
    <row r="1402" spans="20:28">
      <c r="T1402" s="10"/>
      <c r="U1402" s="10"/>
      <c r="V1402" s="9"/>
      <c r="W1402" s="2"/>
      <c r="X1402" s="9"/>
      <c r="Y1402" s="8"/>
      <c r="Z1402" s="7"/>
      <c r="AA1402" s="7"/>
      <c r="AB1402" s="6"/>
    </row>
    <row r="1403" spans="20:28">
      <c r="T1403" s="10"/>
      <c r="U1403" s="10"/>
      <c r="V1403" s="9"/>
      <c r="W1403" s="2"/>
      <c r="X1403" s="9"/>
      <c r="Y1403" s="8"/>
      <c r="Z1403" s="7"/>
      <c r="AA1403" s="7"/>
      <c r="AB1403" s="6"/>
    </row>
    <row r="1404" spans="20:28">
      <c r="T1404" s="10"/>
      <c r="U1404" s="10"/>
      <c r="V1404" s="9"/>
      <c r="W1404" s="2"/>
      <c r="X1404" s="9"/>
      <c r="Y1404" s="8"/>
      <c r="Z1404" s="7"/>
      <c r="AA1404" s="7"/>
      <c r="AB1404" s="6"/>
    </row>
    <row r="1405" spans="20:28">
      <c r="T1405" s="10"/>
      <c r="U1405" s="10"/>
      <c r="V1405" s="9"/>
      <c r="W1405" s="2"/>
      <c r="X1405" s="9"/>
      <c r="Y1405" s="8"/>
      <c r="Z1405" s="7"/>
      <c r="AA1405" s="7"/>
      <c r="AB1405" s="6"/>
    </row>
    <row r="1406" spans="20:28">
      <c r="T1406" s="10"/>
      <c r="U1406" s="10"/>
      <c r="V1406" s="9"/>
      <c r="W1406" s="2"/>
      <c r="X1406" s="9"/>
      <c r="Y1406" s="8"/>
      <c r="Z1406" s="7"/>
      <c r="AA1406" s="7"/>
      <c r="AB1406" s="6"/>
    </row>
    <row r="1407" spans="20:28">
      <c r="T1407" s="10"/>
      <c r="U1407" s="10"/>
      <c r="V1407" s="9"/>
      <c r="W1407" s="2"/>
      <c r="X1407" s="9"/>
      <c r="Y1407" s="8"/>
      <c r="Z1407" s="7"/>
      <c r="AA1407" s="7"/>
      <c r="AB1407" s="6"/>
    </row>
    <row r="1408" spans="20:28">
      <c r="T1408" s="10"/>
      <c r="U1408" s="10"/>
      <c r="V1408" s="9"/>
      <c r="W1408" s="2"/>
      <c r="X1408" s="9"/>
      <c r="Y1408" s="8"/>
      <c r="Z1408" s="7"/>
      <c r="AA1408" s="7"/>
      <c r="AB1408" s="6"/>
    </row>
    <row r="1409" spans="20:28">
      <c r="T1409" s="10"/>
      <c r="U1409" s="10"/>
      <c r="V1409" s="9"/>
      <c r="W1409" s="2"/>
      <c r="X1409" s="9"/>
      <c r="Y1409" s="8"/>
      <c r="Z1409" s="7"/>
      <c r="AA1409" s="7"/>
      <c r="AB1409" s="6"/>
    </row>
    <row r="1410" spans="20:28">
      <c r="T1410" s="10"/>
      <c r="U1410" s="10"/>
      <c r="V1410" s="9"/>
      <c r="W1410" s="2"/>
      <c r="X1410" s="9"/>
      <c r="Y1410" s="8"/>
      <c r="Z1410" s="7"/>
      <c r="AA1410" s="7"/>
      <c r="AB1410" s="6"/>
    </row>
    <row r="1411" spans="20:28">
      <c r="T1411" s="10"/>
      <c r="U1411" s="10"/>
      <c r="V1411" s="9"/>
      <c r="W1411" s="2"/>
      <c r="X1411" s="9"/>
      <c r="Y1411" s="8"/>
      <c r="Z1411" s="7"/>
      <c r="AA1411" s="7"/>
      <c r="AB1411" s="6"/>
    </row>
    <row r="1412" spans="20:28">
      <c r="T1412" s="10"/>
      <c r="U1412" s="10"/>
      <c r="V1412" s="9"/>
      <c r="W1412" s="2"/>
      <c r="X1412" s="9"/>
      <c r="Y1412" s="8"/>
      <c r="Z1412" s="7"/>
      <c r="AA1412" s="7"/>
      <c r="AB1412" s="6"/>
    </row>
    <row r="1413" spans="20:28">
      <c r="T1413" s="10"/>
      <c r="U1413" s="10"/>
      <c r="V1413" s="9"/>
      <c r="W1413" s="2"/>
      <c r="X1413" s="9"/>
      <c r="Y1413" s="8"/>
      <c r="Z1413" s="7"/>
      <c r="AA1413" s="7"/>
      <c r="AB1413" s="6"/>
    </row>
    <row r="1414" spans="20:28">
      <c r="T1414" s="10"/>
      <c r="U1414" s="10"/>
      <c r="V1414" s="9"/>
      <c r="W1414" s="2"/>
      <c r="X1414" s="9"/>
      <c r="Y1414" s="8"/>
      <c r="Z1414" s="7"/>
      <c r="AA1414" s="7"/>
      <c r="AB1414" s="6"/>
    </row>
    <row r="1415" spans="20:28">
      <c r="T1415" s="10"/>
      <c r="U1415" s="10"/>
      <c r="V1415" s="9"/>
      <c r="W1415" s="2"/>
      <c r="X1415" s="9"/>
      <c r="Y1415" s="8"/>
      <c r="Z1415" s="7"/>
      <c r="AA1415" s="7"/>
      <c r="AB1415" s="6"/>
    </row>
    <row r="1416" spans="20:28">
      <c r="T1416" s="10"/>
      <c r="U1416" s="10"/>
      <c r="V1416" s="9"/>
      <c r="W1416" s="2"/>
      <c r="X1416" s="9"/>
      <c r="Y1416" s="8"/>
      <c r="Z1416" s="7"/>
      <c r="AA1416" s="7"/>
      <c r="AB1416" s="6"/>
    </row>
    <row r="1417" spans="20:28">
      <c r="T1417" s="10"/>
      <c r="U1417" s="10"/>
      <c r="V1417" s="9"/>
      <c r="W1417" s="2"/>
      <c r="X1417" s="9"/>
      <c r="Y1417" s="8"/>
      <c r="Z1417" s="7"/>
      <c r="AA1417" s="7"/>
      <c r="AB1417" s="6"/>
    </row>
    <row r="1418" spans="20:28">
      <c r="T1418" s="10"/>
      <c r="U1418" s="10"/>
      <c r="V1418" s="9"/>
      <c r="W1418" s="2"/>
      <c r="X1418" s="9"/>
      <c r="Y1418" s="8"/>
      <c r="Z1418" s="7"/>
      <c r="AA1418" s="7"/>
      <c r="AB1418" s="6"/>
    </row>
    <row r="1419" spans="20:28">
      <c r="T1419" s="10"/>
      <c r="U1419" s="10"/>
      <c r="V1419" s="9"/>
      <c r="W1419" s="2"/>
      <c r="X1419" s="9"/>
      <c r="Y1419" s="8"/>
      <c r="Z1419" s="7"/>
      <c r="AA1419" s="7"/>
      <c r="AB1419" s="6"/>
    </row>
    <row r="1420" spans="20:28">
      <c r="T1420" s="10"/>
      <c r="U1420" s="10"/>
      <c r="V1420" s="9"/>
      <c r="W1420" s="2"/>
      <c r="X1420" s="9"/>
      <c r="Y1420" s="8"/>
      <c r="Z1420" s="7"/>
      <c r="AA1420" s="7"/>
      <c r="AB1420" s="6"/>
    </row>
    <row r="1421" spans="20:28">
      <c r="T1421" s="10"/>
      <c r="U1421" s="10"/>
      <c r="V1421" s="9"/>
      <c r="W1421" s="2"/>
      <c r="X1421" s="9"/>
      <c r="Y1421" s="8"/>
      <c r="Z1421" s="7"/>
      <c r="AA1421" s="7"/>
      <c r="AB1421" s="6"/>
    </row>
    <row r="1422" spans="20:28">
      <c r="T1422" s="10"/>
      <c r="U1422" s="10"/>
      <c r="V1422" s="9"/>
      <c r="W1422" s="2"/>
      <c r="X1422" s="9"/>
      <c r="Y1422" s="8"/>
      <c r="Z1422" s="7"/>
      <c r="AA1422" s="7"/>
      <c r="AB1422" s="6"/>
    </row>
    <row r="1423" spans="20:28">
      <c r="T1423" s="10"/>
      <c r="U1423" s="10"/>
      <c r="V1423" s="9"/>
      <c r="W1423" s="2"/>
      <c r="X1423" s="9"/>
      <c r="Y1423" s="8"/>
      <c r="Z1423" s="7"/>
      <c r="AA1423" s="7"/>
      <c r="AB1423" s="6"/>
    </row>
    <row r="1424" spans="20:28">
      <c r="T1424" s="10"/>
      <c r="U1424" s="10"/>
      <c r="V1424" s="9"/>
      <c r="W1424" s="2"/>
      <c r="X1424" s="9"/>
      <c r="Y1424" s="8"/>
      <c r="Z1424" s="7"/>
      <c r="AA1424" s="7"/>
      <c r="AB1424" s="6"/>
    </row>
    <row r="1425" spans="20:28">
      <c r="T1425" s="10"/>
      <c r="U1425" s="10"/>
      <c r="V1425" s="9"/>
      <c r="W1425" s="2"/>
      <c r="X1425" s="9"/>
      <c r="Y1425" s="8"/>
      <c r="Z1425" s="7"/>
      <c r="AA1425" s="7"/>
      <c r="AB1425" s="6"/>
    </row>
    <row r="1426" spans="20:28">
      <c r="T1426" s="10"/>
      <c r="U1426" s="10"/>
      <c r="V1426" s="9"/>
      <c r="W1426" s="2"/>
      <c r="X1426" s="9"/>
      <c r="Y1426" s="8"/>
      <c r="Z1426" s="7"/>
      <c r="AA1426" s="7"/>
      <c r="AB1426" s="6"/>
    </row>
    <row r="1427" spans="20:28">
      <c r="T1427" s="10"/>
      <c r="U1427" s="10"/>
      <c r="V1427" s="9"/>
      <c r="W1427" s="2"/>
      <c r="X1427" s="9"/>
      <c r="Y1427" s="8"/>
      <c r="Z1427" s="7"/>
      <c r="AA1427" s="7"/>
      <c r="AB1427" s="6"/>
    </row>
    <row r="1428" spans="20:28">
      <c r="T1428" s="10"/>
      <c r="U1428" s="10"/>
      <c r="V1428" s="9"/>
      <c r="W1428" s="2"/>
      <c r="X1428" s="9"/>
      <c r="Y1428" s="8"/>
      <c r="Z1428" s="7"/>
      <c r="AA1428" s="7"/>
      <c r="AB1428" s="6"/>
    </row>
    <row r="1429" spans="20:28">
      <c r="T1429" s="10"/>
      <c r="U1429" s="10"/>
      <c r="V1429" s="9"/>
      <c r="W1429" s="2"/>
      <c r="X1429" s="9"/>
      <c r="Y1429" s="8"/>
      <c r="Z1429" s="7"/>
      <c r="AA1429" s="7"/>
      <c r="AB1429" s="6"/>
    </row>
    <row r="1430" spans="20:28">
      <c r="T1430" s="10"/>
      <c r="U1430" s="10"/>
      <c r="V1430" s="9"/>
      <c r="W1430" s="2"/>
      <c r="X1430" s="9"/>
      <c r="Y1430" s="8"/>
      <c r="Z1430" s="7"/>
      <c r="AA1430" s="7"/>
      <c r="AB1430" s="6"/>
    </row>
    <row r="1431" spans="20:28">
      <c r="T1431" s="10"/>
      <c r="U1431" s="10"/>
      <c r="V1431" s="9"/>
      <c r="W1431" s="2"/>
      <c r="X1431" s="9"/>
      <c r="Y1431" s="8"/>
      <c r="Z1431" s="7"/>
      <c r="AA1431" s="7"/>
      <c r="AB1431" s="6"/>
    </row>
    <row r="1432" spans="20:28">
      <c r="T1432" s="10"/>
      <c r="U1432" s="10"/>
      <c r="V1432" s="9"/>
      <c r="W1432" s="2"/>
      <c r="X1432" s="9"/>
      <c r="Y1432" s="8"/>
      <c r="Z1432" s="7"/>
      <c r="AA1432" s="7"/>
      <c r="AB1432" s="6"/>
    </row>
    <row r="1433" spans="20:28">
      <c r="T1433" s="10"/>
      <c r="U1433" s="10"/>
      <c r="V1433" s="9"/>
      <c r="W1433" s="2"/>
      <c r="X1433" s="9"/>
      <c r="Y1433" s="8"/>
      <c r="Z1433" s="7"/>
      <c r="AA1433" s="7"/>
      <c r="AB1433" s="6"/>
    </row>
    <row r="1434" spans="20:28">
      <c r="T1434" s="10"/>
      <c r="U1434" s="10"/>
      <c r="V1434" s="9"/>
      <c r="W1434" s="2"/>
      <c r="X1434" s="9"/>
      <c r="Y1434" s="8"/>
      <c r="Z1434" s="7"/>
      <c r="AA1434" s="7"/>
      <c r="AB1434" s="6"/>
    </row>
    <row r="1435" spans="20:28">
      <c r="T1435" s="10"/>
      <c r="U1435" s="10"/>
      <c r="V1435" s="9"/>
      <c r="W1435" s="2"/>
      <c r="X1435" s="9"/>
      <c r="Y1435" s="8"/>
      <c r="Z1435" s="7"/>
      <c r="AA1435" s="7"/>
      <c r="AB1435" s="6"/>
    </row>
    <row r="1436" spans="20:28">
      <c r="T1436" s="10"/>
      <c r="U1436" s="10"/>
      <c r="V1436" s="9"/>
      <c r="W1436" s="2"/>
      <c r="X1436" s="9"/>
      <c r="Y1436" s="8"/>
      <c r="Z1436" s="7"/>
      <c r="AA1436" s="7"/>
      <c r="AB1436" s="6"/>
    </row>
    <row r="1437" spans="20:28">
      <c r="T1437" s="10"/>
      <c r="U1437" s="10"/>
      <c r="V1437" s="9"/>
      <c r="W1437" s="2"/>
      <c r="X1437" s="9"/>
      <c r="Y1437" s="8"/>
      <c r="Z1437" s="7"/>
      <c r="AA1437" s="7"/>
      <c r="AB1437" s="6"/>
    </row>
    <row r="1438" spans="20:28">
      <c r="T1438" s="10"/>
      <c r="U1438" s="10"/>
      <c r="V1438" s="9"/>
      <c r="W1438" s="2"/>
      <c r="X1438" s="9"/>
      <c r="Y1438" s="8"/>
      <c r="Z1438" s="7"/>
      <c r="AA1438" s="7"/>
      <c r="AB1438" s="6"/>
    </row>
    <row r="1439" spans="20:28">
      <c r="T1439" s="10"/>
      <c r="U1439" s="10"/>
      <c r="V1439" s="9"/>
      <c r="W1439" s="2"/>
      <c r="X1439" s="9"/>
      <c r="Y1439" s="8"/>
      <c r="Z1439" s="7"/>
      <c r="AA1439" s="7"/>
      <c r="AB1439" s="6"/>
    </row>
    <row r="1440" spans="20:28">
      <c r="T1440" s="10"/>
      <c r="U1440" s="10"/>
      <c r="V1440" s="9"/>
      <c r="W1440" s="2"/>
      <c r="X1440" s="9"/>
      <c r="Y1440" s="8"/>
      <c r="Z1440" s="7"/>
      <c r="AA1440" s="7"/>
      <c r="AB1440" s="6"/>
    </row>
    <row r="1441" spans="20:28">
      <c r="T1441" s="10"/>
      <c r="U1441" s="10"/>
      <c r="V1441" s="9"/>
      <c r="W1441" s="2"/>
      <c r="X1441" s="9"/>
      <c r="Y1441" s="8"/>
      <c r="Z1441" s="7"/>
      <c r="AA1441" s="7"/>
      <c r="AB1441" s="6"/>
    </row>
    <row r="1442" spans="20:28">
      <c r="T1442" s="10"/>
      <c r="U1442" s="10"/>
      <c r="V1442" s="9"/>
      <c r="W1442" s="2"/>
      <c r="X1442" s="9"/>
      <c r="Y1442" s="8"/>
      <c r="Z1442" s="7"/>
      <c r="AA1442" s="7"/>
      <c r="AB1442" s="6"/>
    </row>
    <row r="1443" spans="20:28">
      <c r="T1443" s="10"/>
      <c r="U1443" s="10"/>
      <c r="V1443" s="9"/>
      <c r="W1443" s="2"/>
      <c r="X1443" s="9"/>
      <c r="Y1443" s="8"/>
      <c r="Z1443" s="7"/>
      <c r="AA1443" s="7"/>
      <c r="AB1443" s="6"/>
    </row>
    <row r="1444" spans="20:28">
      <c r="T1444" s="10"/>
      <c r="U1444" s="10"/>
      <c r="V1444" s="9"/>
      <c r="W1444" s="2"/>
      <c r="X1444" s="9"/>
      <c r="Y1444" s="8"/>
      <c r="Z1444" s="7"/>
      <c r="AA1444" s="7"/>
      <c r="AB1444" s="6"/>
    </row>
    <row r="1445" spans="20:28">
      <c r="T1445" s="10"/>
      <c r="U1445" s="10"/>
      <c r="V1445" s="9"/>
      <c r="W1445" s="2"/>
      <c r="X1445" s="9"/>
      <c r="Y1445" s="8"/>
      <c r="Z1445" s="7"/>
      <c r="AA1445" s="7"/>
      <c r="AB1445" s="6"/>
    </row>
    <row r="1446" spans="20:28">
      <c r="T1446" s="10"/>
      <c r="U1446" s="10"/>
      <c r="V1446" s="9"/>
      <c r="W1446" s="2"/>
      <c r="X1446" s="9"/>
      <c r="Y1446" s="8"/>
      <c r="Z1446" s="7"/>
      <c r="AA1446" s="7"/>
      <c r="AB1446" s="6"/>
    </row>
    <row r="1447" spans="20:28">
      <c r="T1447" s="10"/>
      <c r="U1447" s="10"/>
      <c r="V1447" s="9"/>
      <c r="W1447" s="2"/>
      <c r="X1447" s="9"/>
      <c r="Y1447" s="8"/>
      <c r="Z1447" s="7"/>
      <c r="AA1447" s="7"/>
      <c r="AB1447" s="6"/>
    </row>
    <row r="1448" spans="20:28">
      <c r="T1448" s="10"/>
      <c r="U1448" s="10"/>
      <c r="V1448" s="9"/>
      <c r="W1448" s="2"/>
      <c r="X1448" s="9"/>
      <c r="Y1448" s="8"/>
      <c r="Z1448" s="7"/>
      <c r="AA1448" s="7"/>
      <c r="AB1448" s="6"/>
    </row>
    <row r="1449" spans="20:28">
      <c r="T1449" s="10"/>
      <c r="U1449" s="10"/>
      <c r="V1449" s="9"/>
      <c r="W1449" s="2"/>
      <c r="X1449" s="9"/>
      <c r="Y1449" s="8"/>
      <c r="Z1449" s="7"/>
      <c r="AA1449" s="7"/>
      <c r="AB1449" s="6"/>
    </row>
    <row r="1450" spans="20:28">
      <c r="T1450" s="10"/>
      <c r="U1450" s="10"/>
      <c r="V1450" s="9"/>
      <c r="W1450" s="2"/>
      <c r="X1450" s="9"/>
      <c r="Y1450" s="8"/>
      <c r="Z1450" s="7"/>
      <c r="AA1450" s="7"/>
      <c r="AB1450" s="6"/>
    </row>
    <row r="1451" spans="20:28">
      <c r="T1451" s="10"/>
      <c r="U1451" s="10"/>
      <c r="V1451" s="9"/>
      <c r="W1451" s="2"/>
      <c r="X1451" s="9"/>
      <c r="Y1451" s="8"/>
      <c r="Z1451" s="7"/>
      <c r="AA1451" s="7"/>
      <c r="AB1451" s="6"/>
    </row>
    <row r="1452" spans="20:28">
      <c r="T1452" s="10"/>
      <c r="U1452" s="10"/>
      <c r="V1452" s="9"/>
      <c r="W1452" s="2"/>
      <c r="X1452" s="9"/>
      <c r="Y1452" s="8"/>
      <c r="Z1452" s="7"/>
      <c r="AA1452" s="7"/>
      <c r="AB1452" s="6"/>
    </row>
    <row r="1453" spans="20:28">
      <c r="T1453" s="10"/>
      <c r="U1453" s="10"/>
      <c r="V1453" s="9"/>
      <c r="W1453" s="2"/>
      <c r="X1453" s="9"/>
      <c r="Y1453" s="8"/>
      <c r="Z1453" s="7"/>
      <c r="AA1453" s="7"/>
      <c r="AB1453" s="6"/>
    </row>
    <row r="1454" spans="20:28">
      <c r="T1454" s="10"/>
      <c r="U1454" s="10"/>
      <c r="V1454" s="9"/>
      <c r="W1454" s="2"/>
      <c r="X1454" s="9"/>
      <c r="Y1454" s="8"/>
      <c r="Z1454" s="7"/>
      <c r="AA1454" s="7"/>
      <c r="AB1454" s="6"/>
    </row>
    <row r="1455" spans="20:28">
      <c r="T1455" s="10"/>
      <c r="U1455" s="10"/>
      <c r="V1455" s="9"/>
      <c r="W1455" s="2"/>
      <c r="X1455" s="9"/>
      <c r="Y1455" s="8"/>
      <c r="Z1455" s="7"/>
      <c r="AA1455" s="7"/>
      <c r="AB1455" s="6"/>
    </row>
    <row r="1456" spans="20:28">
      <c r="T1456" s="10"/>
      <c r="U1456" s="10"/>
      <c r="V1456" s="9"/>
      <c r="W1456" s="2"/>
      <c r="X1456" s="9"/>
      <c r="Y1456" s="8"/>
      <c r="Z1456" s="7"/>
      <c r="AA1456" s="7"/>
      <c r="AB1456" s="6"/>
    </row>
    <row r="1457" spans="20:28">
      <c r="T1457" s="10"/>
      <c r="U1457" s="10"/>
      <c r="V1457" s="9"/>
      <c r="W1457" s="2"/>
      <c r="X1457" s="9"/>
      <c r="Y1457" s="8"/>
      <c r="Z1457" s="7"/>
      <c r="AA1457" s="7"/>
      <c r="AB1457" s="6"/>
    </row>
    <row r="1458" spans="20:28">
      <c r="T1458" s="10"/>
      <c r="U1458" s="10"/>
      <c r="V1458" s="9"/>
      <c r="W1458" s="2"/>
      <c r="X1458" s="9"/>
      <c r="Y1458" s="8"/>
      <c r="Z1458" s="7"/>
      <c r="AA1458" s="7"/>
      <c r="AB1458" s="6"/>
    </row>
    <row r="1459" spans="20:28">
      <c r="T1459" s="10"/>
      <c r="U1459" s="10"/>
      <c r="V1459" s="9"/>
      <c r="W1459" s="2"/>
      <c r="X1459" s="9"/>
      <c r="Y1459" s="8"/>
      <c r="Z1459" s="7"/>
      <c r="AA1459" s="7"/>
      <c r="AB1459" s="6"/>
    </row>
    <row r="1460" spans="20:28">
      <c r="T1460" s="10"/>
      <c r="U1460" s="10"/>
      <c r="V1460" s="9"/>
      <c r="W1460" s="2"/>
      <c r="X1460" s="9"/>
      <c r="Y1460" s="8"/>
      <c r="Z1460" s="7"/>
      <c r="AA1460" s="7"/>
      <c r="AB1460" s="6"/>
    </row>
    <row r="1461" spans="20:28">
      <c r="T1461" s="10"/>
      <c r="U1461" s="10"/>
      <c r="V1461" s="9"/>
      <c r="W1461" s="2"/>
      <c r="X1461" s="9"/>
      <c r="Y1461" s="8"/>
      <c r="Z1461" s="7"/>
      <c r="AA1461" s="7"/>
      <c r="AB1461" s="6"/>
    </row>
    <row r="1462" spans="20:28">
      <c r="T1462" s="10"/>
      <c r="U1462" s="10"/>
      <c r="V1462" s="9"/>
      <c r="W1462" s="2"/>
      <c r="X1462" s="9"/>
      <c r="Y1462" s="8"/>
      <c r="Z1462" s="7"/>
      <c r="AA1462" s="7"/>
      <c r="AB1462" s="6"/>
    </row>
    <row r="1463" spans="20:28">
      <c r="T1463" s="10"/>
      <c r="U1463" s="10"/>
      <c r="V1463" s="9"/>
      <c r="W1463" s="2"/>
      <c r="X1463" s="9"/>
      <c r="Y1463" s="8"/>
      <c r="Z1463" s="7"/>
      <c r="AA1463" s="7"/>
      <c r="AB1463" s="6"/>
    </row>
    <row r="1464" spans="20:28">
      <c r="T1464" s="10"/>
      <c r="U1464" s="10"/>
      <c r="V1464" s="9"/>
      <c r="W1464" s="2"/>
      <c r="X1464" s="9"/>
      <c r="Y1464" s="8"/>
      <c r="Z1464" s="7"/>
      <c r="AA1464" s="7"/>
      <c r="AB1464" s="6"/>
    </row>
    <row r="1465" spans="20:28">
      <c r="T1465" s="10"/>
      <c r="U1465" s="10"/>
      <c r="V1465" s="9"/>
      <c r="W1465" s="2"/>
      <c r="X1465" s="9"/>
      <c r="Y1465" s="8"/>
      <c r="Z1465" s="7"/>
      <c r="AA1465" s="7"/>
      <c r="AB1465" s="6"/>
    </row>
    <row r="1466" spans="20:28">
      <c r="T1466" s="10"/>
      <c r="U1466" s="10"/>
      <c r="V1466" s="9"/>
      <c r="W1466" s="2"/>
      <c r="X1466" s="9"/>
      <c r="Y1466" s="8"/>
      <c r="Z1466" s="7"/>
      <c r="AA1466" s="7"/>
      <c r="AB1466" s="6"/>
    </row>
    <row r="1467" spans="20:28">
      <c r="T1467" s="10"/>
      <c r="U1467" s="10"/>
      <c r="V1467" s="9"/>
      <c r="W1467" s="2"/>
      <c r="X1467" s="9"/>
      <c r="Y1467" s="8"/>
      <c r="Z1467" s="7"/>
      <c r="AA1467" s="7"/>
      <c r="AB1467" s="6"/>
    </row>
    <row r="1468" spans="20:28">
      <c r="T1468" s="10"/>
      <c r="U1468" s="10"/>
      <c r="V1468" s="9"/>
      <c r="W1468" s="2"/>
      <c r="X1468" s="9"/>
      <c r="Y1468" s="8"/>
      <c r="Z1468" s="7"/>
      <c r="AA1468" s="7"/>
      <c r="AB1468" s="6"/>
    </row>
    <row r="1469" spans="20:28">
      <c r="T1469" s="10"/>
      <c r="U1469" s="10"/>
      <c r="V1469" s="9"/>
      <c r="W1469" s="2"/>
      <c r="X1469" s="9"/>
      <c r="Y1469" s="8"/>
      <c r="Z1469" s="7"/>
      <c r="AA1469" s="7"/>
      <c r="AB1469" s="6"/>
    </row>
    <row r="1470" spans="20:28">
      <c r="T1470" s="10"/>
      <c r="U1470" s="10"/>
      <c r="V1470" s="9"/>
      <c r="W1470" s="2"/>
      <c r="X1470" s="9"/>
      <c r="Y1470" s="8"/>
      <c r="Z1470" s="7"/>
      <c r="AA1470" s="7"/>
      <c r="AB1470" s="6"/>
    </row>
    <row r="1471" spans="20:28">
      <c r="T1471" s="10"/>
      <c r="U1471" s="10"/>
      <c r="V1471" s="9"/>
      <c r="W1471" s="2"/>
      <c r="X1471" s="9"/>
      <c r="Y1471" s="8"/>
      <c r="Z1471" s="7"/>
      <c r="AA1471" s="7"/>
      <c r="AB1471" s="6"/>
    </row>
    <row r="1472" spans="20:28">
      <c r="T1472" s="10"/>
      <c r="U1472" s="10"/>
      <c r="V1472" s="9"/>
      <c r="W1472" s="2"/>
      <c r="X1472" s="9"/>
      <c r="Y1472" s="8"/>
      <c r="Z1472" s="7"/>
      <c r="AA1472" s="7"/>
      <c r="AB1472" s="6"/>
    </row>
    <row r="1473" spans="20:28">
      <c r="T1473" s="10"/>
      <c r="U1473" s="10"/>
      <c r="V1473" s="9"/>
      <c r="W1473" s="2"/>
      <c r="X1473" s="9"/>
      <c r="Y1473" s="8"/>
      <c r="Z1473" s="7"/>
      <c r="AA1473" s="7"/>
      <c r="AB1473" s="6"/>
    </row>
    <row r="1474" spans="20:28">
      <c r="T1474" s="10"/>
      <c r="U1474" s="10"/>
      <c r="V1474" s="9"/>
      <c r="W1474" s="2"/>
      <c r="X1474" s="9"/>
      <c r="Y1474" s="8"/>
      <c r="Z1474" s="7"/>
      <c r="AA1474" s="7"/>
      <c r="AB1474" s="6"/>
    </row>
    <row r="1475" spans="20:28">
      <c r="T1475" s="10"/>
      <c r="U1475" s="10"/>
      <c r="V1475" s="9"/>
      <c r="W1475" s="2"/>
      <c r="X1475" s="9"/>
      <c r="Y1475" s="8"/>
      <c r="Z1475" s="7"/>
      <c r="AA1475" s="7"/>
      <c r="AB1475" s="6"/>
    </row>
    <row r="1476" spans="20:28">
      <c r="T1476" s="10"/>
      <c r="U1476" s="10"/>
      <c r="V1476" s="9"/>
      <c r="W1476" s="2"/>
      <c r="X1476" s="9"/>
      <c r="Y1476" s="8"/>
      <c r="Z1476" s="7"/>
      <c r="AA1476" s="7"/>
      <c r="AB1476" s="6"/>
    </row>
    <row r="1477" spans="20:28">
      <c r="T1477" s="10"/>
      <c r="U1477" s="10"/>
      <c r="V1477" s="9"/>
      <c r="W1477" s="2"/>
      <c r="X1477" s="9"/>
      <c r="Y1477" s="8"/>
      <c r="Z1477" s="7"/>
      <c r="AA1477" s="7"/>
      <c r="AB1477" s="6"/>
    </row>
    <row r="1478" spans="20:28">
      <c r="T1478" s="10"/>
      <c r="U1478" s="10"/>
      <c r="V1478" s="9"/>
      <c r="W1478" s="2"/>
      <c r="X1478" s="9"/>
      <c r="Y1478" s="8"/>
      <c r="Z1478" s="7"/>
      <c r="AA1478" s="7"/>
      <c r="AB1478" s="6"/>
    </row>
    <row r="1479" spans="20:28">
      <c r="T1479" s="10"/>
      <c r="U1479" s="10"/>
      <c r="V1479" s="9"/>
      <c r="W1479" s="2"/>
      <c r="X1479" s="9"/>
      <c r="Y1479" s="8"/>
      <c r="Z1479" s="7"/>
      <c r="AA1479" s="7"/>
      <c r="AB1479" s="6"/>
    </row>
    <row r="1480" spans="20:28">
      <c r="T1480" s="10"/>
      <c r="U1480" s="10"/>
      <c r="V1480" s="9"/>
      <c r="W1480" s="2"/>
      <c r="X1480" s="9"/>
      <c r="Y1480" s="8"/>
      <c r="Z1480" s="7"/>
      <c r="AA1480" s="7"/>
      <c r="AB1480" s="6"/>
    </row>
    <row r="1481" spans="20:28">
      <c r="T1481" s="10"/>
      <c r="U1481" s="10"/>
      <c r="V1481" s="9"/>
      <c r="W1481" s="2"/>
      <c r="X1481" s="9"/>
      <c r="Y1481" s="8"/>
      <c r="Z1481" s="7"/>
      <c r="AA1481" s="7"/>
      <c r="AB1481" s="6"/>
    </row>
    <row r="1482" spans="20:28">
      <c r="T1482" s="10"/>
      <c r="U1482" s="10"/>
      <c r="V1482" s="9"/>
      <c r="W1482" s="2"/>
      <c r="X1482" s="9"/>
      <c r="Y1482" s="8"/>
      <c r="Z1482" s="7"/>
      <c r="AA1482" s="7"/>
      <c r="AB1482" s="6"/>
    </row>
    <row r="1483" spans="20:28">
      <c r="T1483" s="10"/>
      <c r="U1483" s="10"/>
      <c r="V1483" s="9"/>
      <c r="W1483" s="2"/>
      <c r="X1483" s="9"/>
      <c r="Y1483" s="8"/>
      <c r="Z1483" s="7"/>
      <c r="AA1483" s="7"/>
      <c r="AB1483" s="6"/>
    </row>
    <row r="1484" spans="20:28">
      <c r="T1484" s="10"/>
      <c r="U1484" s="10"/>
      <c r="V1484" s="9"/>
      <c r="W1484" s="2"/>
      <c r="X1484" s="9"/>
      <c r="Y1484" s="8"/>
      <c r="Z1484" s="7"/>
      <c r="AA1484" s="7"/>
      <c r="AB1484" s="6"/>
    </row>
    <row r="1485" spans="20:28">
      <c r="T1485" s="10"/>
      <c r="U1485" s="10"/>
      <c r="V1485" s="9"/>
      <c r="W1485" s="2"/>
      <c r="X1485" s="9"/>
      <c r="Y1485" s="8"/>
      <c r="Z1485" s="7"/>
      <c r="AA1485" s="7"/>
      <c r="AB1485" s="6"/>
    </row>
    <row r="1486" spans="20:28">
      <c r="T1486" s="10"/>
      <c r="U1486" s="10"/>
      <c r="V1486" s="9"/>
      <c r="W1486" s="2"/>
      <c r="X1486" s="9"/>
      <c r="Y1486" s="8"/>
      <c r="Z1486" s="7"/>
      <c r="AA1486" s="7"/>
      <c r="AB1486" s="6"/>
    </row>
    <row r="1487" spans="20:28">
      <c r="T1487" s="10"/>
      <c r="U1487" s="10"/>
      <c r="V1487" s="9"/>
      <c r="W1487" s="2"/>
      <c r="X1487" s="9"/>
      <c r="Y1487" s="8"/>
      <c r="Z1487" s="7"/>
      <c r="AA1487" s="7"/>
      <c r="AB1487" s="6"/>
    </row>
    <row r="1488" spans="20:28">
      <c r="T1488" s="10"/>
      <c r="U1488" s="10"/>
      <c r="V1488" s="9"/>
      <c r="W1488" s="2"/>
      <c r="X1488" s="9"/>
      <c r="Y1488" s="8"/>
      <c r="Z1488" s="7"/>
      <c r="AA1488" s="7"/>
      <c r="AB1488" s="6"/>
    </row>
    <row r="1489" spans="20:28">
      <c r="T1489" s="10"/>
      <c r="U1489" s="10"/>
      <c r="V1489" s="9"/>
      <c r="W1489" s="2"/>
      <c r="X1489" s="9"/>
      <c r="Y1489" s="8"/>
      <c r="Z1489" s="7"/>
      <c r="AA1489" s="7"/>
      <c r="AB1489" s="6"/>
    </row>
    <row r="1490" spans="20:28">
      <c r="T1490" s="10"/>
      <c r="U1490" s="10"/>
      <c r="V1490" s="9"/>
      <c r="W1490" s="2"/>
      <c r="X1490" s="9"/>
      <c r="Y1490" s="8"/>
      <c r="Z1490" s="7"/>
      <c r="AA1490" s="7"/>
      <c r="AB1490" s="6"/>
    </row>
    <row r="1491" spans="20:28">
      <c r="T1491" s="10"/>
      <c r="U1491" s="10"/>
      <c r="V1491" s="9"/>
      <c r="W1491" s="2"/>
      <c r="X1491" s="9"/>
      <c r="Y1491" s="8"/>
      <c r="Z1491" s="7"/>
      <c r="AA1491" s="7"/>
      <c r="AB1491" s="6"/>
    </row>
    <row r="1492" spans="20:28">
      <c r="T1492" s="10"/>
      <c r="U1492" s="10"/>
      <c r="V1492" s="9"/>
      <c r="W1492" s="2"/>
      <c r="X1492" s="9"/>
      <c r="Y1492" s="8"/>
      <c r="Z1492" s="7"/>
      <c r="AA1492" s="7"/>
      <c r="AB1492" s="6"/>
    </row>
    <row r="1493" spans="20:28">
      <c r="T1493" s="10"/>
      <c r="U1493" s="10"/>
      <c r="V1493" s="9"/>
      <c r="W1493" s="2"/>
      <c r="X1493" s="9"/>
      <c r="Y1493" s="8"/>
      <c r="Z1493" s="7"/>
      <c r="AA1493" s="7"/>
      <c r="AB1493" s="6"/>
    </row>
    <row r="1494" spans="20:28">
      <c r="T1494" s="10"/>
      <c r="U1494" s="10"/>
      <c r="V1494" s="9"/>
      <c r="W1494" s="2"/>
      <c r="X1494" s="9"/>
      <c r="Y1494" s="8"/>
      <c r="Z1494" s="7"/>
      <c r="AA1494" s="7"/>
      <c r="AB1494" s="6"/>
    </row>
    <row r="1495" spans="20:28">
      <c r="T1495" s="10"/>
      <c r="U1495" s="10"/>
      <c r="V1495" s="9"/>
      <c r="W1495" s="2"/>
      <c r="X1495" s="9"/>
      <c r="Y1495" s="8"/>
      <c r="Z1495" s="7"/>
      <c r="AA1495" s="7"/>
      <c r="AB1495" s="6"/>
    </row>
    <row r="1496" spans="20:28">
      <c r="T1496" s="10"/>
      <c r="U1496" s="10"/>
      <c r="V1496" s="9"/>
      <c r="W1496" s="2"/>
      <c r="X1496" s="9"/>
      <c r="Y1496" s="8"/>
      <c r="Z1496" s="7"/>
      <c r="AA1496" s="7"/>
      <c r="AB1496" s="6"/>
    </row>
    <row r="1497" spans="20:28">
      <c r="T1497" s="10"/>
      <c r="U1497" s="10"/>
      <c r="V1497" s="9"/>
      <c r="W1497" s="2"/>
      <c r="X1497" s="9"/>
      <c r="Y1497" s="8"/>
      <c r="Z1497" s="7"/>
      <c r="AA1497" s="7"/>
      <c r="AB1497" s="6"/>
    </row>
    <row r="1498" spans="20:28">
      <c r="T1498" s="10"/>
      <c r="U1498" s="10"/>
      <c r="V1498" s="9"/>
      <c r="W1498" s="2"/>
      <c r="X1498" s="9"/>
      <c r="Y1498" s="8"/>
      <c r="Z1498" s="7"/>
      <c r="AA1498" s="7"/>
      <c r="AB1498" s="6"/>
    </row>
    <row r="1499" spans="20:28">
      <c r="T1499" s="10"/>
      <c r="U1499" s="10"/>
      <c r="V1499" s="9"/>
      <c r="W1499" s="2"/>
      <c r="X1499" s="9"/>
      <c r="Y1499" s="8"/>
      <c r="Z1499" s="7"/>
      <c r="AA1499" s="7"/>
      <c r="AB1499" s="6"/>
    </row>
    <row r="1500" spans="20:28">
      <c r="T1500" s="10"/>
      <c r="U1500" s="10"/>
      <c r="V1500" s="9"/>
      <c r="W1500" s="2"/>
      <c r="X1500" s="9"/>
      <c r="Y1500" s="8"/>
      <c r="Z1500" s="7"/>
      <c r="AA1500" s="7"/>
      <c r="AB1500" s="6"/>
    </row>
    <row r="1501" spans="20:28">
      <c r="T1501" s="10"/>
      <c r="U1501" s="10"/>
      <c r="V1501" s="9"/>
      <c r="W1501" s="2"/>
      <c r="X1501" s="9"/>
      <c r="Y1501" s="8"/>
      <c r="Z1501" s="7"/>
      <c r="AA1501" s="7"/>
      <c r="AB1501" s="6"/>
    </row>
    <row r="1502" spans="20:28">
      <c r="T1502" s="10"/>
      <c r="U1502" s="10"/>
      <c r="V1502" s="9"/>
      <c r="W1502" s="2"/>
      <c r="X1502" s="9"/>
      <c r="Y1502" s="8"/>
      <c r="Z1502" s="7"/>
      <c r="AA1502" s="7"/>
      <c r="AB1502" s="6"/>
    </row>
    <row r="1503" spans="20:28">
      <c r="T1503" s="10"/>
      <c r="U1503" s="10"/>
      <c r="V1503" s="9"/>
      <c r="W1503" s="2"/>
      <c r="X1503" s="9"/>
      <c r="Y1503" s="8"/>
      <c r="Z1503" s="7"/>
      <c r="AA1503" s="7"/>
      <c r="AB1503" s="6"/>
    </row>
    <row r="1504" spans="20:28">
      <c r="T1504" s="10"/>
      <c r="U1504" s="10"/>
      <c r="V1504" s="9"/>
      <c r="W1504" s="2"/>
      <c r="X1504" s="9"/>
      <c r="Y1504" s="8"/>
      <c r="Z1504" s="7"/>
      <c r="AA1504" s="7"/>
      <c r="AB1504" s="6"/>
    </row>
    <row r="1505" spans="20:28">
      <c r="T1505" s="10"/>
      <c r="U1505" s="10"/>
      <c r="V1505" s="9"/>
      <c r="W1505" s="2"/>
      <c r="X1505" s="9"/>
      <c r="Y1505" s="8"/>
      <c r="Z1505" s="7"/>
      <c r="AA1505" s="7"/>
      <c r="AB1505" s="6"/>
    </row>
    <row r="1506" spans="20:28">
      <c r="T1506" s="10"/>
      <c r="U1506" s="10"/>
      <c r="V1506" s="9"/>
      <c r="W1506" s="2"/>
      <c r="X1506" s="9"/>
      <c r="Y1506" s="8"/>
      <c r="Z1506" s="7"/>
      <c r="AA1506" s="7"/>
      <c r="AB1506" s="6"/>
    </row>
    <row r="1507" spans="20:28">
      <c r="T1507" s="10"/>
      <c r="U1507" s="10"/>
      <c r="V1507" s="9"/>
      <c r="W1507" s="2"/>
      <c r="X1507" s="9"/>
      <c r="Y1507" s="8"/>
      <c r="Z1507" s="7"/>
      <c r="AA1507" s="7"/>
      <c r="AB1507" s="6"/>
    </row>
    <row r="1508" spans="20:28">
      <c r="T1508" s="10"/>
      <c r="U1508" s="10"/>
      <c r="V1508" s="9"/>
      <c r="W1508" s="2"/>
      <c r="X1508" s="9"/>
      <c r="Y1508" s="8"/>
      <c r="Z1508" s="7"/>
      <c r="AA1508" s="7"/>
      <c r="AB1508" s="6"/>
    </row>
    <row r="1509" spans="20:28">
      <c r="T1509" s="10"/>
      <c r="U1509" s="10"/>
      <c r="V1509" s="9"/>
      <c r="W1509" s="2"/>
      <c r="X1509" s="9"/>
      <c r="Y1509" s="8"/>
      <c r="Z1509" s="7"/>
      <c r="AA1509" s="7"/>
      <c r="AB1509" s="6"/>
    </row>
    <row r="1510" spans="20:28">
      <c r="T1510" s="10"/>
      <c r="U1510" s="10"/>
      <c r="V1510" s="9"/>
      <c r="W1510" s="2"/>
      <c r="X1510" s="9"/>
      <c r="Y1510" s="8"/>
      <c r="Z1510" s="7"/>
      <c r="AA1510" s="7"/>
      <c r="AB1510" s="6"/>
    </row>
    <row r="1511" spans="20:28">
      <c r="T1511" s="10"/>
      <c r="U1511" s="10"/>
      <c r="V1511" s="9"/>
      <c r="W1511" s="2"/>
      <c r="X1511" s="9"/>
      <c r="Y1511" s="8"/>
      <c r="Z1511" s="7"/>
      <c r="AA1511" s="7"/>
      <c r="AB1511" s="6"/>
    </row>
    <row r="1512" spans="20:28">
      <c r="T1512" s="10"/>
      <c r="U1512" s="10"/>
      <c r="V1512" s="9"/>
      <c r="W1512" s="2"/>
      <c r="X1512" s="9"/>
      <c r="Y1512" s="8"/>
      <c r="Z1512" s="7"/>
      <c r="AA1512" s="7"/>
      <c r="AB1512" s="6"/>
    </row>
    <row r="1513" spans="20:28">
      <c r="T1513" s="10"/>
      <c r="U1513" s="10"/>
      <c r="V1513" s="9"/>
      <c r="W1513" s="2"/>
      <c r="X1513" s="9"/>
      <c r="Y1513" s="8"/>
      <c r="Z1513" s="7"/>
      <c r="AA1513" s="7"/>
      <c r="AB1513" s="6"/>
    </row>
    <row r="1514" spans="20:28">
      <c r="T1514" s="10"/>
      <c r="U1514" s="10"/>
      <c r="V1514" s="9"/>
      <c r="W1514" s="2"/>
      <c r="X1514" s="9"/>
      <c r="Y1514" s="8"/>
      <c r="Z1514" s="7"/>
      <c r="AA1514" s="7"/>
      <c r="AB1514" s="6"/>
    </row>
    <row r="1515" spans="20:28">
      <c r="T1515" s="10"/>
      <c r="U1515" s="10"/>
      <c r="V1515" s="9"/>
      <c r="W1515" s="2"/>
      <c r="X1515" s="9"/>
      <c r="Y1515" s="8"/>
      <c r="Z1515" s="7"/>
      <c r="AA1515" s="7"/>
      <c r="AB1515" s="6"/>
    </row>
  </sheetData>
  <mergeCells count="43">
    <mergeCell ref="B569:B588"/>
    <mergeCell ref="B589:B613"/>
    <mergeCell ref="T768:U768"/>
    <mergeCell ref="T454:U454"/>
    <mergeCell ref="T537:U537"/>
    <mergeCell ref="B436:B456"/>
    <mergeCell ref="B457:B486"/>
    <mergeCell ref="B487:B518"/>
    <mergeCell ref="B519:B539"/>
    <mergeCell ref="B540:B568"/>
    <mergeCell ref="V4:V6"/>
    <mergeCell ref="V7:V9"/>
    <mergeCell ref="V13:V15"/>
    <mergeCell ref="V10:V12"/>
    <mergeCell ref="B298:B317"/>
    <mergeCell ref="B282:B297"/>
    <mergeCell ref="B149:B167"/>
    <mergeCell ref="R28:S28"/>
    <mergeCell ref="B129:B148"/>
    <mergeCell ref="B189:B222"/>
    <mergeCell ref="B412:B435"/>
    <mergeCell ref="B386:B411"/>
    <mergeCell ref="B115:B128"/>
    <mergeCell ref="B96:B114"/>
    <mergeCell ref="B78:B95"/>
    <mergeCell ref="B368:B385"/>
    <mergeCell ref="B344:B367"/>
    <mergeCell ref="B318:B343"/>
    <mergeCell ref="B223:B235"/>
    <mergeCell ref="AL184:AN184"/>
    <mergeCell ref="AL187:AM187"/>
    <mergeCell ref="AL186:AN186"/>
    <mergeCell ref="B236:B252"/>
    <mergeCell ref="T383:U383"/>
    <mergeCell ref="B168:B188"/>
    <mergeCell ref="B253:B281"/>
    <mergeCell ref="T931:U931"/>
    <mergeCell ref="T689:U689"/>
    <mergeCell ref="T853:U853"/>
    <mergeCell ref="L1193:M1193"/>
    <mergeCell ref="T1186:U1186"/>
    <mergeCell ref="T1139:U1139"/>
    <mergeCell ref="T987:U987"/>
  </mergeCells>
  <conditionalFormatting sqref="C991:F992 B993:F1011 C1065:F1066 B1064:B1066 B1067:F1088 C1090:F1090 B1089:B1090 B1091:F1107 C1109:F1109 B1110:F1125 C1127:F1128 B1126:B1128 B1129:F1147 C1149:F1149 B1150:F1164 C1166:F1167 B1168:F1183 B1187:F1188 C1185:F1186 B1184:B1186 C1013:F1016 B1012:B1016 B1017:F1035 B1047:F1063 C955:F955 C957:F959 B954:B959 B960:F969 B973:F989 N970:P972 C971:F972 Q971:S972 B970:B972 B29:F953 I29:I953 I971:I989 I957:I969 I955 I1047:I1063 I1013:I1035 I1185:I1188 I1166:I1183 I1149:I1164 I1127:I1147 I1109:I1125 I1090:I1107 I1065:I1088 I991:I1011 K991:S1011 K1065:S1088 K1090:S1107 K1109:S1125 K1127:S1147 K1149:S1164 K1166:S1183 K1185:S1188 K1013:S1035 K1047:S1063 K955:S955 K957:S969 K973:S989 K971:M972 K29:S953">
    <cfRule type="expression" dxfId="30" priority="18">
      <formula>MONTH($F29)&lt;&gt;MONTH($F30)</formula>
    </cfRule>
  </conditionalFormatting>
  <conditionalFormatting sqref="U4:U10 U13 U15">
    <cfRule type="cellIs" dxfId="29" priority="12" operator="lessThan">
      <formula>0</formula>
    </cfRule>
    <cfRule type="cellIs" dxfId="28" priority="13" operator="greaterThan">
      <formula>0</formula>
    </cfRule>
  </conditionalFormatting>
  <conditionalFormatting sqref="U12">
    <cfRule type="cellIs" dxfId="27" priority="10" operator="lessThan">
      <formula>0</formula>
    </cfRule>
    <cfRule type="cellIs" dxfId="26" priority="11" operator="greaterThan">
      <formula>0</formula>
    </cfRule>
  </conditionalFormatting>
  <conditionalFormatting sqref="U11">
    <cfRule type="cellIs" dxfId="25" priority="8" operator="lessThan">
      <formula>0</formula>
    </cfRule>
    <cfRule type="cellIs" dxfId="24" priority="9" operator="greaterThan">
      <formula>0</formula>
    </cfRule>
  </conditionalFormatting>
  <conditionalFormatting sqref="U14">
    <cfRule type="cellIs" dxfId="23" priority="6" operator="lessThan">
      <formula>0</formula>
    </cfRule>
    <cfRule type="cellIs" dxfId="22" priority="7" operator="greaterThan">
      <formula>0</formula>
    </cfRule>
  </conditionalFormatting>
  <conditionalFormatting sqref="C29:F1188 I29:I1188 K29:P1188">
    <cfRule type="expression" dxfId="21" priority="14">
      <formula>$C29="x"</formula>
    </cfRule>
    <cfRule type="expression" dxfId="20" priority="15">
      <formula>$C29="c"</formula>
    </cfRule>
    <cfRule type="expression" dxfId="19" priority="16">
      <formula>$F29&gt;TODAY()</formula>
    </cfRule>
    <cfRule type="expression" dxfId="18" priority="17">
      <formula>$C29=""</formula>
    </cfRule>
  </conditionalFormatting>
  <conditionalFormatting sqref="R1031">
    <cfRule type="expression" dxfId="17" priority="2">
      <formula>$C1031="x"</formula>
    </cfRule>
    <cfRule type="expression" dxfId="16" priority="3">
      <formula>$C1031="c"</formula>
    </cfRule>
    <cfRule type="expression" dxfId="15" priority="4">
      <formula>$F1031&gt;TODAY()</formula>
    </cfRule>
    <cfRule type="expression" dxfId="14" priority="5">
      <formula>$C1031=""</formula>
    </cfRule>
  </conditionalFormatting>
  <conditionalFormatting sqref="N1033:P1033 N1046:P1047 B1046:F1046 Q1046:S1046 I1046 K1046:M1046">
    <cfRule type="expression" dxfId="13" priority="19">
      <formula>MONTH($F1033)&lt;&gt;MONTH($F1035)</formula>
    </cfRule>
  </conditionalFormatting>
  <conditionalFormatting sqref="R935">
    <cfRule type="expression" dxfId="12" priority="1">
      <formula>MONTH($F934)&lt;&gt;MONTH($F935)</formula>
    </cfRule>
  </conditionalFormatting>
  <conditionalFormatting sqref="B990:F990 N991:P992 B991:B992 C1012:F1012 N1013:P1014 B1032:F1032 N1033:P1034 C1064:F1064 N1065:P1066 C1089:F1089 N1090:P1091 B1108:F1108 B1109 N1109:P1110 C1126:F1126 N1127:P1128 B1148:F1148 B1149 N1149:P1150 B1165:F1165 B1166:B1167 N1166:P1167 C1184:F1184 N1185:P1186 I1184 I1165 I1148 I1126 I1108 I1089 I1064 I1032 I1012 I990 K990:S990 K1012:S1012 K1032:S1032 K1064:S1064 K1089:S1089 K1108:S1108 K1126:S1126 K1148:S1148 K1165:S1165 K1184:S1184">
    <cfRule type="expression" dxfId="11" priority="20">
      <formula>MONTH($F990)&lt;&gt;MONTH(#REF!)</formula>
    </cfRule>
  </conditionalFormatting>
  <conditionalFormatting sqref="N1045:P1046 B1045:F1045 Q1045:S1045 I1045 K1045:M1045">
    <cfRule type="expression" dxfId="10" priority="21">
      <formula>MONTH($F1045)&lt;&gt;MONTH($F1048)</formula>
    </cfRule>
  </conditionalFormatting>
  <conditionalFormatting sqref="N1044:P1045 B1044:F1044 Q1044:S1044 I1044 K1044:M1044">
    <cfRule type="expression" dxfId="9" priority="22">
      <formula>MONTH($F1044)&lt;&gt;MONTH($F1048)</formula>
    </cfRule>
  </conditionalFormatting>
  <conditionalFormatting sqref="N1043:P1044 B1043:F1043 Q1043:S1043 I1043 K1043:M1043">
    <cfRule type="expression" dxfId="8" priority="23">
      <formula>MONTH($F1043)&lt;&gt;MONTH($F1049)</formula>
    </cfRule>
  </conditionalFormatting>
  <conditionalFormatting sqref="C956:F956 C954:F954 N955:P955 N957:P962 I954 I956 K956:S956 K954:S954">
    <cfRule type="expression" dxfId="7" priority="24">
      <formula>MONTH($F954)&lt;&gt;MONTH(#REF!)</formula>
    </cfRule>
  </conditionalFormatting>
  <conditionalFormatting sqref="N1044:P1044">
    <cfRule type="expression" dxfId="6" priority="25">
      <formula>MONTH($F1044)&lt;&gt;MONTH($F1049)</formula>
    </cfRule>
  </conditionalFormatting>
  <conditionalFormatting sqref="N1042:P1044 B1042:F1042 Q1042:S1042 I1042 K1042:M1042">
    <cfRule type="expression" dxfId="5" priority="26">
      <formula>MONTH($F1042)&lt;&gt;MONTH($F1049)</formula>
    </cfRule>
  </conditionalFormatting>
  <conditionalFormatting sqref="N1042:P1043">
    <cfRule type="expression" dxfId="4" priority="27">
      <formula>MONTH($F1042)&lt;&gt;MONTH($F1050)</formula>
    </cfRule>
  </conditionalFormatting>
  <conditionalFormatting sqref="N1042:P1042 B1041:F1041 I1041 K1041:S1041">
    <cfRule type="expression" dxfId="3" priority="28">
      <formula>MONTH($F1041)&lt;&gt;MONTH($F1050)</formula>
    </cfRule>
  </conditionalFormatting>
  <conditionalFormatting sqref="C970:F970 I970 K970:S970">
    <cfRule type="expression" dxfId="2" priority="29">
      <formula>MONTH($F970)&lt;&gt;MONTH(#REF!)</formula>
    </cfRule>
  </conditionalFormatting>
  <conditionalFormatting sqref="B1038:F1040 I1038:I1040 K1038:S1040 N1040:P1042">
    <cfRule type="expression" dxfId="1" priority="30">
      <formula>MONTH($F1038)&lt;&gt;MONTH($F1048)</formula>
    </cfRule>
  </conditionalFormatting>
  <conditionalFormatting sqref="B1036:F1037 I1036:I1037 K1036:S1037 N1038:P1041">
    <cfRule type="expression" dxfId="0" priority="37">
      <formula>MONTH($F1036)&lt;&gt;MONTH($F1047)</formula>
    </cfRule>
  </conditionalFormatting>
  <dataValidations count="2">
    <dataValidation type="list" allowBlank="1" showInputMessage="1" showErrorMessage="1" sqref="E26">
      <formula1>INDIRECT($D$26)</formula1>
    </dataValidation>
    <dataValidation type="list" allowBlank="1" showInputMessage="1" showErrorMessage="1" sqref="D26">
      <formula1>TYPE</formula1>
    </dataValidation>
  </dataValidations>
  <printOptions horizontalCentered="1"/>
  <pageMargins left="0.70866141732283472" right="0.70866141732283472" top="0.74803149606299213" bottom="0.74803149606299213" header="0.31496062992125984" footer="0.23622047244094491"/>
  <pageSetup paperSize="9" scale="67" fitToHeight="0" orientation="landscape" horizontalDpi="4294967293" r:id="rId1"/>
  <headerFooter>
    <oddFooter>&amp;LLégende ETAT :
c : Transmis en comptabilité
x : Débité ou crédité sur compte bancaire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nserer">
                <anchor moveWithCells="1" sizeWithCells="1">
                  <from>
                    <xdr:col>13</xdr:col>
                    <xdr:colOff>220980</xdr:colOff>
                    <xdr:row>25</xdr:row>
                    <xdr:rowOff>7620</xdr:rowOff>
                  </from>
                  <to>
                    <xdr:col>14</xdr:col>
                    <xdr:colOff>251460</xdr:colOff>
                    <xdr:row>25</xdr:row>
                    <xdr:rowOff>373380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17</vt:i4>
      </vt:variant>
    </vt:vector>
  </HeadingPairs>
  <TitlesOfParts>
    <vt:vector size="18" baseType="lpstr">
      <vt:lpstr>Compte Bancaire</vt:lpstr>
      <vt:lpstr>HTAOUT2015</vt:lpstr>
      <vt:lpstr>HTAVRIL2015</vt:lpstr>
      <vt:lpstr>HTFEVRIER2015</vt:lpstr>
      <vt:lpstr>HTJANVIER2015</vt:lpstr>
      <vt:lpstr>HTJUILLET2015</vt:lpstr>
      <vt:lpstr>HTJUIN2015</vt:lpstr>
      <vt:lpstr>HTMARS2015</vt:lpstr>
      <vt:lpstr>'Compte Bancaire'!Impression_des_titres</vt:lpstr>
      <vt:lpstr>TTCA2015</vt:lpstr>
      <vt:lpstr>TTCAOUT2015</vt:lpstr>
      <vt:lpstr>TTCAVRIL2015</vt:lpstr>
      <vt:lpstr>TTCFEVRIER2015</vt:lpstr>
      <vt:lpstr>TTCJANVIER2015</vt:lpstr>
      <vt:lpstr>TTCJUILETTE2015</vt:lpstr>
      <vt:lpstr>TTCJUIN2015</vt:lpstr>
      <vt:lpstr>TTCM2015</vt:lpstr>
      <vt:lpstr>'Compte Bancaire'!Zone_d_impression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VAGELLI</dc:creator>
  <cp:lastModifiedBy>Laurent VAGELLI</cp:lastModifiedBy>
  <dcterms:created xsi:type="dcterms:W3CDTF">2017-02-20T19:11:11Z</dcterms:created>
  <dcterms:modified xsi:type="dcterms:W3CDTF">2017-02-20T19:24:47Z</dcterms:modified>
</cp:coreProperties>
</file>