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209"/>
  <workbookPr/>
  <mc:AlternateContent xmlns:mc="http://schemas.openxmlformats.org/markup-compatibility/2006">
    <mc:Choice Requires="x15">
      <x15ac:absPath xmlns:x15ac="http://schemas.microsoft.com/office/spreadsheetml/2010/11/ac" url="/Users/laurentpons/Downloads/"/>
    </mc:Choice>
  </mc:AlternateContent>
  <bookViews>
    <workbookView xWindow="0" yWindow="0" windowWidth="28800" windowHeight="18000"/>
  </bookViews>
  <sheets>
    <sheet name="Feuil1" sheetId="3" r:id="rId1"/>
    <sheet name="LZG_COMPLIANCE" sheetId="1" r:id="rId2"/>
    <sheet name="Feuil2" sheetId="2" r:id="rId3"/>
  </sheets>
  <definedNames>
    <definedName name="Segment_Codop">#N/A</definedName>
    <definedName name="Segment_Portefeuille">#N/A</definedName>
  </definedNames>
  <calcPr calcId="191029" concurrentCalc="0"/>
  <pivotCaches>
    <pivotCache cacheId="5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59" i="1" l="1"/>
  <c r="F343" i="1"/>
  <c r="C3" i="2"/>
  <c r="F197" i="1"/>
  <c r="F106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G101" i="1"/>
  <c r="F102" i="1"/>
  <c r="F103" i="1"/>
  <c r="F104" i="1"/>
  <c r="F105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G187" i="1"/>
  <c r="F188" i="1"/>
  <c r="F189" i="1"/>
  <c r="F190" i="1"/>
  <c r="F191" i="1"/>
  <c r="F192" i="1"/>
  <c r="F193" i="1"/>
  <c r="F194" i="1"/>
  <c r="F195" i="1"/>
  <c r="F196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G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G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G310" i="1"/>
  <c r="F311" i="1"/>
  <c r="F312" i="1"/>
  <c r="F313" i="1"/>
  <c r="F314" i="1"/>
  <c r="F315" i="1"/>
  <c r="F316" i="1"/>
  <c r="F317" i="1"/>
  <c r="F318" i="1"/>
  <c r="F319" i="1"/>
  <c r="G319" i="1"/>
  <c r="F320" i="1"/>
  <c r="F321" i="1"/>
  <c r="F322" i="1"/>
  <c r="F323" i="1"/>
  <c r="F324" i="1"/>
  <c r="F325" i="1"/>
  <c r="G325" i="1"/>
  <c r="F326" i="1"/>
  <c r="G326" i="1"/>
  <c r="F327" i="1"/>
  <c r="G327" i="1"/>
  <c r="F328" i="1"/>
  <c r="G328" i="1"/>
  <c r="F329" i="1"/>
  <c r="G329" i="1"/>
  <c r="F330" i="1"/>
  <c r="G330" i="1"/>
  <c r="F331" i="1"/>
  <c r="G331" i="1"/>
  <c r="F332" i="1"/>
  <c r="F333" i="1"/>
  <c r="F334" i="1"/>
  <c r="F335" i="1"/>
  <c r="F336" i="1"/>
  <c r="F337" i="1"/>
  <c r="F338" i="1"/>
  <c r="F339" i="1"/>
  <c r="F340" i="1"/>
  <c r="G340" i="1"/>
  <c r="F341" i="1"/>
  <c r="F342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G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</calcChain>
</file>

<file path=xl/sharedStrings.xml><?xml version="1.0" encoding="utf-8"?>
<sst xmlns="http://schemas.openxmlformats.org/spreadsheetml/2006/main" count="3386" uniqueCount="155">
  <si>
    <t>Ref</t>
  </si>
  <si>
    <t>Isin</t>
  </si>
  <si>
    <t>Valeur</t>
  </si>
  <si>
    <t>Portefeuille</t>
  </si>
  <si>
    <t>Codop</t>
  </si>
  <si>
    <t>Qté nég.</t>
  </si>
  <si>
    <t>Cours exéc</t>
  </si>
  <si>
    <t>Dev</t>
  </si>
  <si>
    <t>Place</t>
  </si>
  <si>
    <t>Création</t>
  </si>
  <si>
    <t>Négociation</t>
  </si>
  <si>
    <t>AC</t>
  </si>
  <si>
    <t>EUR</t>
  </si>
  <si>
    <t>DEU</t>
  </si>
  <si>
    <t>KCMLGB21</t>
  </si>
  <si>
    <t>DE0007100000</t>
  </si>
  <si>
    <t>DAIMLER AG</t>
  </si>
  <si>
    <t>DE0005810055</t>
  </si>
  <si>
    <t>DEUTSCHE BOERSE AG.</t>
  </si>
  <si>
    <t>DE0005557508</t>
  </si>
  <si>
    <t>DEUTSCHE TELEKOM AG. (NOMI.)</t>
  </si>
  <si>
    <t>DE0006048432</t>
  </si>
  <si>
    <t>HENKEL AG AND CO KGAA (PFD)</t>
  </si>
  <si>
    <t>IE0004906560</t>
  </si>
  <si>
    <t>KERRY GROUP P.L.C. -A-</t>
  </si>
  <si>
    <t>IRL</t>
  </si>
  <si>
    <t>DE0006599905</t>
  </si>
  <si>
    <t>MERCK KGAA</t>
  </si>
  <si>
    <t>DE0008430026</t>
  </si>
  <si>
    <t>MUENCHENER RUECKVERSICHER. (N)</t>
  </si>
  <si>
    <t>IE00BYTBXV33</t>
  </si>
  <si>
    <t>RYANAIR HOLDINGS P.L.C.</t>
  </si>
  <si>
    <t>DE0007164600</t>
  </si>
  <si>
    <t>SAP SE</t>
  </si>
  <si>
    <t>DE0007236101</t>
  </si>
  <si>
    <t>SIEMENS AG.(N)</t>
  </si>
  <si>
    <t>MSLNGB2X</t>
  </si>
  <si>
    <t>ES0130960018</t>
  </si>
  <si>
    <t>ENAGAS S.A.</t>
  </si>
  <si>
    <t>ESP</t>
  </si>
  <si>
    <t>ITA</t>
  </si>
  <si>
    <t>FI0009000681</t>
  </si>
  <si>
    <t>NOKIA OYJ</t>
  </si>
  <si>
    <t>FIN</t>
  </si>
  <si>
    <t>IT0005218380</t>
  </si>
  <si>
    <t>BANCO BPM SPA (ECH.)</t>
  </si>
  <si>
    <t>ODDOFRPP</t>
  </si>
  <si>
    <t>VC</t>
  </si>
  <si>
    <t>CHF</t>
  </si>
  <si>
    <t>CHE</t>
  </si>
  <si>
    <t>SOGEGB22</t>
  </si>
  <si>
    <t>IXIRFRPP</t>
  </si>
  <si>
    <t>EXFLGB21</t>
  </si>
  <si>
    <t>NDEASESS</t>
  </si>
  <si>
    <t>ES0113900J37</t>
  </si>
  <si>
    <t>BANCO SANTANDER S.A.</t>
  </si>
  <si>
    <t>ES0118900010</t>
  </si>
  <si>
    <t>FERROVIAL S.A.</t>
  </si>
  <si>
    <t>ES0178430E18</t>
  </si>
  <si>
    <t>TELEFONICA SA</t>
  </si>
  <si>
    <t>HAUKDEFF</t>
  </si>
  <si>
    <t>JPMOGBLO</t>
  </si>
  <si>
    <t>ES0113860A34</t>
  </si>
  <si>
    <t>BANCO DE SABADELL SA</t>
  </si>
  <si>
    <t>FI0009002422</t>
  </si>
  <si>
    <t>OUTOKUMPU OYJ -A-</t>
  </si>
  <si>
    <t>MERLGB2L</t>
  </si>
  <si>
    <t>BARCGB33</t>
  </si>
  <si>
    <t>CH0012032048</t>
  </si>
  <si>
    <t>ROCHE HOLDING AG. (BON JCE)</t>
  </si>
  <si>
    <t>US0584981064</t>
  </si>
  <si>
    <t>BALL CORP</t>
  </si>
  <si>
    <t>USD</t>
  </si>
  <si>
    <t>USA</t>
  </si>
  <si>
    <t>SBNYUS33</t>
  </si>
  <si>
    <t>US6200763075</t>
  </si>
  <si>
    <t>MOTOROLA SOLUTIONS INC.</t>
  </si>
  <si>
    <t>WIBCUS44</t>
  </si>
  <si>
    <t>US30303M1027</t>
  </si>
  <si>
    <t>FACEBOOK INC. -A-</t>
  </si>
  <si>
    <t>US45866F1049</t>
  </si>
  <si>
    <t>INTERCONTINENTAL EXCHANGE INC</t>
  </si>
  <si>
    <t>CH0012138530</t>
  </si>
  <si>
    <t>CREDIT SUISSE GROUP AG (NOMI.)</t>
  </si>
  <si>
    <t>BRGAGB21</t>
  </si>
  <si>
    <t>BARCGB33CSA</t>
  </si>
  <si>
    <t>FR0000120073</t>
  </si>
  <si>
    <t>AIR LIQUIDE (L')</t>
  </si>
  <si>
    <t>FRA</t>
  </si>
  <si>
    <t>FR0010220475</t>
  </si>
  <si>
    <t>ALSTOM</t>
  </si>
  <si>
    <t>FR0004125920</t>
  </si>
  <si>
    <t>AMUNDI SA</t>
  </si>
  <si>
    <t>FR0000120628</t>
  </si>
  <si>
    <t>AXA</t>
  </si>
  <si>
    <t>FR0000131104</t>
  </si>
  <si>
    <t>BNP PARIBAS</t>
  </si>
  <si>
    <t>FR0006174348</t>
  </si>
  <si>
    <t>BUREAU VERITAS</t>
  </si>
  <si>
    <t>FR0000120172</t>
  </si>
  <si>
    <t>CARREFOUR</t>
  </si>
  <si>
    <t>FR0000130650</t>
  </si>
  <si>
    <t>DASSAULT SYSTEMES SA</t>
  </si>
  <si>
    <t>BE0003565737</t>
  </si>
  <si>
    <t>KBC GROUPE SA</t>
  </si>
  <si>
    <t>FR0010307819</t>
  </si>
  <si>
    <t>LEGRAND SA</t>
  </si>
  <si>
    <t>FR0000120321</t>
  </si>
  <si>
    <t>OREAL (L')</t>
  </si>
  <si>
    <t>FR0000121501</t>
  </si>
  <si>
    <t>PEUGEOT SA</t>
  </si>
  <si>
    <t>FR0000130577</t>
  </si>
  <si>
    <t>PUBLICIS GROUPE SA</t>
  </si>
  <si>
    <t>FR0000131906</t>
  </si>
  <si>
    <t>RENAULT SA</t>
  </si>
  <si>
    <t>FR0010451203</t>
  </si>
  <si>
    <t>REXEL</t>
  </si>
  <si>
    <t>FR0000125007</t>
  </si>
  <si>
    <t>SAINT-GOBAIN (CIE DE)</t>
  </si>
  <si>
    <t>FR0000120578</t>
  </si>
  <si>
    <t>SANOFI</t>
  </si>
  <si>
    <t>FR0000121972</t>
  </si>
  <si>
    <t>SCHNEIDER ELECTRIC SE</t>
  </si>
  <si>
    <t>BE0003826436</t>
  </si>
  <si>
    <t>TELENET GROUP HOLDING</t>
  </si>
  <si>
    <t>EXANFRPP</t>
  </si>
  <si>
    <t>FR0000125346</t>
  </si>
  <si>
    <t>INGENICO GROUP SA</t>
  </si>
  <si>
    <t>FR0000031122</t>
  </si>
  <si>
    <t>AIR FRANCE - KLM</t>
  </si>
  <si>
    <t>LCMLGB21</t>
  </si>
  <si>
    <t>DUPONTGILB</t>
  </si>
  <si>
    <t>FR0000125338</t>
  </si>
  <si>
    <t>CAPGEMINI SE</t>
  </si>
  <si>
    <t>JULFRPP1</t>
  </si>
  <si>
    <t>NL0010273215</t>
  </si>
  <si>
    <t>ASML HOLDING N.V.</t>
  </si>
  <si>
    <t>RJASUS3F</t>
  </si>
  <si>
    <t>Broker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</si>
  <si>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</si>
  <si>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</si>
  <si>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</si>
  <si>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</si>
  <si>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</si>
  <si>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</si>
  <si>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</si>
  <si>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</si>
  <si>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Négociation 2</t>
  </si>
  <si>
    <t>x</t>
  </si>
  <si>
    <t>Opé qui doit matcher</t>
  </si>
  <si>
    <t>18000709180007xx</t>
  </si>
  <si>
    <t>Nombre de Valeur</t>
  </si>
  <si>
    <t>(Tous)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</si>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</sst>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6" x14ac:knownFonts="1">
    <font>
      <sz val="11"/>
      <color theme="1"/>
      <name val="Times New Roman"/>
      <family val="2"/>
    </font>
    <font>
      <sz val="11"/>
      <color theme="1"/>
      <name val="Times New Roman"/>
      <family val="2"/>
    </font>
    <font>
      <b/>
      <sz val="11"/>
      <name val="Times New Roman"/>
      <family val="2"/>
    </font>
    <font>
      <sz val="11"/>
      <name val="Times New Roman"/>
      <family val="2"/>
    </font>
    <font>
      <sz val="11"/>
      <name val="Times New Roman"/>
      <family val="1"/>
    </font>
    <font>
      <b/>
      <sz val="1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3">
    <xf numFmtId="0" fontId="0" fillId="0" borderId="0" xfId="0"/>
    <xf numFmtId="0" fontId="3" fillId="2" borderId="0" xfId="0" applyFont="1" applyFill="1"/>
    <xf numFmtId="0" fontId="3" fillId="2" borderId="1" xfId="0" applyFont="1" applyFill="1" applyBorder="1" applyAlignment="1">
      <alignment horizontal="left" vertical="center" wrapText="1"/>
    </xf>
    <xf numFmtId="22" fontId="3" fillId="2" borderId="1" xfId="0" applyNumberFormat="1" applyFont="1" applyFill="1" applyBorder="1" applyAlignment="1">
      <alignment horizontal="left" vertical="center" wrapText="1"/>
    </xf>
    <xf numFmtId="14" fontId="3" fillId="2" borderId="1" xfId="0" applyNumberFormat="1" applyFont="1" applyFill="1" applyBorder="1" applyAlignment="1">
      <alignment horizontal="left" vertical="center" wrapText="1"/>
    </xf>
    <xf numFmtId="3" fontId="3" fillId="2" borderId="2" xfId="0" applyNumberFormat="1" applyFont="1" applyFill="1" applyBorder="1" applyAlignment="1">
      <alignment horizontal="left" vertical="center" wrapText="1"/>
    </xf>
    <xf numFmtId="0" fontId="2" fillId="2" borderId="3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left" vertical="center" wrapText="1"/>
    </xf>
    <xf numFmtId="14" fontId="4" fillId="2" borderId="1" xfId="0" applyNumberFormat="1" applyFont="1" applyFill="1" applyBorder="1" applyAlignment="1">
      <alignment horizontal="left" vertical="center" wrapText="1"/>
    </xf>
    <xf numFmtId="14" fontId="4" fillId="2" borderId="4" xfId="0" applyNumberFormat="1" applyFont="1" applyFill="1" applyBorder="1" applyAlignment="1">
      <alignment horizontal="left" vertical="center" wrapText="1"/>
    </xf>
    <xf numFmtId="0" fontId="5" fillId="2" borderId="4" xfId="0" applyFont="1" applyFill="1" applyBorder="1" applyAlignment="1">
      <alignment horizontal="left" vertical="center" wrapText="1"/>
    </xf>
    <xf numFmtId="14" fontId="4" fillId="2" borderId="5" xfId="0" applyNumberFormat="1" applyFont="1" applyFill="1" applyBorder="1" applyAlignment="1">
      <alignment horizontal="left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164" fontId="3" fillId="2" borderId="1" xfId="1" applyFont="1" applyFill="1" applyBorder="1" applyAlignment="1">
      <alignment horizontal="left" vertical="center" wrapText="1"/>
    </xf>
    <xf numFmtId="164" fontId="2" fillId="2" borderId="4" xfId="1" applyFont="1" applyFill="1" applyBorder="1" applyAlignment="1">
      <alignment horizontal="left" vertical="center" wrapText="1"/>
    </xf>
    <xf numFmtId="164" fontId="3" fillId="2" borderId="0" xfId="1" applyFont="1" applyFill="1"/>
    <xf numFmtId="3" fontId="3" fillId="3" borderId="2" xfId="0" applyNumberFormat="1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vertical="center" wrapText="1"/>
    </xf>
    <xf numFmtId="164" fontId="3" fillId="3" borderId="1" xfId="1" applyFont="1" applyFill="1" applyBorder="1" applyAlignment="1">
      <alignment horizontal="left" vertical="center" wrapText="1"/>
    </xf>
    <xf numFmtId="22" fontId="3" fillId="3" borderId="1" xfId="0" applyNumberFormat="1" applyFont="1" applyFill="1" applyBorder="1" applyAlignment="1">
      <alignment horizontal="left" vertical="center" wrapText="1"/>
    </xf>
    <xf numFmtId="14" fontId="4" fillId="3" borderId="1" xfId="0" applyNumberFormat="1" applyFont="1" applyFill="1" applyBorder="1" applyAlignment="1">
      <alignment horizontal="left" vertical="center" wrapText="1"/>
    </xf>
    <xf numFmtId="3" fontId="3" fillId="4" borderId="2" xfId="0" applyNumberFormat="1" applyFont="1" applyFill="1" applyBorder="1" applyAlignment="1">
      <alignment horizontal="left" vertical="center" wrapText="1"/>
    </xf>
    <xf numFmtId="0" fontId="3" fillId="4" borderId="1" xfId="0" applyFont="1" applyFill="1" applyBorder="1" applyAlignment="1">
      <alignment horizontal="left" vertical="center" wrapText="1"/>
    </xf>
    <xf numFmtId="164" fontId="3" fillId="4" borderId="1" xfId="1" applyFont="1" applyFill="1" applyBorder="1" applyAlignment="1">
      <alignment horizontal="left" vertical="center" wrapText="1"/>
    </xf>
    <xf numFmtId="22" fontId="3" fillId="4" borderId="1" xfId="0" applyNumberFormat="1" applyFont="1" applyFill="1" applyBorder="1" applyAlignment="1">
      <alignment horizontal="left" vertical="center" wrapText="1"/>
    </xf>
    <xf numFmtId="14" fontId="4" fillId="4" borderId="1" xfId="0" applyNumberFormat="1" applyFont="1" applyFill="1" applyBorder="1" applyAlignment="1">
      <alignment horizontal="left" vertical="center" wrapText="1"/>
    </xf>
    <xf numFmtId="14" fontId="3" fillId="4" borderId="1" xfId="0" applyNumberFormat="1" applyFont="1" applyFill="1" applyBorder="1" applyAlignment="1">
      <alignment horizontal="left" vertical="center" wrapText="1"/>
    </xf>
    <xf numFmtId="14" fontId="3" fillId="3" borderId="1" xfId="0" applyNumberFormat="1" applyFont="1" applyFill="1" applyBorder="1" applyAlignment="1">
      <alignment horizontal="left" vertical="center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2">
    <cellStyle name="Milliers" xfId="1" builtinId="3"/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27" formatCode="dd/mm/yyyy\ hh:mm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3" formatCode="#,##0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pivotCacheDefinition" Target="pivotCache/pivotCacheDefinition1.xml"/><Relationship Id="rId5" Type="http://schemas.microsoft.com/office/2007/relationships/slicerCache" Target="slicerCaches/slicerCache1.xml"/><Relationship Id="rId6" Type="http://schemas.microsoft.com/office/2007/relationships/slicerCache" Target="slicerCaches/slicerCache2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774700</xdr:colOff>
      <xdr:row>1</xdr:row>
      <xdr:rowOff>127001</xdr:rowOff>
    </xdr:from>
    <xdr:to>
      <xdr:col>6</xdr:col>
      <xdr:colOff>127000</xdr:colOff>
      <xdr:row>7</xdr:row>
      <xdr:rowOff>88901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odop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op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97500" y="304801"/>
              <a:ext cx="1828800" cy="1028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endParaRPr lang="fr-FR" sz="1100"/>
            </a:p>
          </xdr:txBody>
        </xdr:sp>
      </mc:Fallback>
    </mc:AlternateContent>
    <xdr:clientData/>
  </xdr:twoCellAnchor>
  <xdr:twoCellAnchor editAs="oneCell">
    <xdr:from>
      <xdr:col>6</xdr:col>
      <xdr:colOff>381000</xdr:colOff>
      <xdr:row>1</xdr:row>
      <xdr:rowOff>127000</xdr:rowOff>
    </xdr:from>
    <xdr:to>
      <xdr:col>8</xdr:col>
      <xdr:colOff>558800</xdr:colOff>
      <xdr:row>15</xdr:row>
      <xdr:rowOff>66669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ortefeuil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rtefeu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80300" y="304800"/>
              <a:ext cx="1828800" cy="242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endParaRPr lang="fr-FR" sz="1100"/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3481.754778009257" createdVersion="4" refreshedVersion="4" minRefreshableVersion="3" recordCount="473">
  <cacheSource type="worksheet">
    <worksheetSource name="Tableau2"/>
  </cacheSource>
  <cacheFields count="14">
    <cacheField name="Ref" numFmtId="3">
      <sharedItems containsMixedTypes="1" containsNumber="1" containsInteger="1" minValue="1700767500000000" maxValue="1800162418001620"/>
    </cacheField>
    <cacheField name="Isin" numFmtId="0">
      <sharedItems count="47">
        <s v="DE0007100000"/>
        <s v="DE0005810055"/>
        <s v="DE0005557508"/>
        <s v="DE0006048432"/>
        <s v="IE0004906560"/>
        <s v="DE0006599905"/>
        <s v="DE0008430026"/>
        <s v="IE00BYTBXV33"/>
        <s v="DE0007164600"/>
        <s v="DE0007236101"/>
        <s v="ES0130960018"/>
        <s v="FI0009000681"/>
        <s v="IT0005218380"/>
        <s v="ES0178430E18"/>
        <s v="ES0113860A34"/>
        <s v="ES0118900010"/>
        <s v="FI0009002422"/>
        <s v="CH0012032048"/>
        <s v="US0584981064"/>
        <s v="US6200763075"/>
        <s v="US30303M1027"/>
        <s v="US45866F1049"/>
        <s v="CH0012138530"/>
        <s v="ES0113900J37"/>
        <s v="FR0000120073"/>
        <s v="FR0010220475"/>
        <s v="FR0004125920"/>
        <s v="FR0000120628"/>
        <s v="FR0000131104"/>
        <s v="FR0006174348"/>
        <s v="FR0000120172"/>
        <s v="FR0000130650"/>
        <s v="BE0003565737"/>
        <s v="FR0010307819"/>
        <s v="FR0000120321"/>
        <s v="FR0000121501"/>
        <s v="FR0000130577"/>
        <s v="FR0000131906"/>
        <s v="FR0010451203"/>
        <s v="FR0000125007"/>
        <s v="FR0000120578"/>
        <s v="FR0000121972"/>
        <s v="BE0003826436"/>
        <s v="FR0000125346"/>
        <s v="FR0000031122"/>
        <s v="FR0000125338"/>
        <s v="NL0010273215"/>
      </sharedItems>
    </cacheField>
    <cacheField name="Valeur" numFmtId="0">
      <sharedItems count="47">
        <s v="DAIMLER AG"/>
        <s v="DEUTSCHE BOERSE AG."/>
        <s v="DEUTSCHE TELEKOM AG. (NOMI.)"/>
        <s v="HENKEL AG AND CO KGAA (PFD)"/>
        <s v="KERRY GROUP P.L.C. -A-"/>
        <s v="MERCK KGAA"/>
        <s v="MUENCHENER RUECKVERSICHER. (N)"/>
        <s v="RYANAIR HOLDINGS P.L.C."/>
        <s v="SAP SE"/>
        <s v="SIEMENS AG.(N)"/>
        <s v="ENAGAS S.A."/>
        <s v="NOKIA OYJ"/>
        <s v="BANCO BPM SPA (ECH.)"/>
        <s v="TELEFONICA SA"/>
        <s v="BANCO DE SABADELL SA"/>
        <s v="FERROVIAL S.A."/>
        <s v="OUTOKUMPU OYJ -A-"/>
        <s v="ROCHE HOLDING AG. (BON JCE)"/>
        <s v="BALL CORP"/>
        <s v="MOTOROLA SOLUTIONS INC."/>
        <s v="FACEBOOK INC. -A-"/>
        <s v="INTERCONTINENTAL EXCHANGE INC"/>
        <s v="CREDIT SUISSE GROUP AG (NOMI.)"/>
        <s v="BANCO SANTANDER S.A."/>
        <s v="AIR LIQUIDE (L')"/>
        <s v="ALSTOM"/>
        <s v="AMUNDI SA"/>
        <s v="AXA"/>
        <s v="BNP PARIBAS"/>
        <s v="BUREAU VERITAS"/>
        <s v="CARREFOUR"/>
        <s v="DASSAULT SYSTEMES SA"/>
        <s v="KBC GROUPE SA"/>
        <s v="LEGRAND SA"/>
        <s v="OREAL (L')"/>
        <s v="PEUGEOT SA"/>
        <s v="PUBLICIS GROUPE SA"/>
        <s v="RENAULT SA"/>
        <s v="REXEL"/>
        <s v="SAINT-GOBAIN (CIE DE)"/>
        <s v="SANOFI"/>
        <s v="SCHNEIDER ELECTRIC SE"/>
        <s v="TELENET GROUP HOLDING"/>
        <s v="INGENICO GROUP SA"/>
        <s v="AIR FRANCE - KLM"/>
        <s v="CAPGEMINI SE"/>
        <s v="ASML HOLDING N.V."/>
      </sharedItems>
    </cacheField>
    <cacheField name="Portefeuille" numFmtId="0">
      <sharedItems count="8">
        <s v="Client 1"/>
        <s v="Client 2"/>
        <s v="Client 3"/>
        <s v="Client 4"/>
        <s v="Client 5"/>
        <s v="Client 6"/>
        <s v="Client 7"/>
        <s v="Client 8"/>
      </sharedItems>
    </cacheField>
    <cacheField name="Codop" numFmtId="0">
      <sharedItems count="2">
        <s v="AC"/>
        <s v="VC"/>
      </sharedItems>
    </cacheField>
    <cacheField name="Qté nég." numFmtId="164">
      <sharedItems/>
    </cacheField>
    <cacheField name="Cours exéc" numFmtId="0">
      <sharedItems containsMixedTypes="1" containsNumber="1" minValue="1.67" maxValue="246.5"/>
    </cacheField>
    <cacheField name="Dev" numFmtId="0">
      <sharedItems/>
    </cacheField>
    <cacheField name="Place" numFmtId="0">
      <sharedItems/>
    </cacheField>
    <cacheField name="Broker" numFmtId="0">
      <sharedItems/>
    </cacheField>
    <cacheField name="Création" numFmtId="22">
      <sharedItems containsSemiMixedTypes="0" containsNonDate="0" containsDate="1" containsString="0" minDate="2017-12-29T15:27:00" maxDate="2018-03-29T17:06:00"/>
    </cacheField>
    <cacheField name="Négociation" numFmtId="0">
      <sharedItems containsSemiMixedTypes="0" containsNonDate="0" containsDate="1" containsString="0" minDate="2017-12-29T00:00:00" maxDate="2018-03-29T17:35:00"/>
    </cacheField>
    <cacheField name="Négociation 2" numFmtId="14">
      <sharedItems containsSemiMixedTypes="0" containsNonDate="0" containsDate="1" containsString="0" minDate="2017-12-29T00:00:00" maxDate="2018-03-30T00:00:00"/>
    </cacheField>
    <cacheField name="Opé qui doit matcher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3">
  <r>
    <n v="1800001418000010"/>
    <x v="0"/>
    <x v="0"/>
    <x v="0"/>
    <x v="0"/>
    <s v="500"/>
    <n v="70.62"/>
    <s v="EUR"/>
    <s v="DEU"/>
    <s v="KCMLGB21"/>
    <d v="2018-01-02T12:47:00"/>
    <d v="2018-01-02T17:35:00"/>
    <d v="2018-01-02T00:00:00"/>
    <m/>
  </r>
  <r>
    <n v="1800001518000010"/>
    <x v="1"/>
    <x v="1"/>
    <x v="0"/>
    <x v="0"/>
    <s v="500"/>
    <n v="95.86"/>
    <s v="EUR"/>
    <s v="DEU"/>
    <s v="KCMLGB21"/>
    <d v="2018-01-02T12:47:00"/>
    <d v="2018-01-02T17:35:00"/>
    <d v="2018-01-02T00:00:00"/>
    <m/>
  </r>
  <r>
    <n v="1800001618000010"/>
    <x v="2"/>
    <x v="2"/>
    <x v="0"/>
    <x v="0"/>
    <s v="1600"/>
    <n v="14.824999999999999"/>
    <s v="EUR"/>
    <s v="DEU"/>
    <s v="KCMLGB21"/>
    <d v="2018-01-02T12:47:00"/>
    <d v="2018-01-02T17:35:00"/>
    <d v="2018-01-02T00:00:00"/>
    <m/>
  </r>
  <r>
    <n v="1800001718000010"/>
    <x v="3"/>
    <x v="3"/>
    <x v="0"/>
    <x v="0"/>
    <s v="400"/>
    <n v="108.95"/>
    <s v="EUR"/>
    <s v="DEU"/>
    <s v="KCMLGB21"/>
    <d v="2018-01-02T12:47:00"/>
    <d v="2018-01-02T17:35:00"/>
    <d v="2018-01-02T00:00:00"/>
    <m/>
  </r>
  <r>
    <n v="1800001818000010"/>
    <x v="4"/>
    <x v="4"/>
    <x v="0"/>
    <x v="0"/>
    <s v="300"/>
    <n v="93.25"/>
    <s v="EUR"/>
    <s v="IRL"/>
    <s v="KCMLGB21"/>
    <d v="2018-01-02T12:47:00"/>
    <d v="2018-01-02T17:30:00"/>
    <d v="2018-01-02T00:00:00"/>
    <m/>
  </r>
  <r>
    <n v="1800001918000010"/>
    <x v="5"/>
    <x v="5"/>
    <x v="0"/>
    <x v="0"/>
    <s v="400"/>
    <n v="89.98"/>
    <s v="EUR"/>
    <s v="DEU"/>
    <s v="KCMLGB21"/>
    <d v="2018-01-02T12:47:00"/>
    <d v="2018-01-02T17:35:00"/>
    <d v="2018-01-02T00:00:00"/>
    <m/>
  </r>
  <r>
    <n v="1800002018000020"/>
    <x v="6"/>
    <x v="6"/>
    <x v="0"/>
    <x v="0"/>
    <s v="100"/>
    <n v="180.2"/>
    <s v="EUR"/>
    <s v="DEU"/>
    <s v="KCMLGB21"/>
    <d v="2018-01-02T12:47:00"/>
    <d v="2018-01-02T17:35:00"/>
    <d v="2018-01-02T00:00:00"/>
    <m/>
  </r>
  <r>
    <n v="1800002118000020"/>
    <x v="7"/>
    <x v="7"/>
    <x v="0"/>
    <x v="0"/>
    <s v="1300"/>
    <n v="15.045"/>
    <s v="EUR"/>
    <s v="IRL"/>
    <s v="KCMLGB21"/>
    <d v="2018-01-02T12:47:00"/>
    <d v="2018-01-02T17:30:00"/>
    <d v="2018-01-02T00:00:00"/>
    <m/>
  </r>
  <r>
    <n v="1800002218000020"/>
    <x v="8"/>
    <x v="8"/>
    <x v="0"/>
    <x v="0"/>
    <s v="700"/>
    <n v="92.8"/>
    <s v="EUR"/>
    <s v="DEU"/>
    <s v="KCMLGB21"/>
    <d v="2018-01-02T12:47:00"/>
    <d v="2018-01-02T17:35:00"/>
    <d v="2018-01-02T00:00:00"/>
    <m/>
  </r>
  <r>
    <n v="1800002318000020"/>
    <x v="9"/>
    <x v="9"/>
    <x v="0"/>
    <x v="0"/>
    <s v="400"/>
    <n v="115.24"/>
    <s v="EUR"/>
    <s v="DEU"/>
    <s v="KCMLGB21"/>
    <d v="2018-01-02T12:47:00"/>
    <d v="2018-01-02T17:35:00"/>
    <d v="2018-01-02T00:00:00"/>
    <m/>
  </r>
  <r>
    <n v="1800003018000030"/>
    <x v="1"/>
    <x v="1"/>
    <x v="1"/>
    <x v="0"/>
    <s v="600"/>
    <n v="95.86"/>
    <s v="EUR"/>
    <s v="DEU"/>
    <s v="MSLNGB2X"/>
    <d v="2018-01-02T16:14:00"/>
    <d v="2018-01-02T17:35:00"/>
    <d v="2018-01-02T00:00:00"/>
    <m/>
  </r>
  <r>
    <n v="1800003118000030"/>
    <x v="2"/>
    <x v="2"/>
    <x v="1"/>
    <x v="0"/>
    <s v="7100"/>
    <n v="14.824999999999999"/>
    <s v="EUR"/>
    <s v="DEU"/>
    <s v="MSLNGB2X"/>
    <d v="2018-01-02T16:14:00"/>
    <d v="2018-01-02T17:35:00"/>
    <d v="2018-01-02T00:00:00"/>
    <m/>
  </r>
  <r>
    <n v="1800003218000030"/>
    <x v="10"/>
    <x v="10"/>
    <x v="1"/>
    <x v="0"/>
    <s v="2400"/>
    <n v="23.73"/>
    <s v="EUR"/>
    <s v="ESP"/>
    <s v="MSLNGB2X"/>
    <d v="2018-01-02T16:14:00"/>
    <d v="2018-01-02T17:35:00"/>
    <d v="2018-01-02T00:00:00"/>
    <m/>
  </r>
  <r>
    <n v="1800003318000030"/>
    <x v="3"/>
    <x v="3"/>
    <x v="1"/>
    <x v="0"/>
    <s v="1000"/>
    <n v="108.95"/>
    <s v="EUR"/>
    <s v="DEU"/>
    <s v="MSLNGB2X"/>
    <d v="2018-01-02T16:14:00"/>
    <d v="2018-01-02T17:35:00"/>
    <d v="2018-01-02T00:00:00"/>
    <m/>
  </r>
  <r>
    <n v="1800003618000030"/>
    <x v="5"/>
    <x v="5"/>
    <x v="1"/>
    <x v="0"/>
    <s v="1100"/>
    <n v="89.98"/>
    <s v="EUR"/>
    <s v="DEU"/>
    <s v="MSLNGB2X"/>
    <d v="2018-01-02T16:14:00"/>
    <d v="2018-01-02T17:35:00"/>
    <d v="2018-01-02T00:00:00"/>
    <m/>
  </r>
  <r>
    <n v="1800003718000030"/>
    <x v="6"/>
    <x v="6"/>
    <x v="1"/>
    <x v="0"/>
    <s v="300"/>
    <n v="180.2"/>
    <s v="EUR"/>
    <s v="DEU"/>
    <s v="MSLNGB2X"/>
    <d v="2018-01-02T16:14:00"/>
    <d v="2018-01-02T17:35:00"/>
    <d v="2018-01-02T00:00:00"/>
    <m/>
  </r>
  <r>
    <n v="1800003818000030"/>
    <x v="11"/>
    <x v="11"/>
    <x v="1"/>
    <x v="0"/>
    <s v="15200"/>
    <n v="3.9089999999999998"/>
    <s v="EUR"/>
    <s v="FIN"/>
    <s v="MSLNGB2X"/>
    <d v="2018-01-02T16:14:00"/>
    <d v="2018-01-02T17:29:00"/>
    <d v="2018-01-02T00:00:00"/>
    <m/>
  </r>
  <r>
    <n v="1800003918000030"/>
    <x v="8"/>
    <x v="8"/>
    <x v="1"/>
    <x v="0"/>
    <s v="1700"/>
    <n v="92.8"/>
    <s v="EUR"/>
    <s v="DEU"/>
    <s v="MSLNGB2X"/>
    <d v="2018-01-02T16:14:00"/>
    <d v="2018-01-02T17:35:00"/>
    <d v="2018-01-02T00:00:00"/>
    <m/>
  </r>
  <r>
    <n v="1800004018000040"/>
    <x v="9"/>
    <x v="9"/>
    <x v="1"/>
    <x v="0"/>
    <s v="1400"/>
    <n v="115.24"/>
    <s v="EUR"/>
    <s v="DEU"/>
    <s v="MSLNGB2X"/>
    <d v="2018-01-02T16:14:00"/>
    <d v="2018-01-02T17:35:00"/>
    <d v="2018-01-02T00:00:00"/>
    <m/>
  </r>
  <r>
    <n v="1800004918000040"/>
    <x v="12"/>
    <x v="12"/>
    <x v="2"/>
    <x v="0"/>
    <s v="30000"/>
    <n v="2.6198000000000001"/>
    <s v="EUR"/>
    <s v="ITA"/>
    <s v="ODDOFRPP"/>
    <d v="2018-01-03T10:03:00"/>
    <d v="2018-01-03T10:11:00"/>
    <d v="2018-01-03T00:00:00"/>
    <m/>
  </r>
  <r>
    <n v="1800011718000110"/>
    <x v="11"/>
    <x v="11"/>
    <x v="2"/>
    <x v="1"/>
    <s v="20000"/>
    <n v="4.1005000000000003"/>
    <s v="EUR"/>
    <s v="FIN"/>
    <s v="IXIRFRPP"/>
    <d v="2018-01-08T10:18:00"/>
    <d v="2018-01-08T10:36:00"/>
    <d v="2018-01-08T00:00:00"/>
    <m/>
  </r>
  <r>
    <n v="1800017418000170"/>
    <x v="8"/>
    <x v="8"/>
    <x v="2"/>
    <x v="0"/>
    <s v="1000"/>
    <n v="95.41"/>
    <s v="EUR"/>
    <s v="DEU"/>
    <s v="IXIRFRPP"/>
    <d v="2018-01-09T17:13:00"/>
    <d v="2018-01-09T17:35:00"/>
    <d v="2018-01-09T00:00:00"/>
    <m/>
  </r>
  <r>
    <n v="1800017518000170"/>
    <x v="13"/>
    <x v="13"/>
    <x v="2"/>
    <x v="0"/>
    <s v="10000"/>
    <n v="8.3729999999999993"/>
    <s v="EUR"/>
    <s v="ESP"/>
    <s v="IXIRFRPP"/>
    <d v="2018-01-09T17:13:00"/>
    <d v="2018-01-09T17:35:00"/>
    <d v="2018-01-09T00:00:00"/>
    <m/>
  </r>
  <r>
    <n v="1800017618000170"/>
    <x v="14"/>
    <x v="14"/>
    <x v="2"/>
    <x v="1"/>
    <s v="100000"/>
    <n v="1.8069999999999999"/>
    <s v="EUR"/>
    <s v="ESP"/>
    <s v="JPMOGBLO"/>
    <d v="2018-01-10T09:39:00"/>
    <d v="2018-01-10T09:42:00"/>
    <d v="2018-01-10T00:00:00"/>
    <m/>
  </r>
  <r>
    <n v="1800019418000190"/>
    <x v="0"/>
    <x v="0"/>
    <x v="3"/>
    <x v="0"/>
    <s v="4600"/>
    <n v="74.150000000000006"/>
    <s v="EUR"/>
    <s v="DEU"/>
    <s v="KCMLGB21"/>
    <d v="2018-01-10T14:38:00"/>
    <d v="2018-01-10T17:35:00"/>
    <d v="2018-01-10T00:00:00"/>
    <m/>
  </r>
  <r>
    <n v="1800019518000190"/>
    <x v="2"/>
    <x v="2"/>
    <x v="3"/>
    <x v="0"/>
    <s v="25500"/>
    <n v="14.74"/>
    <s v="EUR"/>
    <s v="DEU"/>
    <s v="KCMLGB21"/>
    <d v="2018-01-10T14:38:00"/>
    <d v="2018-01-10T17:35:00"/>
    <d v="2018-01-10T00:00:00"/>
    <m/>
  </r>
  <r>
    <n v="1800019618000190"/>
    <x v="10"/>
    <x v="10"/>
    <x v="3"/>
    <x v="0"/>
    <s v="7500"/>
    <n v="23.7"/>
    <s v="EUR"/>
    <s v="ESP"/>
    <s v="KCMLGB21"/>
    <d v="2018-01-10T14:38:00"/>
    <d v="2018-01-10T17:35:00"/>
    <d v="2018-01-10T00:00:00"/>
    <m/>
  </r>
  <r>
    <n v="1800019718000190"/>
    <x v="15"/>
    <x v="15"/>
    <x v="3"/>
    <x v="0"/>
    <s v="9000"/>
    <n v="19.59"/>
    <s v="EUR"/>
    <s v="ESP"/>
    <s v="KCMLGB21"/>
    <d v="2018-01-10T14:38:00"/>
    <d v="2018-01-10T17:35:00"/>
    <d v="2018-01-10T00:00:00"/>
    <m/>
  </r>
  <r>
    <n v="1800019818000190"/>
    <x v="3"/>
    <x v="3"/>
    <x v="3"/>
    <x v="0"/>
    <s v="2300"/>
    <n v="112.7"/>
    <s v="EUR"/>
    <s v="DEU"/>
    <s v="KCMLGB21"/>
    <d v="2018-01-10T14:38:00"/>
    <d v="2018-01-10T17:35:00"/>
    <d v="2018-01-10T00:00:00"/>
    <m/>
  </r>
  <r>
    <n v="1800019918000190"/>
    <x v="4"/>
    <x v="4"/>
    <x v="3"/>
    <x v="0"/>
    <s v="4700"/>
    <n v="88.75"/>
    <s v="EUR"/>
    <s v="IRL"/>
    <s v="KCMLGB21"/>
    <d v="2018-01-10T14:38:00"/>
    <d v="2018-01-10T17:30:00"/>
    <d v="2018-01-10T00:00:00"/>
    <m/>
  </r>
  <r>
    <n v="1800020118000200"/>
    <x v="5"/>
    <x v="5"/>
    <x v="3"/>
    <x v="0"/>
    <s v="3700"/>
    <n v="92.7"/>
    <s v="EUR"/>
    <s v="DEU"/>
    <s v="KCMLGB21"/>
    <d v="2018-01-10T14:38:00"/>
    <d v="2018-01-10T17:35:00"/>
    <d v="2018-01-10T00:00:00"/>
    <m/>
  </r>
  <r>
    <n v="1800020218000200"/>
    <x v="6"/>
    <x v="6"/>
    <x v="3"/>
    <x v="0"/>
    <s v="1400"/>
    <n v="185.95"/>
    <s v="EUR"/>
    <s v="DEU"/>
    <s v="KCMLGB21"/>
    <d v="2018-01-10T14:38:00"/>
    <d v="2018-01-10T17:35:00"/>
    <d v="2018-01-10T00:00:00"/>
    <m/>
  </r>
  <r>
    <n v="1800020318000200"/>
    <x v="11"/>
    <x v="11"/>
    <x v="3"/>
    <x v="0"/>
    <s v="46000"/>
    <n v="4.0279999999999996"/>
    <s v="EUR"/>
    <s v="FIN"/>
    <s v="KCMLGB21"/>
    <d v="2018-01-10T14:38:00"/>
    <d v="2018-01-10T17:29:00"/>
    <d v="2018-01-10T00:00:00"/>
    <m/>
  </r>
  <r>
    <n v="1800020418000200"/>
    <x v="16"/>
    <x v="16"/>
    <x v="3"/>
    <x v="0"/>
    <s v="80000"/>
    <n v="7.98"/>
    <s v="EUR"/>
    <s v="FIN"/>
    <s v="KCMLGB21"/>
    <d v="2018-01-10T14:39:00"/>
    <d v="2018-01-10T17:29:00"/>
    <d v="2018-01-10T00:00:00"/>
    <m/>
  </r>
  <r>
    <n v="1800020518000200"/>
    <x v="7"/>
    <x v="7"/>
    <x v="3"/>
    <x v="0"/>
    <s v="13600"/>
    <n v="15.5"/>
    <s v="EUR"/>
    <s v="IRL"/>
    <s v="KCMLGB21"/>
    <d v="2018-01-10T14:39:00"/>
    <d v="2018-01-10T17:30:00"/>
    <d v="2018-01-10T00:00:00"/>
    <m/>
  </r>
  <r>
    <n v="1800020718000200"/>
    <x v="8"/>
    <x v="8"/>
    <x v="3"/>
    <x v="0"/>
    <s v="6400"/>
    <n v="94.58"/>
    <s v="EUR"/>
    <s v="DEU"/>
    <s v="KCMLGB21"/>
    <d v="2018-01-10T14:39:00"/>
    <d v="2018-01-10T17:35:00"/>
    <d v="2018-01-10T00:00:00"/>
    <m/>
  </r>
  <r>
    <n v="1800020818000200"/>
    <x v="9"/>
    <x v="9"/>
    <x v="3"/>
    <x v="0"/>
    <s v="3900"/>
    <n v="120.4"/>
    <s v="EUR"/>
    <s v="DEU"/>
    <s v="KCMLGB21"/>
    <d v="2018-01-10T14:39:00"/>
    <d v="2018-01-10T17:35:00"/>
    <d v="2018-01-10T00:00:00"/>
    <m/>
  </r>
  <r>
    <n v="1800021118000210"/>
    <x v="12"/>
    <x v="12"/>
    <x v="2"/>
    <x v="1"/>
    <s v="30000"/>
    <n v="2.8319999999999999"/>
    <s v="EUR"/>
    <s v="ITA"/>
    <s v="JPMOGBLO"/>
    <d v="2018-01-10T14:57:00"/>
    <d v="2018-01-10T15:07:00"/>
    <d v="2018-01-10T00:00:00"/>
    <m/>
  </r>
  <r>
    <n v="1800021218000210"/>
    <x v="14"/>
    <x v="14"/>
    <x v="2"/>
    <x v="1"/>
    <s v="50000"/>
    <n v="1.8403"/>
    <s v="EUR"/>
    <s v="ESP"/>
    <s v="MERLGB2L"/>
    <d v="2018-01-10T14:57:00"/>
    <d v="2018-01-10T15:17:00"/>
    <d v="2018-01-10T00:00:00"/>
    <m/>
  </r>
  <r>
    <n v="1800021418000210"/>
    <x v="11"/>
    <x v="11"/>
    <x v="2"/>
    <x v="0"/>
    <s v="20000"/>
    <n v="4.0279999999999996"/>
    <s v="EUR"/>
    <s v="FIN"/>
    <s v="BARCGB33"/>
    <d v="2018-01-10T16:07:00"/>
    <d v="2018-01-10T17:29:00"/>
    <d v="2018-01-10T00:00:00"/>
    <m/>
  </r>
  <r>
    <n v="1800024418000240"/>
    <x v="12"/>
    <x v="12"/>
    <x v="2"/>
    <x v="1"/>
    <s v="50000"/>
    <n v="2.9104000000000001"/>
    <s v="EUR"/>
    <s v="ITA"/>
    <s v="MERLGB2L"/>
    <d v="2018-01-12T15:05:00"/>
    <d v="2018-01-12T15:33:00"/>
    <d v="2018-01-12T00:00:00"/>
    <m/>
  </r>
  <r>
    <n v="1800025718000250"/>
    <x v="9"/>
    <x v="9"/>
    <x v="1"/>
    <x v="1"/>
    <s v="2500"/>
    <n v="122.34480000000001"/>
    <s v="EUR"/>
    <s v="DEU"/>
    <s v="EXFLGB21"/>
    <d v="2018-01-12T16:54:00"/>
    <d v="2018-01-12T16:55:00"/>
    <d v="2018-01-12T00:00:00"/>
    <m/>
  </r>
  <r>
    <n v="1800025818000250"/>
    <x v="5"/>
    <x v="5"/>
    <x v="2"/>
    <x v="0"/>
    <s v="800"/>
    <n v="91.26"/>
    <s v="EUR"/>
    <s v="DEU"/>
    <s v="SOGEGB22"/>
    <d v="2018-01-12T17:13:00"/>
    <d v="2018-01-12T17:35:00"/>
    <d v="2018-01-12T00:00:00"/>
    <m/>
  </r>
  <r>
    <n v="1800026618000260"/>
    <x v="2"/>
    <x v="2"/>
    <x v="2"/>
    <x v="0"/>
    <s v="18000"/>
    <n v="14.450100000000001"/>
    <s v="EUR"/>
    <s v="DEU"/>
    <s v="EXFLGB21"/>
    <d v="2018-01-15T10:46:00"/>
    <d v="2018-01-15T10:50:00"/>
    <d v="2018-01-15T00:00:00"/>
    <m/>
  </r>
  <r>
    <n v="1800026718000260"/>
    <x v="17"/>
    <x v="17"/>
    <x v="2"/>
    <x v="0"/>
    <s v="1150"/>
    <n v="243.35"/>
    <s v="CHF"/>
    <s v="CHE"/>
    <s v="EXFLGB21"/>
    <d v="2018-01-15T10:46:00"/>
    <d v="2018-01-15T10:47:00"/>
    <d v="2018-01-15T00:00:00"/>
    <m/>
  </r>
  <r>
    <n v="1800026818000260"/>
    <x v="8"/>
    <x v="8"/>
    <x v="2"/>
    <x v="0"/>
    <s v="2500"/>
    <n v="90.106899999999996"/>
    <s v="EUR"/>
    <s v="DEU"/>
    <s v="SOGEGB22"/>
    <d v="2018-01-15T10:46:00"/>
    <d v="2018-01-15T11:18:00"/>
    <d v="2018-01-15T00:00:00"/>
    <m/>
  </r>
  <r>
    <n v="1800031418000310"/>
    <x v="18"/>
    <x v="18"/>
    <x v="4"/>
    <x v="0"/>
    <s v="300"/>
    <n v="38.3566"/>
    <s v="USD"/>
    <s v="USA"/>
    <s v="SBNYUS33"/>
    <d v="2018-01-16T17:59:00"/>
    <d v="2018-01-16T22:00:00"/>
    <d v="2018-01-16T00:00:00"/>
    <m/>
  </r>
  <r>
    <n v="1800031518000310"/>
    <x v="19"/>
    <x v="19"/>
    <x v="4"/>
    <x v="0"/>
    <s v="100"/>
    <n v="95.502399999999994"/>
    <s v="USD"/>
    <s v="USA"/>
    <s v="WIBCUS44"/>
    <d v="2018-01-16T17:59:00"/>
    <d v="2018-01-16T19:00:00"/>
    <d v="2018-01-16T00:00:00"/>
    <m/>
  </r>
  <r>
    <n v="1800032218000320"/>
    <x v="12"/>
    <x v="12"/>
    <x v="2"/>
    <x v="1"/>
    <s v="10000"/>
    <n v="2.9"/>
    <s v="EUR"/>
    <s v="ITA"/>
    <s v="EXFLGB21"/>
    <d v="2018-01-17T10:19:00"/>
    <d v="2018-01-17T10:20:00"/>
    <d v="2018-01-17T00:00:00"/>
    <m/>
  </r>
  <r>
    <n v="1800033618000330"/>
    <x v="17"/>
    <x v="17"/>
    <x v="2"/>
    <x v="0"/>
    <s v="350"/>
    <n v="233.35"/>
    <s v="CHF"/>
    <s v="CHE"/>
    <s v="SOGEGB22"/>
    <d v="2018-01-17T16:57:00"/>
    <d v="2018-01-17T17:31:00"/>
    <d v="2018-01-17T00:00:00"/>
    <m/>
  </r>
  <r>
    <n v="1800036518000360"/>
    <x v="12"/>
    <x v="12"/>
    <x v="2"/>
    <x v="0"/>
    <s v="30000"/>
    <n v="2.85"/>
    <s v="EUR"/>
    <s v="ITA"/>
    <s v="SOGEGB22"/>
    <d v="2018-01-18T17:22:00"/>
    <d v="2018-01-18T17:35:00"/>
    <d v="2018-01-18T00:00:00"/>
    <m/>
  </r>
  <r>
    <n v="1800036618000360"/>
    <x v="3"/>
    <x v="3"/>
    <x v="2"/>
    <x v="0"/>
    <s v="1000"/>
    <n v="112.6"/>
    <s v="EUR"/>
    <s v="DEU"/>
    <s v="SOGEGB22"/>
    <d v="2018-01-18T17:22:00"/>
    <d v="2018-01-18T17:35:00"/>
    <d v="2018-01-18T00:00:00"/>
    <m/>
  </r>
  <r>
    <n v="1800036818000360"/>
    <x v="11"/>
    <x v="11"/>
    <x v="2"/>
    <x v="0"/>
    <s v="30000"/>
    <n v="3.964"/>
    <s v="EUR"/>
    <s v="FIN"/>
    <s v="SOGEGB22"/>
    <d v="2018-01-18T17:22:00"/>
    <d v="2018-01-18T17:29:00"/>
    <d v="2018-01-18T00:00:00"/>
    <m/>
  </r>
  <r>
    <n v="1800037418000370"/>
    <x v="2"/>
    <x v="2"/>
    <x v="3"/>
    <x v="0"/>
    <s v="23700"/>
    <n v="14.490600000000001"/>
    <s v="EUR"/>
    <s v="DEU"/>
    <s v="HAUKDEFF"/>
    <d v="2018-01-19T12:27:00"/>
    <d v="2018-01-19T15:56:00"/>
    <d v="2018-01-19T00:00:00"/>
    <m/>
  </r>
  <r>
    <n v="1800037618000370"/>
    <x v="2"/>
    <x v="2"/>
    <x v="4"/>
    <x v="0"/>
    <s v="3000"/>
    <n v="14.490600000000001"/>
    <s v="EUR"/>
    <s v="DEU"/>
    <s v="HAUKDEFF"/>
    <d v="2018-01-19T12:27:00"/>
    <d v="2018-01-19T15:56:00"/>
    <d v="2018-01-19T00:00:00"/>
    <m/>
  </r>
  <r>
    <n v="1800037918000370"/>
    <x v="2"/>
    <x v="2"/>
    <x v="5"/>
    <x v="0"/>
    <s v="4210"/>
    <n v="14.490600000000001"/>
    <s v="EUR"/>
    <s v="DEU"/>
    <s v="HAUKDEFF"/>
    <d v="2018-01-19T12:27:00"/>
    <d v="2018-01-19T15:56:00"/>
    <d v="2018-01-19T00:00:00"/>
    <m/>
  </r>
  <r>
    <n v="1800038118000380"/>
    <x v="2"/>
    <x v="2"/>
    <x v="6"/>
    <x v="0"/>
    <s v="4050"/>
    <n v="14.490600000000001"/>
    <s v="EUR"/>
    <s v="DEU"/>
    <s v="HAUKDEFF"/>
    <d v="2018-01-19T12:27:00"/>
    <d v="2018-01-19T15:56:00"/>
    <d v="2018-01-19T00:00:00"/>
    <m/>
  </r>
  <r>
    <n v="1800038218000380"/>
    <x v="2"/>
    <x v="2"/>
    <x v="7"/>
    <x v="0"/>
    <s v="38400"/>
    <n v="14.490600000000001"/>
    <s v="EUR"/>
    <s v="DEU"/>
    <s v="HAUKDEFF"/>
    <d v="2018-01-19T12:27:00"/>
    <d v="2018-01-19T15:56:00"/>
    <d v="2018-01-19T00:00:00"/>
    <m/>
  </r>
  <r>
    <n v="1800038418000380"/>
    <x v="2"/>
    <x v="2"/>
    <x v="1"/>
    <x v="0"/>
    <s v="32300"/>
    <n v="14.490600000000001"/>
    <s v="EUR"/>
    <s v="DEU"/>
    <s v="HAUKDEFF"/>
    <d v="2018-01-19T12:27:00"/>
    <d v="2018-01-19T15:56:00"/>
    <d v="2018-01-19T00:00:00"/>
    <m/>
  </r>
  <r>
    <n v="1800038518000380"/>
    <x v="2"/>
    <x v="2"/>
    <x v="0"/>
    <x v="0"/>
    <s v="37600"/>
    <n v="14.490600000000001"/>
    <s v="EUR"/>
    <s v="DEU"/>
    <s v="HAUKDEFF"/>
    <d v="2018-01-19T12:27:00"/>
    <d v="2018-01-19T15:56:00"/>
    <d v="2018-01-19T00:00:00"/>
    <m/>
  </r>
  <r>
    <n v="1800041718000410"/>
    <x v="20"/>
    <x v="20"/>
    <x v="4"/>
    <x v="1"/>
    <s v="900"/>
    <n v="180.99510000000001"/>
    <s v="USD"/>
    <s v="USA"/>
    <s v="SBNYUS33"/>
    <d v="2018-01-19T18:11:00"/>
    <d v="2018-01-19T18:37:00"/>
    <d v="2018-01-19T00:00:00"/>
    <m/>
  </r>
  <r>
    <n v="1800043518000430"/>
    <x v="21"/>
    <x v="21"/>
    <x v="4"/>
    <x v="0"/>
    <s v="2000"/>
    <n v="75.63"/>
    <s v="USD"/>
    <s v="USA"/>
    <s v="WIBCUS44"/>
    <d v="2018-01-22T16:40:00"/>
    <d v="2018-01-22T16:49:00"/>
    <d v="2018-01-22T00:00:00"/>
    <m/>
  </r>
  <r>
    <n v="1800043818000430"/>
    <x v="14"/>
    <x v="14"/>
    <x v="2"/>
    <x v="1"/>
    <s v="50000"/>
    <n v="1.9105000000000001"/>
    <s v="EUR"/>
    <s v="ESP"/>
    <s v="SOGEGB22"/>
    <d v="2018-01-22T17:32:00"/>
    <d v="2018-01-22T17:35:00"/>
    <d v="2018-01-22T00:00:00"/>
    <m/>
  </r>
  <r>
    <n v="1800045518000450"/>
    <x v="12"/>
    <x v="12"/>
    <x v="2"/>
    <x v="1"/>
    <s v="50000"/>
    <n v="3.03"/>
    <s v="EUR"/>
    <s v="ITA"/>
    <s v="ODDOFRPP"/>
    <d v="2018-01-23T14:29:00"/>
    <d v="2018-01-23T17:35:00"/>
    <d v="2018-01-23T00:00:00"/>
    <m/>
  </r>
  <r>
    <n v="1800045618000450"/>
    <x v="2"/>
    <x v="2"/>
    <x v="2"/>
    <x v="1"/>
    <s v="5000"/>
    <n v="14.824999999999999"/>
    <s v="EUR"/>
    <s v="DEU"/>
    <s v="ODDOFRPP"/>
    <d v="2018-01-23T14:29:00"/>
    <d v="2018-01-23T17:35:00"/>
    <d v="2018-01-23T00:00:00"/>
    <m/>
  </r>
  <r>
    <n v="1800045718000450"/>
    <x v="13"/>
    <x v="13"/>
    <x v="2"/>
    <x v="1"/>
    <s v="5000"/>
    <n v="8.4730000000000008"/>
    <s v="EUR"/>
    <s v="ESP"/>
    <s v="ODDOFRPP"/>
    <d v="2018-01-23T14:29:00"/>
    <d v="2018-01-23T17:35:00"/>
    <d v="2018-01-23T00:00:00"/>
    <m/>
  </r>
  <r>
    <n v="1800047118000470"/>
    <x v="12"/>
    <x v="12"/>
    <x v="2"/>
    <x v="1"/>
    <s v="59200"/>
    <n v="3.145"/>
    <s v="EUR"/>
    <s v="ITA"/>
    <s v="MERLGB2L"/>
    <d v="2018-01-24T12:50:00"/>
    <d v="2018-01-24T12:54:00"/>
    <d v="2018-01-24T00:00:00"/>
    <m/>
  </r>
  <r>
    <n v="1800049218000490"/>
    <x v="14"/>
    <x v="14"/>
    <x v="2"/>
    <x v="1"/>
    <s v="50000"/>
    <n v="1.9004000000000001"/>
    <s v="EUR"/>
    <s v="ESP"/>
    <s v="KCMLGB21"/>
    <d v="2018-01-25T11:25:00"/>
    <d v="2018-01-25T11:28:00"/>
    <d v="2018-01-25T00:00:00"/>
    <m/>
  </r>
  <r>
    <n v="1800052718000520"/>
    <x v="12"/>
    <x v="12"/>
    <x v="2"/>
    <x v="1"/>
    <s v="20800"/>
    <n v="3.1602000000000001"/>
    <s v="EUR"/>
    <s v="ITA"/>
    <s v="EXFLGB21"/>
    <d v="2018-01-29T10:00:00"/>
    <d v="2018-01-29T10:05:00"/>
    <d v="2018-01-29T00:00:00"/>
    <m/>
  </r>
  <r>
    <n v="1800054918000540"/>
    <x v="11"/>
    <x v="11"/>
    <x v="2"/>
    <x v="1"/>
    <s v="30000"/>
    <n v="3.9950000000000001"/>
    <s v="EUR"/>
    <s v="FIN"/>
    <s v="BARCGB33"/>
    <d v="2018-01-29T16:58:00"/>
    <d v="2018-01-29T17:29:00"/>
    <d v="2018-01-29T00:00:00"/>
    <m/>
  </r>
  <r>
    <n v="1800059518000590"/>
    <x v="22"/>
    <x v="22"/>
    <x v="2"/>
    <x v="0"/>
    <s v="265000"/>
    <n v="18.054400000000001"/>
    <s v="CHF"/>
    <s v="CHE"/>
    <s v="MERLGB2L"/>
    <d v="2018-01-31T16:15:00"/>
    <d v="2018-01-31T17:31:00"/>
    <d v="2018-01-31T00:00:00"/>
    <m/>
  </r>
  <r>
    <n v="1800059918000590"/>
    <x v="11"/>
    <x v="11"/>
    <x v="1"/>
    <x v="0"/>
    <s v="10000"/>
    <n v="3.8769999999999998"/>
    <s v="EUR"/>
    <s v="FIN"/>
    <s v="ODDOFRPP"/>
    <d v="2018-01-31T16:52:00"/>
    <d v="2018-01-31T17:29:00"/>
    <d v="2018-01-31T00:00:00"/>
    <m/>
  </r>
  <r>
    <n v="1800060718000600"/>
    <x v="11"/>
    <x v="11"/>
    <x v="2"/>
    <x v="1"/>
    <s v="20000"/>
    <n v="4.0144000000000002"/>
    <s v="EUR"/>
    <s v="FIN"/>
    <s v="KCMLGB21"/>
    <d v="2018-02-01T09:16:00"/>
    <d v="2018-02-01T09:17:00"/>
    <d v="2018-02-01T00:00:00"/>
    <m/>
  </r>
  <r>
    <n v="1800062318000620"/>
    <x v="11"/>
    <x v="11"/>
    <x v="2"/>
    <x v="1"/>
    <s v="20000"/>
    <n v="4.1984000000000004"/>
    <s v="EUR"/>
    <s v="FIN"/>
    <s v="KCMLGB21"/>
    <d v="2018-02-01T11:28:00"/>
    <d v="2018-02-01T11:34:00"/>
    <d v="2018-02-01T00:00:00"/>
    <m/>
  </r>
  <r>
    <n v="1800062518000620"/>
    <x v="11"/>
    <x v="11"/>
    <x v="2"/>
    <x v="1"/>
    <s v="15000"/>
    <n v="4.2720000000000002"/>
    <s v="EUR"/>
    <s v="FIN"/>
    <s v="KCMLGB21"/>
    <d v="2018-02-01T15:12:00"/>
    <d v="2018-02-01T15:15:00"/>
    <d v="2018-02-01T00:00:00"/>
    <m/>
  </r>
  <r>
    <n v="1800062818000620"/>
    <x v="1"/>
    <x v="1"/>
    <x v="1"/>
    <x v="0"/>
    <s v="1300"/>
    <n v="103.35"/>
    <s v="EUR"/>
    <s v="DEU"/>
    <s v="SOGEGB22"/>
    <d v="2018-02-01T15:37:00"/>
    <d v="2018-02-01T17:35:00"/>
    <d v="2018-02-01T00:00:00"/>
    <m/>
  </r>
  <r>
    <n v="1800062918000620"/>
    <x v="2"/>
    <x v="2"/>
    <x v="1"/>
    <x v="0"/>
    <s v="15100"/>
    <n v="13.955"/>
    <s v="EUR"/>
    <s v="DEU"/>
    <s v="SOGEGB22"/>
    <d v="2018-02-01T15:37:00"/>
    <d v="2018-02-01T17:35:00"/>
    <d v="2018-02-01T00:00:00"/>
    <m/>
  </r>
  <r>
    <n v="1800063018000630"/>
    <x v="10"/>
    <x v="10"/>
    <x v="1"/>
    <x v="0"/>
    <s v="4600"/>
    <n v="22.15"/>
    <s v="EUR"/>
    <s v="ESP"/>
    <s v="SOGEGB22"/>
    <d v="2018-02-01T15:37:00"/>
    <d v="2018-02-01T17:35:00"/>
    <d v="2018-02-01T00:00:00"/>
    <m/>
  </r>
  <r>
    <n v="1800063318000630"/>
    <x v="5"/>
    <x v="5"/>
    <x v="1"/>
    <x v="0"/>
    <s v="2200"/>
    <n v="86.36"/>
    <s v="EUR"/>
    <s v="DEU"/>
    <s v="SOGEGB22"/>
    <d v="2018-02-01T15:37:00"/>
    <d v="2018-02-01T17:35:00"/>
    <d v="2018-02-01T00:00:00"/>
    <m/>
  </r>
  <r>
    <n v="1800063418000630"/>
    <x v="6"/>
    <x v="6"/>
    <x v="1"/>
    <x v="0"/>
    <s v="600"/>
    <n v="189.2"/>
    <s v="EUR"/>
    <s v="DEU"/>
    <s v="SOGEGB22"/>
    <d v="2018-02-01T15:37:00"/>
    <d v="2018-02-01T17:35:00"/>
    <d v="2018-02-01T00:00:00"/>
    <m/>
  </r>
  <r>
    <n v="1800063518000630"/>
    <x v="8"/>
    <x v="8"/>
    <x v="1"/>
    <x v="0"/>
    <s v="3300"/>
    <n v="89.79"/>
    <s v="EUR"/>
    <s v="DEU"/>
    <s v="SOGEGB22"/>
    <d v="2018-02-01T15:37:00"/>
    <d v="2018-02-01T17:35:00"/>
    <d v="2018-02-01T00:00:00"/>
    <m/>
  </r>
  <r>
    <n v="1800063618000630"/>
    <x v="9"/>
    <x v="9"/>
    <x v="1"/>
    <x v="0"/>
    <s v="2600"/>
    <n v="116.7"/>
    <s v="EUR"/>
    <s v="DEU"/>
    <s v="SOGEGB22"/>
    <d v="2018-02-01T15:37:00"/>
    <d v="2018-02-01T17:35:00"/>
    <d v="2018-02-01T00:00:00"/>
    <m/>
  </r>
  <r>
    <n v="1800063718000630"/>
    <x v="11"/>
    <x v="11"/>
    <x v="2"/>
    <x v="1"/>
    <s v="20000"/>
    <n v="4.4010999999999996"/>
    <s v="EUR"/>
    <s v="FIN"/>
    <s v="EXFLGB21"/>
    <d v="2018-02-01T16:07:00"/>
    <d v="2018-02-01T16:10:00"/>
    <d v="2018-02-01T00:00:00"/>
    <m/>
  </r>
  <r>
    <n v="1800064618000640"/>
    <x v="11"/>
    <x v="11"/>
    <x v="2"/>
    <x v="1"/>
    <s v="15000"/>
    <n v="4.3935000000000004"/>
    <s v="EUR"/>
    <s v="FIN"/>
    <s v="ODDOFRPP"/>
    <d v="2018-02-02T09:06:00"/>
    <d v="2018-02-02T09:13:00"/>
    <d v="2018-02-02T00:00:00"/>
    <m/>
  </r>
  <r>
    <n v="1800067018000670"/>
    <x v="5"/>
    <x v="5"/>
    <x v="2"/>
    <x v="0"/>
    <s v="2200"/>
    <n v="85.78"/>
    <s v="EUR"/>
    <s v="DEU"/>
    <s v="SOGEGB22"/>
    <d v="2018-02-02T17:30:00"/>
    <d v="2018-02-02T17:35:00"/>
    <d v="2018-02-02T00:00:00"/>
    <m/>
  </r>
  <r>
    <n v="1800067318000670"/>
    <x v="11"/>
    <x v="11"/>
    <x v="2"/>
    <x v="1"/>
    <s v="30000"/>
    <n v="4.3983999999999996"/>
    <s v="EUR"/>
    <s v="FIN"/>
    <s v="KCMLGB21"/>
    <d v="2018-02-05T10:12:00"/>
    <d v="2018-02-05T10:15:00"/>
    <d v="2018-02-05T00:00:00"/>
    <m/>
  </r>
  <r>
    <n v="1800067518000670"/>
    <x v="12"/>
    <x v="12"/>
    <x v="2"/>
    <x v="0"/>
    <s v="30000"/>
    <n v="2.8959999999999999"/>
    <s v="EUR"/>
    <s v="ITA"/>
    <s v="IXIRFRPP"/>
    <d v="2018-02-05T17:28:00"/>
    <d v="2018-02-05T17:35:00"/>
    <d v="2018-02-05T00:00:00"/>
    <m/>
  </r>
  <r>
    <n v="1800068518000680"/>
    <x v="11"/>
    <x v="11"/>
    <x v="2"/>
    <x v="1"/>
    <s v="30000"/>
    <n v="4.4024000000000001"/>
    <s v="EUR"/>
    <s v="FIN"/>
    <s v="BRGAGB21"/>
    <d v="2018-02-06T14:52:00"/>
    <d v="2018-02-06T15:07:00"/>
    <d v="2018-02-06T00:00:00"/>
    <m/>
  </r>
  <r>
    <n v="1800070918000700"/>
    <x v="11"/>
    <x v="11"/>
    <x v="2"/>
    <x v="1"/>
    <s v="10000"/>
    <n v="4.4775"/>
    <s v="EUR"/>
    <s v="FIN"/>
    <s v="EXFLGB21"/>
    <d v="2018-02-07T10:09:00"/>
    <d v="2018-02-07T10:19:00"/>
    <d v="2018-02-07T00:00:00"/>
    <s v="x"/>
  </r>
  <r>
    <n v="1800071018000710"/>
    <x v="12"/>
    <x v="12"/>
    <x v="2"/>
    <x v="1"/>
    <s v="50000"/>
    <n v="3.0367000000000002"/>
    <s v="EUR"/>
    <s v="ITA"/>
    <s v="KCMLGB21"/>
    <d v="2018-02-07T14:12:00"/>
    <d v="2018-02-07T14:21:00"/>
    <d v="2018-02-07T00:00:00"/>
    <m/>
  </r>
  <r>
    <n v="1800072318000720"/>
    <x v="12"/>
    <x v="12"/>
    <x v="2"/>
    <x v="1"/>
    <s v="50000"/>
    <n v="3.1869999999999998"/>
    <s v="EUR"/>
    <s v="ITA"/>
    <s v="KCMLGB21"/>
    <d v="2018-02-08T09:20:00"/>
    <d v="2018-02-08T09:23:00"/>
    <d v="2018-02-08T00:00:00"/>
    <m/>
  </r>
  <r>
    <n v="1800077118000770"/>
    <x v="22"/>
    <x v="22"/>
    <x v="2"/>
    <x v="0"/>
    <s v="5000"/>
    <n v="16.425000000000001"/>
    <s v="CHF"/>
    <s v="CHE"/>
    <s v="IXIRFRPP"/>
    <d v="2018-02-08T17:28:00"/>
    <d v="2018-02-08T17:31:00"/>
    <d v="2018-02-08T00:00:00"/>
    <m/>
  </r>
  <r>
    <n v="1800082318000820"/>
    <x v="23"/>
    <x v="23"/>
    <x v="6"/>
    <x v="0"/>
    <s v="24300"/>
    <n v="5.4829999999999997"/>
    <s v="EUR"/>
    <s v="ESP"/>
    <s v="SOGEGB22"/>
    <d v="2018-02-09T14:11:00"/>
    <d v="2018-02-09T17:35:00"/>
    <d v="2018-02-09T00:00:00"/>
    <m/>
  </r>
  <r>
    <n v="1800082618000820"/>
    <x v="0"/>
    <x v="0"/>
    <x v="6"/>
    <x v="0"/>
    <s v="1600"/>
    <n v="70.13"/>
    <s v="EUR"/>
    <s v="DEU"/>
    <s v="SOGEGB22"/>
    <d v="2018-02-09T14:11:00"/>
    <d v="2018-02-09T17:35:00"/>
    <d v="2018-02-09T00:00:00"/>
    <m/>
  </r>
  <r>
    <n v="1800082718000820"/>
    <x v="1"/>
    <x v="1"/>
    <x v="6"/>
    <x v="0"/>
    <s v="850"/>
    <n v="102.5"/>
    <s v="EUR"/>
    <s v="DEU"/>
    <s v="SOGEGB22"/>
    <d v="2018-02-09T14:11:00"/>
    <d v="2018-02-09T17:35:00"/>
    <d v="2018-02-09T00:00:00"/>
    <m/>
  </r>
  <r>
    <n v="1800082818000820"/>
    <x v="2"/>
    <x v="2"/>
    <x v="6"/>
    <x v="0"/>
    <s v="9700"/>
    <n v="12.96"/>
    <s v="EUR"/>
    <s v="DEU"/>
    <s v="SOGEGB22"/>
    <d v="2018-02-09T14:11:00"/>
    <d v="2018-02-09T17:35:00"/>
    <d v="2018-02-09T00:00:00"/>
    <m/>
  </r>
  <r>
    <n v="1800082918000820"/>
    <x v="10"/>
    <x v="10"/>
    <x v="6"/>
    <x v="0"/>
    <s v="2700"/>
    <n v="20.28"/>
    <s v="EUR"/>
    <s v="ESP"/>
    <s v="SOGEGB22"/>
    <d v="2018-02-09T14:11:00"/>
    <d v="2018-02-09T17:35:00"/>
    <d v="2018-02-09T00:00:00"/>
    <m/>
  </r>
  <r>
    <n v="1800083018000830"/>
    <x v="15"/>
    <x v="15"/>
    <x v="6"/>
    <x v="0"/>
    <s v="3150"/>
    <n v="17.12"/>
    <s v="EUR"/>
    <s v="ESP"/>
    <s v="SOGEGB22"/>
    <d v="2018-02-09T14:11:00"/>
    <d v="2018-02-09T17:35:00"/>
    <d v="2018-02-09T00:00:00"/>
    <m/>
  </r>
  <r>
    <n v="1800083118000830"/>
    <x v="3"/>
    <x v="3"/>
    <x v="6"/>
    <x v="0"/>
    <s v="900"/>
    <n v="104.3"/>
    <s v="EUR"/>
    <s v="DEU"/>
    <s v="SOGEGB22"/>
    <d v="2018-02-09T14:11:00"/>
    <d v="2018-02-09T17:35:00"/>
    <d v="2018-02-09T00:00:00"/>
    <m/>
  </r>
  <r>
    <n v="1800083318000830"/>
    <x v="4"/>
    <x v="4"/>
    <x v="6"/>
    <x v="0"/>
    <s v="1200"/>
    <s v="84"/>
    <s v="EUR"/>
    <s v="IRL"/>
    <s v="SOGEGB22"/>
    <d v="2018-02-09T14:11:00"/>
    <d v="2018-02-09T17:30:00"/>
    <d v="2018-02-09T00:00:00"/>
    <m/>
  </r>
  <r>
    <n v="1800083518000830"/>
    <x v="5"/>
    <x v="5"/>
    <x v="6"/>
    <x v="0"/>
    <s v="1400"/>
    <n v="81.099999999999994"/>
    <s v="EUR"/>
    <s v="DEU"/>
    <s v="SOGEGB22"/>
    <d v="2018-02-09T14:11:00"/>
    <d v="2018-02-09T17:35:00"/>
    <d v="2018-02-09T00:00:00"/>
    <m/>
  </r>
  <r>
    <n v="1800083618000830"/>
    <x v="6"/>
    <x v="6"/>
    <x v="6"/>
    <x v="0"/>
    <s v="500"/>
    <n v="177.45"/>
    <s v="EUR"/>
    <s v="DEU"/>
    <s v="SOGEGB22"/>
    <d v="2018-02-09T14:11:00"/>
    <d v="2018-02-09T17:35:00"/>
    <d v="2018-02-09T00:00:00"/>
    <m/>
  </r>
  <r>
    <n v="1800083718000830"/>
    <x v="11"/>
    <x v="11"/>
    <x v="6"/>
    <x v="0"/>
    <s v="17600"/>
    <n v="4.3810000000000002"/>
    <s v="EUR"/>
    <s v="FIN"/>
    <s v="SOGEGB22"/>
    <d v="2018-02-09T14:11:00"/>
    <d v="2018-02-09T17:29:00"/>
    <d v="2018-02-09T00:00:00"/>
    <m/>
  </r>
  <r>
    <n v="1800083818000830"/>
    <x v="7"/>
    <x v="7"/>
    <x v="6"/>
    <x v="0"/>
    <s v="4200"/>
    <n v="15.695"/>
    <s v="EUR"/>
    <s v="IRL"/>
    <s v="SOGEGB22"/>
    <d v="2018-02-09T14:11:00"/>
    <d v="2018-02-09T17:30:00"/>
    <d v="2018-02-09T00:00:00"/>
    <m/>
  </r>
  <r>
    <s v="18000709180007xx"/>
    <x v="11"/>
    <x v="11"/>
    <x v="5"/>
    <x v="0"/>
    <s v="10000"/>
    <n v="4.4775"/>
    <s v="EUR"/>
    <s v="FIN"/>
    <s v="EXFLGB21"/>
    <d v="2018-02-07T10:09:00"/>
    <d v="2018-02-07T10:19:00"/>
    <d v="2018-02-07T00:00:00"/>
    <s v="x"/>
  </r>
  <r>
    <n v="1800084018000840"/>
    <x v="8"/>
    <x v="8"/>
    <x v="6"/>
    <x v="0"/>
    <s v="2200"/>
    <n v="82.86"/>
    <s v="EUR"/>
    <s v="DEU"/>
    <s v="SOGEGB22"/>
    <d v="2018-02-09T14:11:00"/>
    <d v="2018-02-09T17:35:00"/>
    <d v="2018-02-09T00:00:00"/>
    <m/>
  </r>
  <r>
    <n v="1800084118000840"/>
    <x v="9"/>
    <x v="9"/>
    <x v="6"/>
    <x v="0"/>
    <s v="1340"/>
    <n v="107.02"/>
    <s v="EUR"/>
    <s v="DEU"/>
    <s v="SOGEGB22"/>
    <d v="2018-02-09T14:11:00"/>
    <d v="2018-02-09T17:35:00"/>
    <d v="2018-02-09T00:00:00"/>
    <m/>
  </r>
  <r>
    <n v="1800084718000840"/>
    <x v="2"/>
    <x v="2"/>
    <x v="2"/>
    <x v="0"/>
    <s v="7000"/>
    <n v="12.96"/>
    <s v="EUR"/>
    <s v="DEU"/>
    <s v="KCMLGB21"/>
    <d v="2018-02-09T17:28:00"/>
    <d v="2018-02-09T17:35:00"/>
    <d v="2018-02-09T00:00:00"/>
    <m/>
  </r>
  <r>
    <n v="1800087918000870"/>
    <x v="13"/>
    <x v="13"/>
    <x v="2"/>
    <x v="0"/>
    <s v="5000"/>
    <n v="7.5970000000000004"/>
    <s v="EUR"/>
    <s v="ESP"/>
    <s v="SOGEGB22"/>
    <d v="2018-02-12T17:27:00"/>
    <d v="2018-02-12T17:35:00"/>
    <d v="2018-02-12T00:00:00"/>
    <m/>
  </r>
  <r>
    <n v="1800092218000920"/>
    <x v="13"/>
    <x v="13"/>
    <x v="2"/>
    <x v="0"/>
    <s v="10000"/>
    <n v="7.4740000000000002"/>
    <s v="EUR"/>
    <s v="ESP"/>
    <s v="SOGEGB22"/>
    <d v="2018-02-14T17:24:00"/>
    <d v="2018-02-14T17:35:00"/>
    <d v="2018-02-14T00:00:00"/>
    <m/>
  </r>
  <r>
    <n v="1800095818000950"/>
    <x v="21"/>
    <x v="21"/>
    <x v="4"/>
    <x v="0"/>
    <s v="1000"/>
    <n v="71.48"/>
    <s v="USD"/>
    <s v="USA"/>
    <s v="MSLNGB2X"/>
    <d v="2018-02-15T16:42:00"/>
    <d v="2018-02-15T17:31:00"/>
    <d v="2018-02-15T00:00:00"/>
    <m/>
  </r>
  <r>
    <n v="1800095918000950"/>
    <x v="12"/>
    <x v="12"/>
    <x v="2"/>
    <x v="0"/>
    <s v="50000"/>
    <n v="2.97"/>
    <s v="EUR"/>
    <s v="ITA"/>
    <s v="KCMLGB21"/>
    <d v="2018-02-15T17:10:00"/>
    <d v="2018-02-15T17:35:00"/>
    <d v="2018-02-15T00:00:00"/>
    <m/>
  </r>
  <r>
    <n v="1800096018000960"/>
    <x v="2"/>
    <x v="2"/>
    <x v="2"/>
    <x v="0"/>
    <s v="10000"/>
    <n v="13.02"/>
    <s v="EUR"/>
    <s v="DEU"/>
    <s v="KCMLGB21"/>
    <d v="2018-02-15T17:10:00"/>
    <d v="2018-02-15T17:35:00"/>
    <d v="2018-02-15T00:00:00"/>
    <m/>
  </r>
  <r>
    <n v="1800096118000960"/>
    <x v="13"/>
    <x v="13"/>
    <x v="2"/>
    <x v="0"/>
    <s v="20000"/>
    <n v="7.4889999999999999"/>
    <s v="EUR"/>
    <s v="ESP"/>
    <s v="KCMLGB21"/>
    <d v="2018-02-15T17:10:00"/>
    <d v="2018-02-15T17:35:00"/>
    <d v="2018-02-15T00:00:00"/>
    <m/>
  </r>
  <r>
    <n v="1800098118000980"/>
    <x v="23"/>
    <x v="23"/>
    <x v="5"/>
    <x v="0"/>
    <s v="22300"/>
    <n v="5.6150000000000002"/>
    <s v="EUR"/>
    <s v="ESP"/>
    <s v="EXFLGB21"/>
    <d v="2018-02-16T13:53:00"/>
    <d v="2018-02-16T17:35:00"/>
    <d v="2018-02-16T00:00:00"/>
    <m/>
  </r>
  <r>
    <n v="1800098418000980"/>
    <x v="0"/>
    <x v="0"/>
    <x v="5"/>
    <x v="0"/>
    <s v="1440"/>
    <n v="72.5"/>
    <s v="EUR"/>
    <s v="DEU"/>
    <s v="EXFLGB21"/>
    <d v="2018-02-16T13:53:00"/>
    <d v="2018-02-16T17:35:00"/>
    <d v="2018-02-16T00:00:00"/>
    <m/>
  </r>
  <r>
    <n v="1800098518000980"/>
    <x v="1"/>
    <x v="1"/>
    <x v="5"/>
    <x v="0"/>
    <s v="720"/>
    <n v="105.85"/>
    <s v="EUR"/>
    <s v="DEU"/>
    <s v="EXFLGB21"/>
    <d v="2018-02-16T13:53:00"/>
    <d v="2018-02-16T17:35:00"/>
    <d v="2018-02-16T00:00:00"/>
    <m/>
  </r>
  <r>
    <n v="1800098618000980"/>
    <x v="2"/>
    <x v="2"/>
    <x v="5"/>
    <x v="0"/>
    <s v="8800"/>
    <n v="13.16"/>
    <s v="EUR"/>
    <s v="DEU"/>
    <s v="EXFLGB21"/>
    <d v="2018-02-16T13:53:00"/>
    <d v="2018-02-16T17:35:00"/>
    <d v="2018-02-16T00:00:00"/>
    <m/>
  </r>
  <r>
    <n v="1800098718000980"/>
    <x v="10"/>
    <x v="10"/>
    <x v="5"/>
    <x v="0"/>
    <s v="2630"/>
    <n v="20.63"/>
    <s v="EUR"/>
    <s v="ESP"/>
    <s v="EXFLGB21"/>
    <d v="2018-02-16T13:53:00"/>
    <d v="2018-02-16T17:35:00"/>
    <d v="2018-02-16T00:00:00"/>
    <m/>
  </r>
  <r>
    <n v="1800098818000980"/>
    <x v="15"/>
    <x v="15"/>
    <x v="5"/>
    <x v="0"/>
    <s v="3010"/>
    <n v="17.63"/>
    <s v="EUR"/>
    <s v="ESP"/>
    <s v="EXFLGB21"/>
    <d v="2018-02-16T13:53:00"/>
    <d v="2018-02-16T17:35:00"/>
    <d v="2018-02-16T00:00:00"/>
    <m/>
  </r>
  <r>
    <n v="1800098918000980"/>
    <x v="3"/>
    <x v="3"/>
    <x v="5"/>
    <x v="0"/>
    <s v="800"/>
    <n v="108.4"/>
    <s v="EUR"/>
    <s v="DEU"/>
    <s v="EXFLGB21"/>
    <d v="2018-02-16T13:53:00"/>
    <d v="2018-02-16T17:35:00"/>
    <d v="2018-02-16T00:00:00"/>
    <m/>
  </r>
  <r>
    <n v="1800099118000990"/>
    <x v="4"/>
    <x v="4"/>
    <x v="5"/>
    <x v="0"/>
    <s v="1050"/>
    <n v="86.5"/>
    <s v="EUR"/>
    <s v="IRL"/>
    <s v="EXFLGB21"/>
    <d v="2018-02-16T13:53:00"/>
    <d v="2018-02-16T17:30:00"/>
    <d v="2018-02-16T00:00:00"/>
    <m/>
  </r>
  <r>
    <n v="1800099318000990"/>
    <x v="5"/>
    <x v="5"/>
    <x v="5"/>
    <x v="0"/>
    <s v="1290"/>
    <n v="83.52"/>
    <s v="EUR"/>
    <s v="DEU"/>
    <s v="EXFLGB21"/>
    <d v="2018-02-16T13:53:00"/>
    <d v="2018-02-16T17:35:00"/>
    <d v="2018-02-16T00:00:00"/>
    <m/>
  </r>
  <r>
    <n v="1800099418000990"/>
    <x v="6"/>
    <x v="6"/>
    <x v="5"/>
    <x v="0"/>
    <s v="470"/>
    <n v="182.1"/>
    <s v="EUR"/>
    <s v="DEU"/>
    <s v="EXFLGB21"/>
    <d v="2018-02-16T13:53:00"/>
    <d v="2018-02-16T17:35:00"/>
    <d v="2018-02-16T00:00:00"/>
    <m/>
  </r>
  <r>
    <n v="1800099518000990"/>
    <x v="11"/>
    <x v="11"/>
    <x v="5"/>
    <x v="0"/>
    <s v="16500"/>
    <n v="4.6580000000000004"/>
    <s v="EUR"/>
    <s v="FIN"/>
    <s v="EXFLGB21"/>
    <d v="2018-02-16T13:53:00"/>
    <d v="2018-02-16T17:29:00"/>
    <d v="2018-02-16T00:00:00"/>
    <m/>
  </r>
  <r>
    <n v="1800099618000990"/>
    <x v="7"/>
    <x v="7"/>
    <x v="5"/>
    <x v="0"/>
    <s v="3780"/>
    <n v="16.77"/>
    <s v="EUR"/>
    <s v="IRL"/>
    <s v="EXFLGB21"/>
    <d v="2018-02-16T13:53:00"/>
    <d v="2018-02-16T17:30:00"/>
    <d v="2018-02-16T00:00:00"/>
    <m/>
  </r>
  <r>
    <n v="1800099818000990"/>
    <x v="8"/>
    <x v="8"/>
    <x v="5"/>
    <x v="0"/>
    <s v="2010"/>
    <n v="84.31"/>
    <s v="EUR"/>
    <s v="DEU"/>
    <s v="EXFLGB21"/>
    <d v="2018-02-16T13:53:00"/>
    <d v="2018-02-16T17:35:00"/>
    <d v="2018-02-16T00:00:00"/>
    <m/>
  </r>
  <r>
    <n v="1800099918000990"/>
    <x v="9"/>
    <x v="9"/>
    <x v="5"/>
    <x v="0"/>
    <s v="1200"/>
    <n v="111.18"/>
    <s v="EUR"/>
    <s v="DEU"/>
    <s v="EXFLGB21"/>
    <d v="2018-02-16T13:53:00"/>
    <d v="2018-02-16T17:35:00"/>
    <d v="2018-02-16T00:00:00"/>
    <m/>
  </r>
  <r>
    <n v="1800105818001050"/>
    <x v="3"/>
    <x v="3"/>
    <x v="2"/>
    <x v="1"/>
    <s v="1500"/>
    <n v="109.72450000000001"/>
    <s v="EUR"/>
    <s v="DEU"/>
    <s v="HAUKDEFF"/>
    <d v="2018-02-23T09:58:00"/>
    <d v="2018-02-23T10:12:00"/>
    <d v="2018-02-23T00:00:00"/>
    <m/>
  </r>
  <r>
    <n v="1800106318001060"/>
    <x v="14"/>
    <x v="14"/>
    <x v="2"/>
    <x v="0"/>
    <s v="20000"/>
    <n v="1.7450000000000001"/>
    <s v="EUR"/>
    <s v="ESP"/>
    <s v="SOGEGB22"/>
    <d v="2018-02-23T17:21:00"/>
    <d v="2018-02-23T17:35:00"/>
    <d v="2018-02-23T00:00:00"/>
    <m/>
  </r>
  <r>
    <n v="1800106418001060"/>
    <x v="11"/>
    <x v="11"/>
    <x v="2"/>
    <x v="1"/>
    <s v="30000"/>
    <n v="4.8171999999999997"/>
    <s v="EUR"/>
    <s v="FIN"/>
    <s v="EXFLGB21"/>
    <d v="2018-02-26T09:08:00"/>
    <d v="2018-02-26T09:13:00"/>
    <d v="2018-02-26T00:00:00"/>
    <m/>
  </r>
  <r>
    <n v="1800106518001060"/>
    <x v="12"/>
    <x v="12"/>
    <x v="2"/>
    <x v="1"/>
    <s v="50000"/>
    <n v="3.1511"/>
    <s v="EUR"/>
    <s v="ITA"/>
    <s v="SOGEGB22"/>
    <d v="2018-02-26T09:13:00"/>
    <d v="2018-02-26T09:35:00"/>
    <d v="2018-02-26T00:00:00"/>
    <m/>
  </r>
  <r>
    <n v="1800106618001060"/>
    <x v="13"/>
    <x v="13"/>
    <x v="2"/>
    <x v="1"/>
    <s v="20000"/>
    <n v="8.0974000000000004"/>
    <s v="EUR"/>
    <s v="ESP"/>
    <s v="EXFLGB21"/>
    <d v="2018-02-26T09:29:00"/>
    <d v="2018-02-26T09:36:00"/>
    <d v="2018-02-26T00:00:00"/>
    <m/>
  </r>
  <r>
    <n v="1800106718001060"/>
    <x v="14"/>
    <x v="14"/>
    <x v="2"/>
    <x v="0"/>
    <s v="80000"/>
    <n v="1.738"/>
    <s v="EUR"/>
    <s v="ESP"/>
    <s v="IXIRFRPP"/>
    <d v="2018-02-26T17:24:00"/>
    <d v="2018-02-26T17:35:00"/>
    <d v="2018-02-26T00:00:00"/>
    <m/>
  </r>
  <r>
    <n v="1800107118001070"/>
    <x v="3"/>
    <x v="3"/>
    <x v="2"/>
    <x v="0"/>
    <s v="500"/>
    <n v="109.05"/>
    <s v="EUR"/>
    <s v="DEU"/>
    <s v="SOGEGB22"/>
    <d v="2018-02-27T17:03:00"/>
    <d v="2018-02-27T17:35:00"/>
    <d v="2018-02-27T00:00:00"/>
    <m/>
  </r>
  <r>
    <n v="1800107818001070"/>
    <x v="5"/>
    <x v="5"/>
    <x v="2"/>
    <x v="0"/>
    <s v="1000"/>
    <n v="82.22"/>
    <s v="EUR"/>
    <s v="DEU"/>
    <s v="EXFLGB21"/>
    <d v="2018-02-28T17:14:00"/>
    <d v="2018-02-28T17:35:00"/>
    <d v="2018-02-28T00:00:00"/>
    <m/>
  </r>
  <r>
    <n v="1800107918001070"/>
    <x v="17"/>
    <x v="17"/>
    <x v="2"/>
    <x v="0"/>
    <s v="500"/>
    <n v="219.3"/>
    <s v="CHF"/>
    <s v="CHE"/>
    <s v="EXFLGB21"/>
    <d v="2018-02-28T17:14:00"/>
    <d v="2018-02-28T17:30:00"/>
    <d v="2018-02-28T00:00:00"/>
    <m/>
  </r>
  <r>
    <n v="1700847617008470"/>
    <x v="23"/>
    <x v="23"/>
    <x v="0"/>
    <x v="0"/>
    <s v="7800"/>
    <n v="5.4790000000000001"/>
    <s v="EUR"/>
    <s v="ESP"/>
    <s v="SOGEGB22"/>
    <d v="2017-12-29T15:27:00"/>
    <d v="2017-12-29T17:35:00"/>
    <d v="2017-12-29T00:00:00"/>
    <m/>
  </r>
  <r>
    <n v="1700847717008470"/>
    <x v="10"/>
    <x v="10"/>
    <x v="0"/>
    <x v="0"/>
    <s v="900"/>
    <n v="23.87"/>
    <s v="EUR"/>
    <s v="ESP"/>
    <s v="SOGEGB22"/>
    <d v="2017-12-29T15:27:00"/>
    <d v="2017-12-29T17:35:00"/>
    <d v="2017-12-29T00:00:00"/>
    <m/>
  </r>
  <r>
    <n v="1700847817008470"/>
    <x v="15"/>
    <x v="15"/>
    <x v="0"/>
    <x v="0"/>
    <s v="1000"/>
    <n v="18.925000000000001"/>
    <s v="EUR"/>
    <s v="ESP"/>
    <s v="SOGEGB22"/>
    <d v="2017-12-29T15:27:00"/>
    <d v="2017-12-29T17:35:00"/>
    <d v="2017-12-29T00:00:00"/>
    <m/>
  </r>
  <r>
    <n v="1700848117008480"/>
    <x v="11"/>
    <x v="11"/>
    <x v="0"/>
    <x v="0"/>
    <s v="5600"/>
    <n v="3.8940000000000001"/>
    <s v="EUR"/>
    <s v="FIN"/>
    <s v="SOGEGB22"/>
    <d v="2017-12-29T15:27:00"/>
    <d v="2017-12-29T17:29:00"/>
    <d v="2017-12-29T00:00:00"/>
    <m/>
  </r>
  <r>
    <n v="1700848317008480"/>
    <x v="17"/>
    <x v="17"/>
    <x v="2"/>
    <x v="1"/>
    <s v="500"/>
    <n v="246.5"/>
    <s v="CHF"/>
    <s v="CHE"/>
    <s v="EXFLGB21"/>
    <d v="2017-12-29T17:01:00"/>
    <d v="2017-12-29T17:31:00"/>
    <d v="2017-12-29T00:00:00"/>
    <m/>
  </r>
  <r>
    <n v="1800109818001090"/>
    <x v="3"/>
    <x v="3"/>
    <x v="2"/>
    <x v="0"/>
    <s v="1000"/>
    <n v="108.6"/>
    <s v="EUR"/>
    <s v="DEU"/>
    <s v="KCMLGB21"/>
    <d v="2018-03-01T17:22:00"/>
    <d v="2018-03-01T17:35:00"/>
    <d v="2018-03-01T00:00:00"/>
    <m/>
  </r>
  <r>
    <n v="1800109918001090"/>
    <x v="5"/>
    <x v="5"/>
    <x v="2"/>
    <x v="0"/>
    <s v="1000"/>
    <n v="79.38"/>
    <s v="EUR"/>
    <s v="DEU"/>
    <s v="KCMLGB21"/>
    <d v="2018-03-01T17:22:00"/>
    <d v="2018-03-01T17:35:00"/>
    <d v="2018-03-01T00:00:00"/>
    <m/>
  </r>
  <r>
    <n v="1800110618001100"/>
    <x v="9"/>
    <x v="9"/>
    <x v="1"/>
    <x v="0"/>
    <s v="1000"/>
    <n v="102.98"/>
    <s v="EUR"/>
    <s v="DEU"/>
    <s v="SOGEGB22"/>
    <d v="2018-03-02T17:16:00"/>
    <d v="2018-03-02T17:35:00"/>
    <d v="2018-03-02T00:00:00"/>
    <m/>
  </r>
  <r>
    <n v="1800111818001110"/>
    <x v="12"/>
    <x v="12"/>
    <x v="2"/>
    <x v="0"/>
    <s v="30000"/>
    <n v="2.9180999999999999"/>
    <s v="EUR"/>
    <s v="ITA"/>
    <s v="KCMLGB21"/>
    <d v="2018-03-05T09:39:00"/>
    <d v="2018-03-05T09:44:00"/>
    <d v="2018-03-05T00:00:00"/>
    <m/>
  </r>
  <r>
    <n v="1800111918001110"/>
    <x v="11"/>
    <x v="11"/>
    <x v="2"/>
    <x v="1"/>
    <s v="30000"/>
    <n v="4.7012"/>
    <s v="EUR"/>
    <s v="FIN"/>
    <s v="NDEASESS"/>
    <d v="2018-03-05T09:42:00"/>
    <d v="2018-03-05T09:53:00"/>
    <d v="2018-03-05T00:00:00"/>
    <m/>
  </r>
  <r>
    <n v="1800113718001130"/>
    <x v="17"/>
    <x v="17"/>
    <x v="2"/>
    <x v="1"/>
    <s v="1000"/>
    <n v="226.77860000000001"/>
    <s v="CHF"/>
    <s v="CHE"/>
    <s v="KCMLGB21"/>
    <d v="2018-03-06T11:05:00"/>
    <d v="2018-03-06T11:13:00"/>
    <d v="2018-03-06T00:00:00"/>
    <m/>
  </r>
  <r>
    <n v="1800119218001190"/>
    <x v="14"/>
    <x v="14"/>
    <x v="2"/>
    <x v="0"/>
    <s v="50000"/>
    <n v="1.67"/>
    <s v="EUR"/>
    <s v="ESP"/>
    <s v="SOGEGB22"/>
    <d v="2018-03-08T17:02:00"/>
    <d v="2018-03-08T17:35:00"/>
    <d v="2018-03-08T00:00:00"/>
    <m/>
  </r>
  <r>
    <n v="1800121818001210"/>
    <x v="3"/>
    <x v="3"/>
    <x v="2"/>
    <x v="1"/>
    <s v="1000"/>
    <n v="112.0119"/>
    <s v="EUR"/>
    <s v="DEU"/>
    <s v="ODDOFRPP"/>
    <d v="2018-03-09T11:43:00"/>
    <d v="2018-03-09T11:48:00"/>
    <d v="2018-03-09T00:00:00"/>
    <m/>
  </r>
  <r>
    <n v="1800121918001210"/>
    <x v="8"/>
    <x v="8"/>
    <x v="2"/>
    <x v="1"/>
    <s v="500"/>
    <n v="87.875200000000007"/>
    <s v="EUR"/>
    <s v="DEU"/>
    <s v="ODDOFRPP"/>
    <d v="2018-03-09T11:43:00"/>
    <d v="2018-03-09T11:50:00"/>
    <d v="2018-03-09T00:00:00"/>
    <m/>
  </r>
  <r>
    <n v="1800124118001240"/>
    <x v="13"/>
    <x v="13"/>
    <x v="2"/>
    <x v="1"/>
    <s v="20000"/>
    <n v="8.1850000000000005"/>
    <s v="EUR"/>
    <s v="ESP"/>
    <s v="EXFLGB21"/>
    <d v="2018-03-12T15:57:00"/>
    <d v="2018-03-12T17:35:00"/>
    <d v="2018-03-12T00:00:00"/>
    <m/>
  </r>
  <r>
    <n v="1800130818001300"/>
    <x v="17"/>
    <x v="17"/>
    <x v="2"/>
    <x v="0"/>
    <s v="500"/>
    <n v="220.05"/>
    <s v="CHF"/>
    <s v="CHE"/>
    <s v="EXFLGB21"/>
    <d v="2018-03-16T17:18:00"/>
    <d v="2018-03-16T17:30:00"/>
    <d v="2018-03-16T00:00:00"/>
    <m/>
  </r>
  <r>
    <n v="1800140418001400"/>
    <x v="11"/>
    <x v="11"/>
    <x v="2"/>
    <x v="0"/>
    <s v="10000"/>
    <n v="4.5244999999999997"/>
    <s v="EUR"/>
    <s v="FIN"/>
    <s v="ODDOFRPP"/>
    <d v="2018-03-22T11:44:00"/>
    <d v="2018-03-22T11:53:00"/>
    <d v="2018-03-22T00:00:00"/>
    <m/>
  </r>
  <r>
    <n v="1800144918001440"/>
    <x v="22"/>
    <x v="22"/>
    <x v="2"/>
    <x v="0"/>
    <s v="5000"/>
    <n v="16.3"/>
    <s v="CHF"/>
    <s v="CHE"/>
    <s v="KCMLGB21"/>
    <d v="2018-03-22T17:27:00"/>
    <d v="2018-03-22T17:30:00"/>
    <d v="2018-03-22T00:00:00"/>
    <m/>
  </r>
  <r>
    <n v="1800145318001450"/>
    <x v="12"/>
    <x v="12"/>
    <x v="2"/>
    <x v="0"/>
    <s v="4000"/>
    <n v="2.8389000000000002"/>
    <s v="EUR"/>
    <s v="ITA"/>
    <s v="EXFLGB21"/>
    <d v="2018-03-23T11:02:00"/>
    <d v="2018-03-23T11:05:00"/>
    <d v="2018-03-23T00:00:00"/>
    <m/>
  </r>
  <r>
    <n v="1800154218001540"/>
    <x v="15"/>
    <x v="15"/>
    <x v="3"/>
    <x v="0"/>
    <s v="22566"/>
    <n v="16.699400000000001"/>
    <s v="EUR"/>
    <s v="ESP"/>
    <s v="BARCGB33CSA"/>
    <d v="2018-03-28T16:19:00"/>
    <d v="2018-03-28T00:00:00"/>
    <d v="2018-03-28T00:00:00"/>
    <m/>
  </r>
  <r>
    <n v="1800154418001540"/>
    <x v="15"/>
    <x v="15"/>
    <x v="4"/>
    <x v="0"/>
    <s v="2857"/>
    <n v="16.699400000000001"/>
    <s v="EUR"/>
    <s v="ESP"/>
    <s v="BARCGB33CSA"/>
    <d v="2018-03-28T16:19:00"/>
    <d v="2018-03-28T00:00:00"/>
    <d v="2018-03-28T00:00:00"/>
    <m/>
  </r>
  <r>
    <n v="1800154518001540"/>
    <x v="15"/>
    <x v="15"/>
    <x v="5"/>
    <x v="0"/>
    <s v="4558"/>
    <n v="16.699400000000001"/>
    <s v="EUR"/>
    <s v="ESP"/>
    <s v="BARCGB33CSA"/>
    <d v="2018-03-28T16:19:00"/>
    <d v="2018-03-28T00:00:00"/>
    <d v="2018-03-28T00:00:00"/>
    <m/>
  </r>
  <r>
    <n v="1800154718001540"/>
    <x v="15"/>
    <x v="15"/>
    <x v="6"/>
    <x v="0"/>
    <s v="4418"/>
    <n v="16.699400000000001"/>
    <s v="EUR"/>
    <s v="ESP"/>
    <s v="BARCGB33CSA"/>
    <d v="2018-03-28T16:19:00"/>
    <d v="2018-03-28T00:00:00"/>
    <d v="2018-03-28T00:00:00"/>
    <m/>
  </r>
  <r>
    <n v="1800154818001540"/>
    <x v="15"/>
    <x v="15"/>
    <x v="7"/>
    <x v="0"/>
    <s v="34845"/>
    <n v="16.699400000000001"/>
    <s v="EUR"/>
    <s v="ESP"/>
    <s v="BARCGB33CSA"/>
    <d v="2018-03-28T16:19:00"/>
    <d v="2018-03-28T00:00:00"/>
    <d v="2018-03-28T00:00:00"/>
    <m/>
  </r>
  <r>
    <n v="1800155018001550"/>
    <x v="15"/>
    <x v="15"/>
    <x v="0"/>
    <x v="0"/>
    <s v="34148"/>
    <n v="16.699400000000001"/>
    <s v="EUR"/>
    <s v="ESP"/>
    <s v="BARCGB33CSA"/>
    <d v="2018-03-28T16:19:00"/>
    <d v="2018-03-28T00:00:00"/>
    <d v="2018-03-28T00:00:00"/>
    <m/>
  </r>
  <r>
    <n v="1800155518001550"/>
    <x v="23"/>
    <x v="23"/>
    <x v="4"/>
    <x v="0"/>
    <s v="6900"/>
    <n v="5.2093999999999996"/>
    <s v="EUR"/>
    <s v="ESP"/>
    <s v="ODDOFRPP"/>
    <d v="2018-03-28T16:25:00"/>
    <d v="2018-03-28T17:35:00"/>
    <d v="2018-03-28T00:00:00"/>
    <m/>
  </r>
  <r>
    <n v="1800155618001550"/>
    <x v="23"/>
    <x v="23"/>
    <x v="5"/>
    <x v="0"/>
    <s v="10120"/>
    <n v="5.2093999999999996"/>
    <s v="EUR"/>
    <s v="ESP"/>
    <s v="ODDOFRPP"/>
    <d v="2018-03-28T16:25:00"/>
    <d v="2018-03-28T17:35:00"/>
    <d v="2018-03-28T00:00:00"/>
    <m/>
  </r>
  <r>
    <n v="1800155818001550"/>
    <x v="23"/>
    <x v="23"/>
    <x v="6"/>
    <x v="0"/>
    <s v="9860"/>
    <n v="5.2093999999999996"/>
    <s v="EUR"/>
    <s v="ESP"/>
    <s v="ODDOFRPP"/>
    <d v="2018-03-28T16:25:00"/>
    <d v="2018-03-28T17:35:00"/>
    <d v="2018-03-28T00:00:00"/>
    <m/>
  </r>
  <r>
    <n v="1800155918001550"/>
    <x v="23"/>
    <x v="23"/>
    <x v="7"/>
    <x v="0"/>
    <s v="78100"/>
    <n v="5.2093999999999996"/>
    <s v="EUR"/>
    <s v="ESP"/>
    <s v="ODDOFRPP"/>
    <d v="2018-03-28T16:25:00"/>
    <d v="2018-03-28T17:35:00"/>
    <d v="2018-03-28T00:00:00"/>
    <m/>
  </r>
  <r>
    <n v="1800156118001560"/>
    <x v="23"/>
    <x v="23"/>
    <x v="0"/>
    <x v="0"/>
    <s v="77600"/>
    <n v="5.2093999999999996"/>
    <s v="EUR"/>
    <s v="ESP"/>
    <s v="ODDOFRPP"/>
    <d v="2018-03-28T16:25:00"/>
    <d v="2018-03-28T17:35:00"/>
    <d v="2018-03-28T00:00:00"/>
    <m/>
  </r>
  <r>
    <n v="1800157818001570"/>
    <x v="22"/>
    <x v="22"/>
    <x v="2"/>
    <x v="0"/>
    <s v="15000"/>
    <n v="15.984999999999999"/>
    <s v="CHF"/>
    <s v="CHE"/>
    <s v="SOGEGB22"/>
    <d v="2018-03-28T17:27:00"/>
    <d v="2018-03-28T17:30:00"/>
    <d v="2018-03-28T00:00:00"/>
    <m/>
  </r>
  <r>
    <n v="1800157918001570"/>
    <x v="15"/>
    <x v="15"/>
    <x v="3"/>
    <x v="0"/>
    <s v="9814"/>
    <n v="16.923400000000001"/>
    <s v="EUR"/>
    <s v="ESP"/>
    <s v="BARCGB33CSA"/>
    <d v="2018-03-28T16:19:00"/>
    <d v="2018-03-29T16:59:00"/>
    <d v="2018-03-28T00:00:00"/>
    <m/>
  </r>
  <r>
    <n v="1800158118001580"/>
    <x v="15"/>
    <x v="15"/>
    <x v="4"/>
    <x v="0"/>
    <s v="1243"/>
    <n v="16.923400000000001"/>
    <s v="EUR"/>
    <s v="ESP"/>
    <s v="BARCGB33CSA"/>
    <d v="2018-03-28T16:19:00"/>
    <d v="2018-03-29T16:59:00"/>
    <d v="2018-03-28T00:00:00"/>
    <m/>
  </r>
  <r>
    <n v="1800158218001580"/>
    <x v="15"/>
    <x v="15"/>
    <x v="5"/>
    <x v="0"/>
    <s v="1982"/>
    <n v="16.923400000000001"/>
    <s v="EUR"/>
    <s v="ESP"/>
    <s v="BARCGB33CSA"/>
    <d v="2018-03-28T16:19:00"/>
    <d v="2018-03-29T16:59:00"/>
    <d v="2018-03-28T00:00:00"/>
    <m/>
  </r>
  <r>
    <n v="1800158418001580"/>
    <x v="15"/>
    <x v="15"/>
    <x v="6"/>
    <x v="0"/>
    <s v="1922"/>
    <n v="16.923400000000001"/>
    <s v="EUR"/>
    <s v="ESP"/>
    <s v="BARCGB33CSA"/>
    <d v="2018-03-28T16:19:00"/>
    <d v="2018-03-29T16:59:00"/>
    <d v="2018-03-28T00:00:00"/>
    <m/>
  </r>
  <r>
    <n v="1800158518001580"/>
    <x v="15"/>
    <x v="15"/>
    <x v="7"/>
    <x v="0"/>
    <s v="15155"/>
    <n v="16.923400000000001"/>
    <s v="EUR"/>
    <s v="ESP"/>
    <s v="BARCGB33CSA"/>
    <d v="2018-03-28T16:19:00"/>
    <d v="2018-03-29T16:59:00"/>
    <d v="2018-03-28T00:00:00"/>
    <m/>
  </r>
  <r>
    <n v="1800158718001580"/>
    <x v="15"/>
    <x v="15"/>
    <x v="0"/>
    <x v="0"/>
    <s v="14852"/>
    <n v="16.923400000000001"/>
    <s v="EUR"/>
    <s v="ESP"/>
    <s v="BARCGB33CSA"/>
    <d v="2018-03-28T16:19:00"/>
    <d v="2018-03-29T16:59:00"/>
    <d v="2018-03-28T00:00:00"/>
    <s v="x"/>
  </r>
  <r>
    <n v="1800159918001590"/>
    <x v="23"/>
    <x v="23"/>
    <x v="0"/>
    <x v="0"/>
    <s v="14200"/>
    <n v="5.2949999999999999"/>
    <s v="EUR"/>
    <s v="ESP"/>
    <s v="SOGEGB22"/>
    <d v="2018-03-29T11:49:00"/>
    <d v="2018-03-29T17:35:00"/>
    <d v="2018-03-29T00:00:00"/>
    <m/>
  </r>
  <r>
    <n v="1800160218001600"/>
    <x v="0"/>
    <x v="0"/>
    <x v="0"/>
    <x v="0"/>
    <s v="900"/>
    <n v="68.97"/>
    <s v="EUR"/>
    <s v="DEU"/>
    <s v="SOGEGB22"/>
    <d v="2018-03-29T11:49:00"/>
    <d v="2018-03-29T17:35:00"/>
    <d v="2018-03-29T00:00:00"/>
    <m/>
  </r>
  <r>
    <n v="1800160318001600"/>
    <x v="1"/>
    <x v="1"/>
    <x v="0"/>
    <x v="0"/>
    <s v="500"/>
    <n v="110.6"/>
    <s v="EUR"/>
    <s v="DEU"/>
    <s v="SOGEGB22"/>
    <d v="2018-03-29T11:49:00"/>
    <d v="2018-03-29T17:35:00"/>
    <d v="2018-03-29T00:00:00"/>
    <m/>
  </r>
  <r>
    <n v="1800160418001600"/>
    <x v="2"/>
    <x v="2"/>
    <x v="0"/>
    <x v="0"/>
    <s v="5400"/>
    <n v="13.25"/>
    <s v="EUR"/>
    <s v="DEU"/>
    <s v="SOGEGB22"/>
    <d v="2018-03-29T11:49:00"/>
    <d v="2018-03-29T17:35:00"/>
    <d v="2018-03-29T00:00:00"/>
    <m/>
  </r>
  <r>
    <n v="1800160518001600"/>
    <x v="10"/>
    <x v="10"/>
    <x v="0"/>
    <x v="0"/>
    <s v="2000"/>
    <n v="22.23"/>
    <s v="EUR"/>
    <s v="ESP"/>
    <s v="SOGEGB22"/>
    <d v="2018-03-29T11:49:00"/>
    <d v="2018-03-29T17:35:00"/>
    <d v="2018-03-29T00:00:00"/>
    <m/>
  </r>
  <r>
    <n v="1800160618001600"/>
    <x v="15"/>
    <x v="15"/>
    <x v="0"/>
    <x v="0"/>
    <s v="2200"/>
    <n v="16.965"/>
    <s v="EUR"/>
    <s v="ESP"/>
    <s v="SOGEGB22"/>
    <d v="2018-03-29T11:49:00"/>
    <d v="2018-03-29T17:35:00"/>
    <d v="2018-03-29T00:00:00"/>
    <m/>
  </r>
  <r>
    <n v="1800160718001600"/>
    <x v="3"/>
    <x v="3"/>
    <x v="0"/>
    <x v="0"/>
    <s v="500"/>
    <n v="106.85"/>
    <s v="EUR"/>
    <s v="DEU"/>
    <s v="SOGEGB22"/>
    <d v="2018-03-29T11:49:00"/>
    <d v="2018-03-29T17:35:00"/>
    <d v="2018-03-29T00:00:00"/>
    <m/>
  </r>
  <r>
    <n v="1800160918001600"/>
    <x v="4"/>
    <x v="4"/>
    <x v="0"/>
    <x v="0"/>
    <s v="700"/>
    <n v="82.4"/>
    <s v="EUR"/>
    <s v="IRL"/>
    <s v="SOGEGB22"/>
    <d v="2018-03-29T11:49:00"/>
    <d v="2018-03-29T17:30:00"/>
    <d v="2018-03-29T00:00:00"/>
    <m/>
  </r>
  <r>
    <n v="1800161118001610"/>
    <x v="5"/>
    <x v="5"/>
    <x v="0"/>
    <x v="0"/>
    <s v="800"/>
    <n v="77.900000000000006"/>
    <s v="EUR"/>
    <s v="DEU"/>
    <s v="SOGEGB22"/>
    <d v="2018-03-29T11:49:00"/>
    <d v="2018-03-29T17:35:00"/>
    <d v="2018-03-29T00:00:00"/>
    <m/>
  </r>
  <r>
    <n v="1800161218001610"/>
    <x v="6"/>
    <x v="6"/>
    <x v="0"/>
    <x v="0"/>
    <s v="400"/>
    <n v="188.85"/>
    <s v="EUR"/>
    <s v="DEU"/>
    <s v="SOGEGB22"/>
    <d v="2018-03-29T11:49:00"/>
    <d v="2018-03-29T17:35:00"/>
    <d v="2018-03-29T00:00:00"/>
    <m/>
  </r>
  <r>
    <n v="1800161318001610"/>
    <x v="11"/>
    <x v="11"/>
    <x v="0"/>
    <x v="0"/>
    <s v="13000"/>
    <n v="4.4850000000000003"/>
    <s v="EUR"/>
    <s v="FIN"/>
    <s v="SOGEGB22"/>
    <d v="2018-03-29T11:49:00"/>
    <d v="2018-03-29T17:29:00"/>
    <d v="2018-03-29T00:00:00"/>
    <m/>
  </r>
  <r>
    <n v="1800161418001610"/>
    <x v="7"/>
    <x v="7"/>
    <x v="0"/>
    <x v="0"/>
    <s v="2800"/>
    <s v="16"/>
    <s v="EUR"/>
    <s v="IRL"/>
    <s v="SOGEGB22"/>
    <d v="2018-03-29T11:49:00"/>
    <d v="2018-03-29T17:30:00"/>
    <d v="2018-03-29T00:00:00"/>
    <m/>
  </r>
  <r>
    <n v="1800161618001610"/>
    <x v="8"/>
    <x v="8"/>
    <x v="0"/>
    <x v="0"/>
    <s v="1500"/>
    <n v="84.97"/>
    <s v="EUR"/>
    <s v="DEU"/>
    <s v="SOGEGB22"/>
    <d v="2018-03-29T11:49:00"/>
    <d v="2018-03-29T17:35:00"/>
    <d v="2018-03-29T00:00:00"/>
    <m/>
  </r>
  <r>
    <n v="1800161718001610"/>
    <x v="9"/>
    <x v="9"/>
    <x v="0"/>
    <x v="0"/>
    <s v="800"/>
    <n v="103.52"/>
    <s v="EUR"/>
    <s v="DEU"/>
    <s v="SOGEGB22"/>
    <d v="2018-03-29T11:49:00"/>
    <d v="2018-03-29T17:35:00"/>
    <d v="2018-03-29T00:00:00"/>
    <m/>
  </r>
  <r>
    <n v="1800162418001620"/>
    <x v="12"/>
    <x v="12"/>
    <x v="2"/>
    <x v="0"/>
    <s v="66000"/>
    <n v="2.8170000000000002"/>
    <s v="EUR"/>
    <s v="ITA"/>
    <s v="SOGEGB22"/>
    <d v="2018-03-29T17:06:00"/>
    <d v="2018-03-29T17:35:00"/>
    <d v="2018-03-29T00:00:00"/>
    <m/>
  </r>
  <r>
    <n v="1700767500000000"/>
    <x v="24"/>
    <x v="24"/>
    <x v="0"/>
    <x v="0"/>
    <s v="300"/>
    <n v="105.05"/>
    <s v="EUR"/>
    <s v="FRA"/>
    <s v="SOGEGB22"/>
    <d v="2017-12-29T15:27:00"/>
    <d v="2017-12-29T00:00:00"/>
    <d v="2017-12-29T00:00:00"/>
    <m/>
  </r>
  <r>
    <n v="1700767700000000"/>
    <x v="25"/>
    <x v="25"/>
    <x v="0"/>
    <x v="0"/>
    <s v="800"/>
    <n v="34.604999999999997"/>
    <s v="EUR"/>
    <s v="FRA"/>
    <s v="SOGEGB22"/>
    <d v="2017-12-29T15:27:00"/>
    <d v="2017-12-29T00:00:00"/>
    <d v="2017-12-29T00:00:00"/>
    <m/>
  </r>
  <r>
    <n v="1700767800000000"/>
    <x v="26"/>
    <x v="26"/>
    <x v="0"/>
    <x v="0"/>
    <s v="300"/>
    <n v="70.650000000000006"/>
    <s v="EUR"/>
    <s v="FRA"/>
    <s v="SOGEGB22"/>
    <d v="2017-12-29T15:27:00"/>
    <d v="2017-12-29T00:00:00"/>
    <d v="2017-12-29T00:00:00"/>
    <m/>
  </r>
  <r>
    <n v="1700768100000000"/>
    <x v="27"/>
    <x v="27"/>
    <x v="0"/>
    <x v="0"/>
    <s v="1500"/>
    <n v="24.734999999999999"/>
    <s v="EUR"/>
    <s v="FRA"/>
    <s v="SOGEGB22"/>
    <d v="2017-12-29T15:27:00"/>
    <d v="2017-12-29T00:00:00"/>
    <d v="2017-12-29T00:00:00"/>
    <m/>
  </r>
  <r>
    <n v="1700768200000000"/>
    <x v="28"/>
    <x v="28"/>
    <x v="0"/>
    <x v="0"/>
    <s v="600"/>
    <n v="62.25"/>
    <s v="EUR"/>
    <s v="FRA"/>
    <s v="SOGEGB22"/>
    <d v="2017-12-29T15:27:00"/>
    <d v="2017-12-29T00:00:00"/>
    <d v="2017-12-29T00:00:00"/>
    <m/>
  </r>
  <r>
    <n v="1700768300000000"/>
    <x v="29"/>
    <x v="29"/>
    <x v="0"/>
    <x v="0"/>
    <s v="800"/>
    <n v="22.79"/>
    <s v="EUR"/>
    <s v="FRA"/>
    <s v="SOGEGB22"/>
    <d v="2017-12-29T15:27:00"/>
    <d v="2017-12-29T00:00:00"/>
    <d v="2017-12-29T00:00:00"/>
    <m/>
  </r>
  <r>
    <n v="1800158718001580"/>
    <x v="15"/>
    <x v="15"/>
    <x v="4"/>
    <x v="1"/>
    <s v="14852"/>
    <n v="16.923400000000001"/>
    <s v="EUR"/>
    <s v="ESP"/>
    <s v="BARCGB33CSA"/>
    <d v="2018-03-28T16:19:00"/>
    <d v="2018-03-29T16:59:00"/>
    <d v="2018-03-28T00:00:00"/>
    <s v="x"/>
  </r>
  <r>
    <n v="1700768400000000"/>
    <x v="30"/>
    <x v="30"/>
    <x v="0"/>
    <x v="0"/>
    <s v="1300"/>
    <n v="18.04"/>
    <s v="EUR"/>
    <s v="FRA"/>
    <s v="SOGEGB22"/>
    <d v="2017-12-29T15:27:00"/>
    <d v="2017-12-29T00:00:00"/>
    <d v="2017-12-29T00:00:00"/>
    <m/>
  </r>
  <r>
    <n v="1700768600000000"/>
    <x v="31"/>
    <x v="31"/>
    <x v="0"/>
    <x v="0"/>
    <s v="300"/>
    <n v="88.59"/>
    <s v="EUR"/>
    <s v="FRA"/>
    <s v="SOGEGB22"/>
    <d v="2017-12-29T15:27:00"/>
    <d v="2017-12-29T00:00:00"/>
    <d v="2017-12-29T00:00:00"/>
    <m/>
  </r>
  <r>
    <n v="1700769100000000"/>
    <x v="32"/>
    <x v="32"/>
    <x v="0"/>
    <x v="0"/>
    <s v="500"/>
    <n v="71.11"/>
    <s v="EUR"/>
    <s v="FRA"/>
    <s v="SOGEGB22"/>
    <d v="2017-12-29T15:27:00"/>
    <d v="2017-12-29T00:00:00"/>
    <d v="2017-12-29T00:00:00"/>
    <m/>
  </r>
  <r>
    <n v="1700769300000000"/>
    <x v="33"/>
    <x v="33"/>
    <x v="0"/>
    <x v="0"/>
    <s v="300"/>
    <n v="64.19"/>
    <s v="EUR"/>
    <s v="FRA"/>
    <s v="SOGEGB22"/>
    <d v="2017-12-29T15:27:00"/>
    <d v="2017-12-29T00:00:00"/>
    <d v="2017-12-29T00:00:00"/>
    <m/>
  </r>
  <r>
    <n v="1700769600000000"/>
    <x v="34"/>
    <x v="34"/>
    <x v="0"/>
    <x v="0"/>
    <s v="100"/>
    <n v="184.95"/>
    <s v="EUR"/>
    <s v="FRA"/>
    <s v="SOGEGB22"/>
    <d v="2017-12-29T15:27:00"/>
    <d v="2017-12-29T00:00:00"/>
    <d v="2017-12-29T00:00:00"/>
    <m/>
  </r>
  <r>
    <n v="1700769700000000"/>
    <x v="35"/>
    <x v="35"/>
    <x v="0"/>
    <x v="0"/>
    <s v="1200"/>
    <n v="16.954999999999998"/>
    <s v="EUR"/>
    <s v="FRA"/>
    <s v="SOGEGB22"/>
    <d v="2017-12-29T15:27:00"/>
    <d v="2017-12-29T00:00:00"/>
    <d v="2017-12-29T00:00:00"/>
    <m/>
  </r>
  <r>
    <n v="1700769800000000"/>
    <x v="36"/>
    <x v="36"/>
    <x v="0"/>
    <x v="0"/>
    <s v="700"/>
    <n v="56.65"/>
    <s v="EUR"/>
    <s v="FRA"/>
    <s v="SOGEGB22"/>
    <d v="2017-12-29T15:27:00"/>
    <d v="2017-12-29T00:00:00"/>
    <d v="2017-12-29T00:00:00"/>
    <m/>
  </r>
  <r>
    <n v="1700769900000000"/>
    <x v="37"/>
    <x v="37"/>
    <x v="0"/>
    <x v="0"/>
    <s v="300"/>
    <n v="83.91"/>
    <s v="EUR"/>
    <s v="FRA"/>
    <s v="SOGEGB22"/>
    <d v="2017-12-29T15:27:00"/>
    <d v="2017-12-29T00:00:00"/>
    <d v="2017-12-29T00:00:00"/>
    <m/>
  </r>
  <r>
    <n v="1700770000000000"/>
    <x v="38"/>
    <x v="38"/>
    <x v="0"/>
    <x v="0"/>
    <s v="1300"/>
    <n v="15.12"/>
    <s v="EUR"/>
    <s v="FRA"/>
    <s v="SOGEGB22"/>
    <d v="2017-12-29T15:27:00"/>
    <d v="2017-12-29T00:00:00"/>
    <d v="2017-12-29T00:00:00"/>
    <m/>
  </r>
  <r>
    <n v="1700770100000000"/>
    <x v="39"/>
    <x v="39"/>
    <x v="0"/>
    <x v="0"/>
    <s v="900"/>
    <n v="45.98"/>
    <s v="EUR"/>
    <s v="FRA"/>
    <s v="SOGEGB22"/>
    <d v="2017-12-29T15:27:00"/>
    <d v="2017-12-29T00:00:00"/>
    <d v="2017-12-29T00:00:00"/>
    <m/>
  </r>
  <r>
    <n v="1700770200000000"/>
    <x v="40"/>
    <x v="40"/>
    <x v="0"/>
    <x v="0"/>
    <s v="600"/>
    <n v="71.849999999999994"/>
    <s v="EUR"/>
    <s v="FRA"/>
    <s v="SOGEGB22"/>
    <d v="2017-12-29T15:27:00"/>
    <d v="2017-12-29T00:00:00"/>
    <d v="2017-12-29T00:00:00"/>
    <m/>
  </r>
  <r>
    <n v="1700770300000000"/>
    <x v="41"/>
    <x v="41"/>
    <x v="0"/>
    <x v="0"/>
    <s v="400"/>
    <n v="70.86"/>
    <s v="EUR"/>
    <s v="FRA"/>
    <s v="SOGEGB22"/>
    <d v="2017-12-29T15:27:00"/>
    <d v="2017-12-29T00:00:00"/>
    <d v="2017-12-29T00:00:00"/>
    <m/>
  </r>
  <r>
    <n v="1700770500000000"/>
    <x v="42"/>
    <x v="42"/>
    <x v="0"/>
    <x v="0"/>
    <s v="400"/>
    <n v="58.09"/>
    <s v="EUR"/>
    <s v="FRA"/>
    <s v="SOGEGB22"/>
    <d v="2017-12-29T15:27:00"/>
    <d v="2017-12-29T00:00:00"/>
    <d v="2017-12-29T00:00:00"/>
    <m/>
  </r>
  <r>
    <n v="1700770800000000"/>
    <x v="25"/>
    <x v="25"/>
    <x v="2"/>
    <x v="0"/>
    <s v="1000"/>
    <n v="34.604999999999997"/>
    <s v="EUR"/>
    <s v="FRA"/>
    <s v="EXANFRPP"/>
    <d v="2017-12-29T17:01:00"/>
    <d v="2017-12-29T00:00:00"/>
    <d v="2017-12-29T00:00:00"/>
    <m/>
  </r>
  <r>
    <n v="1700770900000000"/>
    <x v="43"/>
    <x v="43"/>
    <x v="2"/>
    <x v="1"/>
    <s v="1000"/>
    <n v="89.01"/>
    <s v="EUR"/>
    <s v="FRA"/>
    <s v="EXANFRPP"/>
    <d v="2017-12-29T17:01:00"/>
    <d v="2017-12-29T00:00:00"/>
    <d v="2017-12-29T00:00:00"/>
    <m/>
  </r>
  <r>
    <n v="1800000300000000"/>
    <x v="44"/>
    <x v="44"/>
    <x v="2"/>
    <x v="1"/>
    <s v="7000"/>
    <n v="13.840999999999999"/>
    <s v="EUR"/>
    <s v="FRA"/>
    <s v="ODDOFRPP"/>
    <d v="2018-01-02T14:31:00"/>
    <d v="2018-01-02T00:00:00"/>
    <d v="2018-01-02T00:00:00"/>
    <m/>
  </r>
  <r>
    <n v="1800000400000000"/>
    <x v="24"/>
    <x v="24"/>
    <x v="1"/>
    <x v="0"/>
    <s v="1200"/>
    <n v="104.5"/>
    <s v="EUR"/>
    <s v="FRA"/>
    <s v="MSLNGB2X"/>
    <d v="2018-01-02T16:14:00"/>
    <d v="2018-01-02T00:00:00"/>
    <d v="2018-01-02T00:00:00"/>
    <m/>
  </r>
  <r>
    <n v="1800000600000000"/>
    <x v="25"/>
    <x v="25"/>
    <x v="1"/>
    <x v="0"/>
    <s v="2800"/>
    <n v="34.75"/>
    <s v="EUR"/>
    <s v="FRA"/>
    <s v="MSLNGB2X"/>
    <d v="2018-01-02T16:14:00"/>
    <d v="2018-01-02T00:00:00"/>
    <d v="2018-01-02T00:00:00"/>
    <m/>
  </r>
  <r>
    <n v="1800000700000000"/>
    <x v="26"/>
    <x v="26"/>
    <x v="1"/>
    <x v="0"/>
    <s v="1200"/>
    <n v="70.72"/>
    <s v="EUR"/>
    <s v="FRA"/>
    <s v="MSLNGB2X"/>
    <d v="2018-01-02T16:14:00"/>
    <d v="2018-01-02T00:00:00"/>
    <d v="2018-01-02T00:00:00"/>
    <m/>
  </r>
  <r>
    <n v="1800000900000000"/>
    <x v="27"/>
    <x v="27"/>
    <x v="1"/>
    <x v="0"/>
    <s v="4500"/>
    <n v="24.76"/>
    <s v="EUR"/>
    <s v="FRA"/>
    <s v="MSLNGB2X"/>
    <d v="2018-01-02T16:14:00"/>
    <d v="2018-01-02T00:00:00"/>
    <d v="2018-01-02T00:00:00"/>
    <m/>
  </r>
  <r>
    <n v="1800001000000000"/>
    <x v="28"/>
    <x v="28"/>
    <x v="1"/>
    <x v="0"/>
    <s v="2100"/>
    <n v="62.09"/>
    <s v="EUR"/>
    <s v="FRA"/>
    <s v="MSLNGB2X"/>
    <d v="2018-01-02T16:14:00"/>
    <d v="2018-01-02T00:00:00"/>
    <d v="2018-01-02T00:00:00"/>
    <m/>
  </r>
  <r>
    <n v="1800001100000000"/>
    <x v="29"/>
    <x v="29"/>
    <x v="1"/>
    <x v="0"/>
    <s v="2500"/>
    <n v="22.79"/>
    <s v="EUR"/>
    <s v="FRA"/>
    <s v="MSLNGB2X"/>
    <d v="2018-01-02T16:14:00"/>
    <d v="2018-01-02T00:00:00"/>
    <d v="2018-01-02T00:00:00"/>
    <m/>
  </r>
  <r>
    <n v="1800001200000000"/>
    <x v="30"/>
    <x v="30"/>
    <x v="1"/>
    <x v="0"/>
    <s v="4700"/>
    <n v="18.12"/>
    <s v="EUR"/>
    <s v="FRA"/>
    <s v="MSLNGB2X"/>
    <d v="2018-01-02T16:14:00"/>
    <d v="2018-01-02T00:00:00"/>
    <d v="2018-01-02T00:00:00"/>
    <m/>
  </r>
  <r>
    <n v="1800001400000000"/>
    <x v="31"/>
    <x v="31"/>
    <x v="1"/>
    <x v="0"/>
    <s v="1000"/>
    <n v="88.3"/>
    <s v="EUR"/>
    <s v="FRA"/>
    <s v="MSLNGB2X"/>
    <d v="2018-01-02T16:14:00"/>
    <d v="2018-01-02T00:00:00"/>
    <d v="2018-01-02T00:00:00"/>
    <m/>
  </r>
  <r>
    <n v="1800002000000000"/>
    <x v="33"/>
    <x v="33"/>
    <x v="1"/>
    <x v="0"/>
    <s v="1000"/>
    <n v="64.099999999999994"/>
    <s v="EUR"/>
    <s v="FRA"/>
    <s v="MSLNGB2X"/>
    <d v="2018-01-02T16:14:00"/>
    <d v="2018-01-02T00:00:00"/>
    <d v="2018-01-02T00:00:00"/>
    <m/>
  </r>
  <r>
    <n v="1800002300000000"/>
    <x v="34"/>
    <x v="34"/>
    <x v="1"/>
    <x v="0"/>
    <s v="500"/>
    <n v="182.15"/>
    <s v="EUR"/>
    <s v="FRA"/>
    <s v="MSLNGB2X"/>
    <d v="2018-01-02T16:14:00"/>
    <d v="2018-01-02T00:00:00"/>
    <d v="2018-01-02T00:00:00"/>
    <m/>
  </r>
  <r>
    <n v="1800002500000000"/>
    <x v="36"/>
    <x v="36"/>
    <x v="1"/>
    <x v="0"/>
    <s v="1900"/>
    <s v="55"/>
    <s v="EUR"/>
    <s v="FRA"/>
    <s v="MSLNGB2X"/>
    <d v="2018-01-02T16:14:00"/>
    <d v="2018-01-02T00:00:00"/>
    <d v="2018-01-02T00:00:00"/>
    <m/>
  </r>
  <r>
    <n v="1800002600000000"/>
    <x v="37"/>
    <x v="37"/>
    <x v="1"/>
    <x v="0"/>
    <s v="800"/>
    <n v="83.8"/>
    <s v="EUR"/>
    <s v="FRA"/>
    <s v="MSLNGB2X"/>
    <d v="2018-01-02T16:14:00"/>
    <d v="2018-01-02T00:00:00"/>
    <d v="2018-01-02T00:00:00"/>
    <m/>
  </r>
  <r>
    <n v="1800002700000000"/>
    <x v="38"/>
    <x v="38"/>
    <x v="1"/>
    <x v="0"/>
    <s v="4000"/>
    <n v="15.03"/>
    <s v="EUR"/>
    <s v="FRA"/>
    <s v="MSLNGB2X"/>
    <d v="2018-01-02T16:14:00"/>
    <d v="2018-01-02T00:00:00"/>
    <d v="2018-01-02T00:00:00"/>
    <m/>
  </r>
  <r>
    <n v="1800002800000000"/>
    <x v="39"/>
    <x v="39"/>
    <x v="1"/>
    <x v="0"/>
    <s v="2500"/>
    <n v="45.59"/>
    <s v="EUR"/>
    <s v="FRA"/>
    <s v="MSLNGB2X"/>
    <d v="2018-01-02T16:14:00"/>
    <d v="2018-01-02T00:00:00"/>
    <d v="2018-01-02T00:00:00"/>
    <m/>
  </r>
  <r>
    <n v="1800002900000000"/>
    <x v="40"/>
    <x v="40"/>
    <x v="1"/>
    <x v="0"/>
    <s v="1800"/>
    <n v="71.760000000000005"/>
    <s v="EUR"/>
    <s v="FRA"/>
    <s v="MSLNGB2X"/>
    <d v="2018-01-02T16:14:00"/>
    <d v="2018-01-02T00:00:00"/>
    <d v="2018-01-02T00:00:00"/>
    <m/>
  </r>
  <r>
    <n v="1800003000000000"/>
    <x v="41"/>
    <x v="41"/>
    <x v="1"/>
    <x v="0"/>
    <s v="1400"/>
    <n v="70.02"/>
    <s v="EUR"/>
    <s v="FRA"/>
    <s v="MSLNGB2X"/>
    <d v="2018-01-02T16:14:00"/>
    <d v="2018-01-02T00:00:00"/>
    <d v="2018-01-02T00:00:00"/>
    <m/>
  </r>
  <r>
    <n v="1800003200000000"/>
    <x v="42"/>
    <x v="42"/>
    <x v="1"/>
    <x v="0"/>
    <s v="1400"/>
    <n v="58.9"/>
    <s v="EUR"/>
    <s v="FRA"/>
    <s v="MSLNGB2X"/>
    <d v="2018-01-02T16:14:00"/>
    <d v="2018-01-02T00:00:00"/>
    <d v="2018-01-02T00:00:00"/>
    <m/>
  </r>
  <r>
    <n v="1800004400000000"/>
    <x v="44"/>
    <x v="44"/>
    <x v="2"/>
    <x v="1"/>
    <s v="5000"/>
    <n v="14.257"/>
    <s v="EUR"/>
    <s v="FRA"/>
    <s v="BRGAGB21"/>
    <d v="2018-01-03T10:06:00"/>
    <d v="2018-01-03T00:00:00"/>
    <d v="2018-01-03T00:00:00"/>
    <m/>
  </r>
  <r>
    <n v="1800005100000000"/>
    <x v="36"/>
    <x v="36"/>
    <x v="2"/>
    <x v="0"/>
    <s v="1800"/>
    <n v="54.292000000000002"/>
    <s v="EUR"/>
    <s v="FRA"/>
    <s v="LCMLGB21"/>
    <d v="2018-01-03T14:20:00"/>
    <d v="2018-01-03T00:00:00"/>
    <d v="2018-01-03T00:00:00"/>
    <m/>
  </r>
  <r>
    <n v="1800008000000000"/>
    <x v="37"/>
    <x v="37"/>
    <x v="2"/>
    <x v="1"/>
    <s v="1000"/>
    <n v="88.091999999999999"/>
    <s v="EUR"/>
    <s v="FRA"/>
    <s v="BRGAGB21"/>
    <d v="2018-01-08T10:18:00"/>
    <d v="2018-01-08T00:00:00"/>
    <d v="2018-01-08T00:00:00"/>
    <m/>
  </r>
  <r>
    <n v="1800009200000000"/>
    <x v="43"/>
    <x v="43"/>
    <x v="2"/>
    <x v="1"/>
    <s v="500"/>
    <n v="93.537999999999997"/>
    <s v="EUR"/>
    <s v="FRA"/>
    <s v="BRGAGB21"/>
    <d v="2018-01-08T15:22:00"/>
    <d v="2018-01-08T00:00:00"/>
    <d v="2018-01-08T00:00:00"/>
    <m/>
  </r>
  <r>
    <n v="1800009500000000"/>
    <x v="30"/>
    <x v="30"/>
    <x v="2"/>
    <x v="0"/>
    <s v="5000"/>
    <n v="17.940000000000001"/>
    <s v="EUR"/>
    <s v="FRA"/>
    <s v="SOGEGB22"/>
    <d v="2018-01-08T17:13:00"/>
    <d v="2018-01-08T00:00:00"/>
    <d v="2018-01-08T00:00:00"/>
    <m/>
  </r>
  <r>
    <n v="1800015000000000"/>
    <x v="44"/>
    <x v="44"/>
    <x v="2"/>
    <x v="0"/>
    <s v="7000"/>
    <n v="14.215"/>
    <s v="EUR"/>
    <s v="FRA"/>
    <s v="IXIRFRPP"/>
    <d v="2018-01-09T17:13:00"/>
    <d v="2018-01-09T00:00:00"/>
    <d v="2018-01-09T00:00:00"/>
    <m/>
  </r>
  <r>
    <n v="1800015300000000"/>
    <x v="30"/>
    <x v="30"/>
    <x v="2"/>
    <x v="0"/>
    <s v="5000"/>
    <n v="17.824999999999999"/>
    <s v="EUR"/>
    <s v="FRA"/>
    <s v="IXIRFRPP"/>
    <d v="2018-01-09T17:13:00"/>
    <d v="2018-01-09T00:00:00"/>
    <d v="2018-01-09T00:00:00"/>
    <m/>
  </r>
  <r>
    <n v="1800015800000000"/>
    <x v="45"/>
    <x v="45"/>
    <x v="2"/>
    <x v="1"/>
    <s v="1000"/>
    <n v="106.575"/>
    <s v="EUR"/>
    <s v="FRA"/>
    <s v="BRGAGB21"/>
    <d v="2018-01-10T09:39:00"/>
    <d v="2018-01-10T00:00:00"/>
    <d v="2018-01-10T00:00:00"/>
    <m/>
  </r>
  <r>
    <n v="1800015900000000"/>
    <x v="44"/>
    <x v="44"/>
    <x v="2"/>
    <x v="0"/>
    <s v="10000"/>
    <n v="13.525"/>
    <s v="EUR"/>
    <s v="FRA"/>
    <s v="EXANFRPP"/>
    <d v="2018-01-10T11:57:00"/>
    <d v="2018-01-10T00:00:00"/>
    <d v="2018-01-10T00:00:00"/>
    <m/>
  </r>
  <r>
    <n v="1800016000000000"/>
    <x v="24"/>
    <x v="24"/>
    <x v="3"/>
    <x v="0"/>
    <s v="3400"/>
    <n v="108.55"/>
    <s v="EUR"/>
    <s v="FRA"/>
    <s v="JULFRPP1"/>
    <d v="2018-01-10T14:38:00"/>
    <d v="2018-01-10T00:00:00"/>
    <d v="2018-01-10T00:00:00"/>
    <m/>
  </r>
  <r>
    <n v="1800016200000000"/>
    <x v="25"/>
    <x v="25"/>
    <x v="3"/>
    <x v="0"/>
    <s v="8800"/>
    <s v="36"/>
    <s v="EUR"/>
    <s v="FRA"/>
    <s v="JULFRPP1"/>
    <d v="2018-01-10T14:38:00"/>
    <d v="2018-01-10T00:00:00"/>
    <d v="2018-01-10T00:00:00"/>
    <m/>
  </r>
  <r>
    <n v="1800016400000000"/>
    <x v="27"/>
    <x v="27"/>
    <x v="3"/>
    <x v="0"/>
    <s v="13400"/>
    <n v="26.385000000000002"/>
    <s v="EUR"/>
    <s v="FRA"/>
    <s v="JULFRPP1"/>
    <d v="2018-01-10T14:38:00"/>
    <d v="2018-01-10T00:00:00"/>
    <d v="2018-01-10T00:00:00"/>
    <m/>
  </r>
  <r>
    <n v="1800016500000000"/>
    <x v="29"/>
    <x v="29"/>
    <x v="3"/>
    <x v="0"/>
    <s v="8300"/>
    <n v="23.66"/>
    <s v="EUR"/>
    <s v="FRA"/>
    <s v="JULFRPP1"/>
    <d v="2018-01-10T14:38:00"/>
    <d v="2018-01-10T00:00:00"/>
    <d v="2018-01-10T00:00:00"/>
    <m/>
  </r>
  <r>
    <n v="1800016600000000"/>
    <x v="30"/>
    <x v="30"/>
    <x v="3"/>
    <x v="0"/>
    <s v="14500"/>
    <n v="17.574999999999999"/>
    <s v="EUR"/>
    <s v="FRA"/>
    <s v="JULFRPP1"/>
    <d v="2018-01-10T14:38:00"/>
    <d v="2018-01-10T00:00:00"/>
    <d v="2018-01-10T00:00:00"/>
    <m/>
  </r>
  <r>
    <n v="1800016700000000"/>
    <x v="31"/>
    <x v="31"/>
    <x v="3"/>
    <x v="0"/>
    <s v="2300"/>
    <n v="90.76"/>
    <s v="EUR"/>
    <s v="FRA"/>
    <s v="JULFRPP1"/>
    <d v="2018-01-10T14:38:00"/>
    <d v="2018-01-10T00:00:00"/>
    <d v="2018-01-10T00:00:00"/>
    <m/>
  </r>
  <r>
    <n v="1800017100000000"/>
    <x v="33"/>
    <x v="33"/>
    <x v="3"/>
    <x v="0"/>
    <s v="3100"/>
    <n v="65.680000000000007"/>
    <s v="EUR"/>
    <s v="FRA"/>
    <s v="JULFRPP1"/>
    <d v="2018-01-10T14:38:00"/>
    <d v="2018-01-10T00:00:00"/>
    <d v="2018-01-10T00:00:00"/>
    <m/>
  </r>
  <r>
    <n v="1800017400000000"/>
    <x v="34"/>
    <x v="34"/>
    <x v="3"/>
    <x v="0"/>
    <s v="1500"/>
    <n v="186.9"/>
    <s v="EUR"/>
    <s v="FRA"/>
    <s v="JULFRPP1"/>
    <d v="2018-01-10T14:39:00"/>
    <d v="2018-01-10T00:00:00"/>
    <d v="2018-01-10T00:00:00"/>
    <m/>
  </r>
  <r>
    <n v="1800017500000000"/>
    <x v="35"/>
    <x v="35"/>
    <x v="3"/>
    <x v="0"/>
    <s v="10300"/>
    <n v="17.899999999999999"/>
    <s v="EUR"/>
    <s v="FRA"/>
    <s v="JULFRPP1"/>
    <d v="2018-01-10T14:39:00"/>
    <d v="2018-01-10T00:00:00"/>
    <d v="2018-01-10T00:00:00"/>
    <m/>
  </r>
  <r>
    <n v="1800017600000000"/>
    <x v="36"/>
    <x v="36"/>
    <x v="3"/>
    <x v="0"/>
    <s v="6600"/>
    <n v="55.76"/>
    <s v="EUR"/>
    <s v="FRA"/>
    <s v="JULFRPP1"/>
    <d v="2018-01-10T14:39:00"/>
    <d v="2018-01-10T00:00:00"/>
    <d v="2018-01-10T00:00:00"/>
    <m/>
  </r>
  <r>
    <n v="1800017700000000"/>
    <x v="37"/>
    <x v="37"/>
    <x v="3"/>
    <x v="0"/>
    <s v="2700"/>
    <n v="88.09"/>
    <s v="EUR"/>
    <s v="FRA"/>
    <s v="JULFRPP1"/>
    <d v="2018-01-10T14:39:00"/>
    <d v="2018-01-10T00:00:00"/>
    <d v="2018-01-10T00:00:00"/>
    <m/>
  </r>
  <r>
    <n v="1800017800000000"/>
    <x v="38"/>
    <x v="38"/>
    <x v="3"/>
    <x v="0"/>
    <s v="12800"/>
    <n v="15.234999999999999"/>
    <s v="EUR"/>
    <s v="FRA"/>
    <s v="JULFRPP1"/>
    <d v="2018-01-10T14:39:00"/>
    <d v="2018-01-10T00:00:00"/>
    <d v="2018-01-10T00:00:00"/>
    <m/>
  </r>
  <r>
    <n v="1800017900000000"/>
    <x v="39"/>
    <x v="39"/>
    <x v="3"/>
    <x v="0"/>
    <s v="8400"/>
    <n v="48.18"/>
    <s v="EUR"/>
    <s v="FRA"/>
    <s v="JULFRPP1"/>
    <d v="2018-01-10T14:39:00"/>
    <d v="2018-01-10T00:00:00"/>
    <d v="2018-01-10T00:00:00"/>
    <m/>
  </r>
  <r>
    <n v="1800018000000000"/>
    <x v="40"/>
    <x v="40"/>
    <x v="3"/>
    <x v="0"/>
    <s v="5800"/>
    <n v="73.34"/>
    <s v="EUR"/>
    <s v="FRA"/>
    <s v="JULFRPP1"/>
    <d v="2018-01-10T14:39:00"/>
    <d v="2018-01-10T00:00:00"/>
    <d v="2018-01-10T00:00:00"/>
    <m/>
  </r>
  <r>
    <n v="1800018100000000"/>
    <x v="41"/>
    <x v="41"/>
    <x v="3"/>
    <x v="0"/>
    <s v="3900"/>
    <n v="73.760000000000005"/>
    <s v="EUR"/>
    <s v="FRA"/>
    <s v="JULFRPP1"/>
    <d v="2018-01-10T14:39:00"/>
    <d v="2018-01-10T00:00:00"/>
    <d v="2018-01-10T00:00:00"/>
    <m/>
  </r>
  <r>
    <n v="1800018200000000"/>
    <x v="42"/>
    <x v="42"/>
    <x v="3"/>
    <x v="0"/>
    <s v="3300"/>
    <n v="60.85"/>
    <s v="EUR"/>
    <s v="FRA"/>
    <s v="KCMLGB21"/>
    <d v="2018-01-10T14:39:00"/>
    <d v="2018-01-10T00:00:00"/>
    <d v="2018-01-10T00:00:00"/>
    <m/>
  </r>
  <r>
    <n v="1800018500000000"/>
    <x v="28"/>
    <x v="28"/>
    <x v="2"/>
    <x v="1"/>
    <s v="1000"/>
    <n v="66.634"/>
    <s v="EUR"/>
    <s v="FRA"/>
    <s v="IXIRFRPP"/>
    <d v="2018-01-10T14:57:00"/>
    <d v="2018-01-10T00:00:00"/>
    <d v="2018-01-10T00:00:00"/>
    <m/>
  </r>
  <r>
    <n v="1800018700000000"/>
    <x v="44"/>
    <x v="44"/>
    <x v="2"/>
    <x v="0"/>
    <s v="5000"/>
    <n v="13.7"/>
    <s v="EUR"/>
    <s v="FRA"/>
    <s v="BARCGB33"/>
    <d v="2018-01-10T16:07:00"/>
    <d v="2018-01-10T00:00:00"/>
    <d v="2018-01-10T00:00:00"/>
    <m/>
  </r>
  <r>
    <n v="1800023600000000"/>
    <x v="27"/>
    <x v="27"/>
    <x v="2"/>
    <x v="1"/>
    <s v="10000"/>
    <n v="26.710999999999999"/>
    <s v="EUR"/>
    <s v="FRA"/>
    <s v="EXANFRPP"/>
    <d v="2018-01-15T10:46:00"/>
    <d v="2018-01-15T00:00:00"/>
    <d v="2018-01-15T00:00:00"/>
    <m/>
  </r>
  <r>
    <n v="1800023900000000"/>
    <x v="44"/>
    <x v="44"/>
    <x v="2"/>
    <x v="0"/>
    <s v="9000"/>
    <n v="12.765000000000001"/>
    <s v="EUR"/>
    <s v="FRA"/>
    <s v="BRGAGB21"/>
    <d v="2018-01-15T16:37:00"/>
    <d v="2018-01-15T00:00:00"/>
    <d v="2018-01-15T00:00:00"/>
    <m/>
  </r>
  <r>
    <n v="1800025500000000"/>
    <x v="44"/>
    <x v="44"/>
    <x v="2"/>
    <x v="0"/>
    <s v="13000"/>
    <n v="12.928000000000001"/>
    <s v="EUR"/>
    <s v="FRA"/>
    <s v="BRGAGB21"/>
    <d v="2018-01-16T14:25:00"/>
    <d v="2018-01-16T00:00:00"/>
    <d v="2018-01-16T00:00:00"/>
    <m/>
  </r>
  <r>
    <n v="1800025600000000"/>
    <x v="46"/>
    <x v="46"/>
    <x v="2"/>
    <x v="1"/>
    <s v="1500"/>
    <n v="161.59200000000001"/>
    <s v="EUR"/>
    <s v="FRA"/>
    <s v="EXFLGB21"/>
    <d v="2018-01-17T10:19:00"/>
    <d v="2018-01-17T00:00:00"/>
    <d v="2018-01-17T00:00:00"/>
    <m/>
  </r>
  <r>
    <n v="1800026600000000"/>
    <x v="30"/>
    <x v="30"/>
    <x v="2"/>
    <x v="0"/>
    <s v="5000"/>
    <n v="17.684999999999999"/>
    <s v="EUR"/>
    <s v="FRA"/>
    <s v="SOGEGB22"/>
    <d v="2018-01-17T16:57:00"/>
    <d v="2018-01-17T00:00:00"/>
    <d v="2018-01-17T00:00:00"/>
    <m/>
  </r>
  <r>
    <n v="1800026700000000"/>
    <x v="25"/>
    <x v="25"/>
    <x v="2"/>
    <x v="1"/>
    <s v="3000"/>
    <n v="37.185000000000002"/>
    <s v="EUR"/>
    <s v="FRA"/>
    <s v="ODDOFRPP"/>
    <d v="2018-01-18T09:39:00"/>
    <d v="2018-01-18T00:00:00"/>
    <d v="2018-01-18T00:00:00"/>
    <m/>
  </r>
  <r>
    <n v="1800026800000000"/>
    <x v="46"/>
    <x v="46"/>
    <x v="2"/>
    <x v="1"/>
    <s v="300"/>
    <n v="164.536"/>
    <s v="EUR"/>
    <s v="FRA"/>
    <s v="EXFLGB21"/>
    <d v="2018-01-18T09:42:00"/>
    <d v="2018-01-18T00:00:00"/>
    <d v="2018-01-18T00:00:00"/>
    <m/>
  </r>
  <r>
    <n v="1800026900000000"/>
    <x v="30"/>
    <x v="30"/>
    <x v="2"/>
    <x v="1"/>
    <s v="10000"/>
    <n v="18.308"/>
    <s v="EUR"/>
    <s v="FRA"/>
    <s v="IXIRFRPP"/>
    <d v="2018-01-18T09:57:00"/>
    <d v="2018-01-18T00:00:00"/>
    <d v="2018-01-18T00:00:00"/>
    <m/>
  </r>
  <r>
    <n v="1800027300000000"/>
    <x v="40"/>
    <x v="40"/>
    <x v="2"/>
    <x v="0"/>
    <s v="2000"/>
    <n v="72.37"/>
    <s v="EUR"/>
    <s v="FRA"/>
    <s v="SOGEGB22"/>
    <d v="2018-01-18T17:22:00"/>
    <d v="2018-01-18T00:00:00"/>
    <d v="2018-01-18T00:00:00"/>
    <m/>
  </r>
  <r>
    <n v="1800027500000000"/>
    <x v="35"/>
    <x v="35"/>
    <x v="3"/>
    <x v="1"/>
    <s v="104700"/>
    <n v="18.382999999999999"/>
    <s v="EUR"/>
    <s v="FRA"/>
    <s v="BARCGB33CSA"/>
    <d v="2018-01-19T10:24:00"/>
    <d v="2018-01-19T00:00:00"/>
    <d v="2018-01-19T00:00:00"/>
    <m/>
  </r>
  <r>
    <n v="1800027700000000"/>
    <x v="35"/>
    <x v="35"/>
    <x v="4"/>
    <x v="1"/>
    <s v="11650"/>
    <n v="18.382999999999999"/>
    <s v="EUR"/>
    <s v="FRA"/>
    <s v="BARCGB33CSA"/>
    <d v="2018-01-19T10:24:00"/>
    <d v="2018-01-19T00:00:00"/>
    <d v="2018-01-19T00:00:00"/>
    <m/>
  </r>
  <r>
    <n v="1800027800000000"/>
    <x v="35"/>
    <x v="35"/>
    <x v="5"/>
    <x v="1"/>
    <s v="15820"/>
    <n v="18.382999999999999"/>
    <s v="EUR"/>
    <s v="FRA"/>
    <s v="BARCGB33CSA"/>
    <d v="2018-01-19T10:24:00"/>
    <d v="2018-01-19T00:00:00"/>
    <d v="2018-01-19T00:00:00"/>
    <m/>
  </r>
  <r>
    <n v="1800028000000000"/>
    <x v="35"/>
    <x v="35"/>
    <x v="6"/>
    <x v="1"/>
    <s v="15235"/>
    <n v="18.382999999999999"/>
    <s v="EUR"/>
    <s v="FRA"/>
    <s v="BARCGB33CSA"/>
    <d v="2018-01-19T10:24:00"/>
    <d v="2018-01-19T00:00:00"/>
    <d v="2018-01-19T00:00:00"/>
    <m/>
  </r>
  <r>
    <n v="1800028100000000"/>
    <x v="35"/>
    <x v="35"/>
    <x v="7"/>
    <x v="1"/>
    <s v="150000"/>
    <n v="18.382999999999999"/>
    <s v="EUR"/>
    <s v="FRA"/>
    <s v="BARCGB33CSA"/>
    <d v="2018-01-19T10:24:00"/>
    <d v="2018-01-19T00:00:00"/>
    <d v="2018-01-19T00:00:00"/>
    <m/>
  </r>
  <r>
    <n v="1800028300000000"/>
    <x v="35"/>
    <x v="35"/>
    <x v="1"/>
    <x v="1"/>
    <s v="116400"/>
    <n v="18.382999999999999"/>
    <s v="EUR"/>
    <s v="FRA"/>
    <s v="BARCGB33CSA"/>
    <d v="2018-01-19T10:24:00"/>
    <d v="2018-01-19T00:00:00"/>
    <d v="2018-01-19T00:00:00"/>
    <m/>
  </r>
  <r>
    <n v="1800028400000000"/>
    <x v="35"/>
    <x v="35"/>
    <x v="0"/>
    <x v="1"/>
    <s v="145950"/>
    <n v="18.382999999999999"/>
    <s v="EUR"/>
    <s v="FRA"/>
    <s v="BARCGB33CSA"/>
    <d v="2018-01-19T10:24:00"/>
    <d v="2018-01-19T00:00:00"/>
    <d v="2018-01-19T00:00:00"/>
    <m/>
  </r>
  <r>
    <n v="1800036100000000"/>
    <x v="40"/>
    <x v="40"/>
    <x v="3"/>
    <x v="0"/>
    <s v="6000"/>
    <n v="70.378"/>
    <s v="EUR"/>
    <s v="FRA"/>
    <s v="JULFRPP1"/>
    <d v="2018-01-22T10:26:00"/>
    <d v="2018-01-22T00:00:00"/>
    <d v="2018-01-22T00:00:00"/>
    <m/>
  </r>
  <r>
    <n v="1800036300000000"/>
    <x v="40"/>
    <x v="40"/>
    <x v="4"/>
    <x v="0"/>
    <s v="800"/>
    <n v="70.378"/>
    <s v="EUR"/>
    <s v="FRA"/>
    <s v="JULFRPP1"/>
    <d v="2018-01-22T10:27:00"/>
    <d v="2018-01-22T00:00:00"/>
    <d v="2018-01-22T00:00:00"/>
    <m/>
  </r>
  <r>
    <n v="1800036600000000"/>
    <x v="40"/>
    <x v="40"/>
    <x v="5"/>
    <x v="0"/>
    <s v="1000"/>
    <n v="70.378"/>
    <s v="EUR"/>
    <s v="FRA"/>
    <s v="JULFRPP1"/>
    <d v="2018-01-22T10:27:00"/>
    <d v="2018-01-22T00:00:00"/>
    <d v="2018-01-22T00:00:00"/>
    <m/>
  </r>
  <r>
    <n v="1800036800000000"/>
    <x v="40"/>
    <x v="40"/>
    <x v="6"/>
    <x v="0"/>
    <s v="950"/>
    <n v="70.378"/>
    <s v="EUR"/>
    <s v="FRA"/>
    <s v="JULFRPP1"/>
    <d v="2018-01-22T10:27:00"/>
    <d v="2018-01-22T00:00:00"/>
    <d v="2018-01-22T00:00:00"/>
    <m/>
  </r>
  <r>
    <n v="1800036900000000"/>
    <x v="40"/>
    <x v="40"/>
    <x v="7"/>
    <x v="0"/>
    <s v="9100"/>
    <n v="70.378"/>
    <s v="EUR"/>
    <s v="FRA"/>
    <s v="JULFRPP1"/>
    <d v="2018-01-22T10:27:00"/>
    <d v="2018-01-22T00:00:00"/>
    <d v="2018-01-22T00:00:00"/>
    <m/>
  </r>
  <r>
    <n v="1800037100000000"/>
    <x v="40"/>
    <x v="40"/>
    <x v="1"/>
    <x v="0"/>
    <s v="7700"/>
    <n v="70.378"/>
    <s v="EUR"/>
    <s v="FRA"/>
    <s v="JULFRPP1"/>
    <d v="2018-01-22T10:27:00"/>
    <d v="2018-01-22T00:00:00"/>
    <d v="2018-01-22T00:00:00"/>
    <m/>
  </r>
  <r>
    <n v="1800037200000000"/>
    <x v="40"/>
    <x v="40"/>
    <x v="0"/>
    <x v="0"/>
    <s v="8800"/>
    <n v="70.378"/>
    <s v="EUR"/>
    <s v="FRA"/>
    <s v="JULFRPP1"/>
    <d v="2018-01-22T10:27:00"/>
    <d v="2018-01-22T00:00:00"/>
    <d v="2018-01-22T00:00:00"/>
    <m/>
  </r>
  <r>
    <n v="1800039500000000"/>
    <x v="32"/>
    <x v="32"/>
    <x v="2"/>
    <x v="1"/>
    <s v="2000"/>
    <n v="76.728999999999999"/>
    <s v="EUR"/>
    <s v="FRA"/>
    <s v="JPMOGBLO"/>
    <d v="2018-01-22T14:14:00"/>
    <d v="2018-01-22T00:00:00"/>
    <d v="2018-01-22T00:00:00"/>
    <m/>
  </r>
  <r>
    <n v="1800039700000000"/>
    <x v="36"/>
    <x v="36"/>
    <x v="2"/>
    <x v="1"/>
    <s v="800"/>
    <n v="58.238999999999997"/>
    <s v="EUR"/>
    <s v="FRA"/>
    <s v="BRGAGB21"/>
    <d v="2018-01-22T14:14:00"/>
    <d v="2018-01-22T00:00:00"/>
    <d v="2018-01-22T00:00:00"/>
    <m/>
  </r>
  <r>
    <n v="1800039800000000"/>
    <x v="40"/>
    <x v="40"/>
    <x v="2"/>
    <x v="0"/>
    <s v="2000"/>
    <n v="70.378"/>
    <s v="EUR"/>
    <s v="FRA"/>
    <s v="JULFRPP1"/>
    <d v="2018-01-22T14:14:00"/>
    <d v="2018-01-22T00:00:00"/>
    <d v="2018-01-22T00:00:00"/>
    <m/>
  </r>
  <r>
    <n v="1800041100000000"/>
    <x v="30"/>
    <x v="30"/>
    <x v="1"/>
    <x v="1"/>
    <s v="5300"/>
    <n v="19.285"/>
    <s v="EUR"/>
    <s v="FRA"/>
    <s v="LCMLGB21"/>
    <d v="2018-01-23T09:13:00"/>
    <d v="2018-01-23T00:00:00"/>
    <d v="2018-01-23T00:00:00"/>
    <m/>
  </r>
  <r>
    <n v="1800041200000000"/>
    <x v="30"/>
    <x v="30"/>
    <x v="2"/>
    <x v="1"/>
    <s v="10000"/>
    <n v="19.285"/>
    <s v="EUR"/>
    <s v="FRA"/>
    <s v="LCMLGB21"/>
    <d v="2018-01-23T09:13:00"/>
    <d v="2018-01-23T00:00:00"/>
    <d v="2018-01-23T00:00:00"/>
    <m/>
  </r>
  <r>
    <n v="1800041300000000"/>
    <x v="37"/>
    <x v="37"/>
    <x v="2"/>
    <x v="1"/>
    <s v="1000"/>
    <n v="91.596999999999994"/>
    <s v="EUR"/>
    <s v="FRA"/>
    <s v="LCMLGB21"/>
    <d v="2018-01-23T10:13:00"/>
    <d v="2018-01-23T00:00:00"/>
    <d v="2018-01-23T00:00:00"/>
    <m/>
  </r>
  <r>
    <n v="1800041500000000"/>
    <x v="45"/>
    <x v="45"/>
    <x v="2"/>
    <x v="1"/>
    <s v="1000"/>
    <n v="107.65"/>
    <s v="EUR"/>
    <s v="FRA"/>
    <s v="ODDOFRPP"/>
    <d v="2018-01-23T14:29:00"/>
    <d v="2018-01-23T00:00:00"/>
    <d v="2018-01-23T00:00:00"/>
    <m/>
  </r>
  <r>
    <n v="1800043400000000"/>
    <x v="28"/>
    <x v="28"/>
    <x v="2"/>
    <x v="1"/>
    <s v="1000"/>
    <n v="67.322000000000003"/>
    <s v="EUR"/>
    <s v="FRA"/>
    <s v="EXANFRPP"/>
    <d v="2018-01-25T11:25:00"/>
    <d v="2018-01-25T00:00:00"/>
    <d v="2018-01-25T00:00:00"/>
    <m/>
  </r>
  <r>
    <n v="1800043500000000"/>
    <x v="40"/>
    <x v="40"/>
    <x v="2"/>
    <x v="1"/>
    <s v="1000"/>
    <n v="72.909000000000006"/>
    <s v="EUR"/>
    <s v="FRA"/>
    <s v="DUPONTGILB"/>
    <d v="2018-01-25T11:25:00"/>
    <d v="2018-01-25T00:00:00"/>
    <d v="2018-01-25T00:00:00"/>
    <m/>
  </r>
  <r>
    <n v="1800043800000000"/>
    <x v="44"/>
    <x v="44"/>
    <x v="2"/>
    <x v="0"/>
    <s v="8000"/>
    <n v="12.16"/>
    <s v="EUR"/>
    <s v="FRA"/>
    <s v="SOGEGB22"/>
    <d v="2018-01-25T17:29:00"/>
    <d v="2018-01-25T00:00:00"/>
    <d v="2018-01-25T00:00:00"/>
    <m/>
  </r>
  <r>
    <n v="1800044000000000"/>
    <x v="28"/>
    <x v="28"/>
    <x v="2"/>
    <x v="1"/>
    <s v="1000"/>
    <n v="68.099999999999994"/>
    <s v="EUR"/>
    <s v="FRA"/>
    <s v="ODDOFRPP"/>
    <d v="2018-01-26T10:34:00"/>
    <d v="2018-01-26T00:00:00"/>
    <d v="2018-01-26T00:00:00"/>
    <m/>
  </r>
  <r>
    <n v="1800044100000000"/>
    <x v="40"/>
    <x v="40"/>
    <x v="2"/>
    <x v="1"/>
    <s v="1000"/>
    <n v="72.977999999999994"/>
    <s v="EUR"/>
    <s v="FRA"/>
    <s v="ODDOFRPP"/>
    <d v="2018-01-26T10:34:00"/>
    <d v="2018-01-26T00:00:00"/>
    <d v="2018-01-26T00:00:00"/>
    <m/>
  </r>
  <r>
    <n v="1800044700000000"/>
    <x v="32"/>
    <x v="32"/>
    <x v="2"/>
    <x v="1"/>
    <s v="1000"/>
    <n v="77.69"/>
    <s v="EUR"/>
    <s v="FRA"/>
    <s v="KCMLGB21"/>
    <d v="2018-01-26T15:17:00"/>
    <d v="2018-01-26T00:00:00"/>
    <d v="2018-01-26T00:00:00"/>
    <m/>
  </r>
  <r>
    <n v="1800044800000000"/>
    <x v="41"/>
    <x v="41"/>
    <x v="2"/>
    <x v="1"/>
    <s v="1000"/>
    <n v="75.382999999999996"/>
    <s v="EUR"/>
    <s v="FRA"/>
    <s v="JULFRPP1"/>
    <d v="2018-01-26T15:17:00"/>
    <d v="2018-01-26T00:00:00"/>
    <d v="2018-01-26T00:00:00"/>
    <m/>
  </r>
  <r>
    <n v="1800045100000000"/>
    <x v="36"/>
    <x v="36"/>
    <x v="2"/>
    <x v="0"/>
    <s v="1500"/>
    <n v="55.88"/>
    <s v="EUR"/>
    <s v="FRA"/>
    <s v="SOGEGB22"/>
    <d v="2018-01-26T17:28:00"/>
    <d v="2018-01-26T00:00:00"/>
    <d v="2018-01-26T00:00:00"/>
    <m/>
  </r>
  <r>
    <n v="1800045500000000"/>
    <x v="25"/>
    <x v="25"/>
    <x v="2"/>
    <x v="0"/>
    <s v="3000"/>
    <n v="35.31"/>
    <s v="EUR"/>
    <s v="FRA"/>
    <s v="BRGAGB21"/>
    <d v="2018-01-29T16:58:00"/>
    <d v="2018-01-29T00:00:00"/>
    <d v="2018-01-29T00:00:00"/>
    <m/>
  </r>
  <r>
    <n v="1800047200000000"/>
    <x v="25"/>
    <x v="25"/>
    <x v="1"/>
    <x v="0"/>
    <s v="1000"/>
    <n v="35.35"/>
    <s v="EUR"/>
    <s v="FRA"/>
    <s v="ODDOFRPP"/>
    <d v="2018-01-31T16:52:00"/>
    <d v="2018-01-31T00:00:00"/>
    <d v="2018-01-31T00:00:00"/>
    <m/>
  </r>
  <r>
    <n v="1800047400000000"/>
    <x v="38"/>
    <x v="38"/>
    <x v="1"/>
    <x v="0"/>
    <s v="3000"/>
    <n v="14.52"/>
    <s v="EUR"/>
    <s v="FRA"/>
    <s v="ODDOFRPP"/>
    <d v="2018-01-31T16:52:00"/>
    <d v="2018-01-31T00:00:00"/>
    <d v="2018-01-31T00:00:00"/>
    <m/>
  </r>
  <r>
    <n v="1800047500000000"/>
    <x v="39"/>
    <x v="39"/>
    <x v="1"/>
    <x v="0"/>
    <s v="1000"/>
    <n v="46.814999999999998"/>
    <s v="EUR"/>
    <s v="FRA"/>
    <s v="ODDOFRPP"/>
    <d v="2018-01-31T16:52:00"/>
    <d v="2018-01-31T00:00:00"/>
    <d v="2018-01-31T00:00:00"/>
    <m/>
  </r>
  <r>
    <n v="1800048200000000"/>
    <x v="44"/>
    <x v="44"/>
    <x v="2"/>
    <x v="1"/>
    <s v="10000"/>
    <n v="12.667999999999999"/>
    <s v="EUR"/>
    <s v="FRA"/>
    <s v="BRGAGB21"/>
    <d v="2018-02-01T09:18:00"/>
    <d v="2018-02-01T00:00:00"/>
    <d v="2018-02-01T00:00:00"/>
    <m/>
  </r>
  <r>
    <n v="1800049100000000"/>
    <x v="24"/>
    <x v="24"/>
    <x v="1"/>
    <x v="0"/>
    <s v="2400"/>
    <n v="106.95"/>
    <s v="EUR"/>
    <s v="FRA"/>
    <s v="SOGEGB22"/>
    <d v="2018-02-01T15:37:00"/>
    <d v="2018-02-01T00:00:00"/>
    <d v="2018-02-01T00:00:00"/>
    <m/>
  </r>
  <r>
    <n v="1800049300000000"/>
    <x v="25"/>
    <x v="25"/>
    <x v="1"/>
    <x v="0"/>
    <s v="5500"/>
    <n v="35.03"/>
    <s v="EUR"/>
    <s v="FRA"/>
    <s v="SOGEGB22"/>
    <d v="2018-02-01T15:37:00"/>
    <d v="2018-02-01T00:00:00"/>
    <d v="2018-02-01T00:00:00"/>
    <m/>
  </r>
  <r>
    <n v="1800049400000000"/>
    <x v="26"/>
    <x v="26"/>
    <x v="1"/>
    <x v="0"/>
    <s v="2300"/>
    <n v="76.36"/>
    <s v="EUR"/>
    <s v="FRA"/>
    <s v="SOGEGB22"/>
    <d v="2018-02-01T15:37:00"/>
    <d v="2018-02-01T00:00:00"/>
    <d v="2018-02-01T00:00:00"/>
    <m/>
  </r>
  <r>
    <n v="1800049600000000"/>
    <x v="27"/>
    <x v="27"/>
    <x v="1"/>
    <x v="0"/>
    <s v="8600"/>
    <n v="26.42"/>
    <s v="EUR"/>
    <s v="FRA"/>
    <s v="SOGEGB22"/>
    <d v="2018-02-01T15:37:00"/>
    <d v="2018-02-01T00:00:00"/>
    <d v="2018-02-01T00:00:00"/>
    <m/>
  </r>
  <r>
    <n v="1800049700000000"/>
    <x v="28"/>
    <x v="28"/>
    <x v="1"/>
    <x v="0"/>
    <s v="4000"/>
    <n v="66.63"/>
    <s v="EUR"/>
    <s v="FRA"/>
    <s v="SOGEGB22"/>
    <d v="2018-02-01T15:37:00"/>
    <d v="2018-02-01T00:00:00"/>
    <d v="2018-02-01T00:00:00"/>
    <m/>
  </r>
  <r>
    <n v="1800049800000000"/>
    <x v="29"/>
    <x v="29"/>
    <x v="1"/>
    <x v="0"/>
    <s v="4900"/>
    <n v="23.5"/>
    <s v="EUR"/>
    <s v="FRA"/>
    <s v="SOGEGB22"/>
    <d v="2018-02-01T15:37:00"/>
    <d v="2018-02-01T00:00:00"/>
    <d v="2018-02-01T00:00:00"/>
    <m/>
  </r>
  <r>
    <n v="1800049900000000"/>
    <x v="30"/>
    <x v="30"/>
    <x v="1"/>
    <x v="0"/>
    <s v="8700"/>
    <n v="19.085000000000001"/>
    <s v="EUR"/>
    <s v="FRA"/>
    <s v="SOGEGB22"/>
    <d v="2018-02-01T15:37:00"/>
    <d v="2018-02-01T00:00:00"/>
    <d v="2018-02-01T00:00:00"/>
    <m/>
  </r>
  <r>
    <n v="1800050400000000"/>
    <x v="33"/>
    <x v="33"/>
    <x v="1"/>
    <x v="0"/>
    <s v="1900"/>
    <n v="66.42"/>
    <s v="EUR"/>
    <s v="FRA"/>
    <s v="SOGEGB22"/>
    <d v="2018-02-01T15:37:00"/>
    <d v="2018-02-01T00:00:00"/>
    <d v="2018-02-01T00:00:00"/>
    <m/>
  </r>
  <r>
    <n v="1800050700000000"/>
    <x v="34"/>
    <x v="34"/>
    <x v="1"/>
    <x v="0"/>
    <s v="1000"/>
    <n v="181.3"/>
    <s v="EUR"/>
    <s v="FRA"/>
    <s v="SOGEGB22"/>
    <d v="2018-02-01T15:37:00"/>
    <d v="2018-02-01T00:00:00"/>
    <d v="2018-02-01T00:00:00"/>
    <m/>
  </r>
  <r>
    <n v="1800050800000000"/>
    <x v="36"/>
    <x v="36"/>
    <x v="1"/>
    <x v="0"/>
    <s v="3700"/>
    <s v="56"/>
    <s v="EUR"/>
    <s v="FRA"/>
    <s v="SOGEGB22"/>
    <d v="2018-02-01T15:37:00"/>
    <d v="2018-02-01T00:00:00"/>
    <d v="2018-02-01T00:00:00"/>
    <m/>
  </r>
  <r>
    <n v="1800050900000000"/>
    <x v="37"/>
    <x v="37"/>
    <x v="1"/>
    <x v="0"/>
    <s v="1500"/>
    <n v="88.37"/>
    <s v="EUR"/>
    <s v="FRA"/>
    <s v="SOGEGB22"/>
    <d v="2018-02-01T15:37:00"/>
    <d v="2018-02-01T00:00:00"/>
    <d v="2018-02-01T00:00:00"/>
    <m/>
  </r>
  <r>
    <n v="1800051000000000"/>
    <x v="38"/>
    <x v="38"/>
    <x v="1"/>
    <x v="0"/>
    <s v="7900"/>
    <n v="14.565"/>
    <s v="EUR"/>
    <s v="FRA"/>
    <s v="SOGEGB22"/>
    <d v="2018-02-01T15:37:00"/>
    <d v="2018-02-01T00:00:00"/>
    <d v="2018-02-01T00:00:00"/>
    <m/>
  </r>
  <r>
    <n v="1800051100000000"/>
    <x v="39"/>
    <x v="39"/>
    <x v="1"/>
    <x v="0"/>
    <s v="4800"/>
    <n v="46.325000000000003"/>
    <s v="EUR"/>
    <s v="FRA"/>
    <s v="SOGEGB22"/>
    <d v="2018-02-01T15:37:00"/>
    <d v="2018-02-01T00:00:00"/>
    <d v="2018-02-01T00:00:00"/>
    <m/>
  </r>
  <r>
    <n v="1800051200000000"/>
    <x v="40"/>
    <x v="40"/>
    <x v="1"/>
    <x v="0"/>
    <s v="3900"/>
    <n v="70.36"/>
    <s v="EUR"/>
    <s v="FRA"/>
    <s v="SOGEGB22"/>
    <d v="2018-02-01T15:37:00"/>
    <d v="2018-02-01T00:00:00"/>
    <d v="2018-02-01T00:00:00"/>
    <m/>
  </r>
  <r>
    <n v="1800051300000000"/>
    <x v="41"/>
    <x v="41"/>
    <x v="1"/>
    <x v="0"/>
    <s v="2700"/>
    <n v="74.38"/>
    <s v="EUR"/>
    <s v="FRA"/>
    <s v="SOGEGB22"/>
    <d v="2018-02-01T15:37:00"/>
    <d v="2018-02-01T00:00:00"/>
    <d v="2018-02-01T00:00:00"/>
    <m/>
  </r>
  <r>
    <n v="1800051500000000"/>
    <x v="42"/>
    <x v="42"/>
    <x v="1"/>
    <x v="0"/>
    <s v="2600"/>
    <n v="62.35"/>
    <s v="EUR"/>
    <s v="FRA"/>
    <s v="SOGEGB22"/>
    <d v="2018-02-01T15:37:00"/>
    <d v="2018-02-01T00:00:00"/>
    <d v="2018-02-01T00:00:00"/>
    <m/>
  </r>
  <r>
    <n v="1800051900000000"/>
    <x v="43"/>
    <x v="43"/>
    <x v="2"/>
    <x v="1"/>
    <s v="500"/>
    <n v="93.3"/>
    <s v="EUR"/>
    <s v="FRA"/>
    <s v="EXANFRPP"/>
    <d v="2018-02-01T17:24:00"/>
    <d v="2018-02-01T00:00:00"/>
    <d v="2018-02-01T00:00:00"/>
    <m/>
  </r>
  <r>
    <n v="1800052000000000"/>
    <x v="32"/>
    <x v="32"/>
    <x v="2"/>
    <x v="1"/>
    <s v="2000"/>
    <n v="77.760000000000005"/>
    <s v="EUR"/>
    <s v="FRA"/>
    <s v="EXFLGB21"/>
    <d v="2018-02-01T17:24:00"/>
    <d v="2018-02-01T00:00:00"/>
    <d v="2018-02-01T00:00:00"/>
    <m/>
  </r>
  <r>
    <n v="1800052300000000"/>
    <x v="36"/>
    <x v="36"/>
    <x v="2"/>
    <x v="1"/>
    <s v="500"/>
    <s v="56"/>
    <s v="EUR"/>
    <s v="FRA"/>
    <s v="EXANFRPP"/>
    <d v="2018-02-01T17:24:00"/>
    <d v="2018-02-01T00:00:00"/>
    <d v="2018-02-01T00:00:00"/>
    <m/>
  </r>
  <r>
    <n v="1800057400000000"/>
    <x v="44"/>
    <x v="44"/>
    <x v="2"/>
    <x v="0"/>
    <s v="7895"/>
    <n v="11.59"/>
    <s v="EUR"/>
    <s v="FRA"/>
    <s v="BARCGB33CSA"/>
    <d v="2018-02-06T14:18:00"/>
    <d v="2018-02-06T00:00:00"/>
    <d v="2018-02-06T00:00:00"/>
    <m/>
  </r>
  <r>
    <n v="1800058700000000"/>
    <x v="44"/>
    <x v="44"/>
    <x v="2"/>
    <x v="0"/>
    <s v="7105"/>
    <n v="11.641999999999999"/>
    <s v="EUR"/>
    <s v="FRA"/>
    <s v="BARCGB33CSA"/>
    <d v="2018-02-07T10:11:00"/>
    <d v="2018-02-07T00:00:00"/>
    <d v="2018-02-07T00:00:00"/>
    <m/>
  </r>
  <r>
    <n v="1800058800000000"/>
    <x v="40"/>
    <x v="40"/>
    <x v="2"/>
    <x v="0"/>
    <s v="2000"/>
    <n v="66.709999999999994"/>
    <s v="EUR"/>
    <s v="FRA"/>
    <s v="SOGEGB22"/>
    <d v="2018-02-07T17:24:00"/>
    <d v="2018-02-07T00:00:00"/>
    <d v="2018-02-07T00:00:00"/>
    <m/>
  </r>
  <r>
    <n v="1800058900000000"/>
    <x v="44"/>
    <x v="44"/>
    <x v="2"/>
    <x v="0"/>
    <s v="20000"/>
    <n v="11.032999999999999"/>
    <s v="EUR"/>
    <s v="FRA"/>
    <s v="BARCGB33CSA"/>
    <d v="2018-02-08T09:20:00"/>
    <d v="2018-02-08T00:00:00"/>
    <d v="2018-02-08T00:00:00"/>
    <s v="x"/>
  </r>
  <r>
    <n v="1800059100000000"/>
    <x v="36"/>
    <x v="36"/>
    <x v="2"/>
    <x v="1"/>
    <s v="3000"/>
    <n v="58.468000000000004"/>
    <s v="EUR"/>
    <s v="FRA"/>
    <s v="JULFRPP1"/>
    <d v="2018-02-08T09:20:00"/>
    <d v="2018-02-08T00:00:00"/>
    <d v="2018-02-08T00:00:00"/>
    <m/>
  </r>
  <r>
    <n v="1800061000000000"/>
    <x v="31"/>
    <x v="31"/>
    <x v="3"/>
    <x v="1"/>
    <s v="2245"/>
    <s v="96"/>
    <s v="EUR"/>
    <s v="FRA"/>
    <s v="EXANFRPP"/>
    <d v="2018-02-08T14:18:00"/>
    <d v="2018-02-08T00:00:00"/>
    <d v="2018-02-08T00:00:00"/>
    <m/>
  </r>
  <r>
    <n v="1800061200000000"/>
    <x v="31"/>
    <x v="31"/>
    <x v="4"/>
    <x v="1"/>
    <s v="255"/>
    <s v="96"/>
    <s v="EUR"/>
    <s v="FRA"/>
    <s v="EXANFRPP"/>
    <d v="2018-02-08T14:18:00"/>
    <d v="2018-02-08T00:00:00"/>
    <d v="2018-02-08T00:00:00"/>
    <m/>
  </r>
  <r>
    <n v="1800061500000000"/>
    <x v="31"/>
    <x v="31"/>
    <x v="5"/>
    <x v="1"/>
    <s v="345"/>
    <s v="96"/>
    <s v="EUR"/>
    <s v="FRA"/>
    <s v="EXANFRPP"/>
    <d v="2018-02-08T14:18:00"/>
    <d v="2018-02-08T00:00:00"/>
    <d v="2018-02-08T00:00:00"/>
    <m/>
  </r>
  <r>
    <n v="1800061700000000"/>
    <x v="31"/>
    <x v="31"/>
    <x v="6"/>
    <x v="1"/>
    <s v="330"/>
    <s v="96"/>
    <s v="EUR"/>
    <s v="FRA"/>
    <s v="EXANFRPP"/>
    <d v="2018-02-08T14:18:00"/>
    <d v="2018-02-08T00:00:00"/>
    <d v="2018-02-08T00:00:00"/>
    <m/>
  </r>
  <r>
    <n v="1800061800000000"/>
    <x v="31"/>
    <x v="31"/>
    <x v="7"/>
    <x v="1"/>
    <s v="3263"/>
    <s v="96"/>
    <s v="EUR"/>
    <s v="FRA"/>
    <s v="EXANFRPP"/>
    <d v="2018-02-08T14:18:00"/>
    <d v="2018-02-08T00:00:00"/>
    <d v="2018-02-08T00:00:00"/>
    <m/>
  </r>
  <r>
    <n v="1800062000000000"/>
    <x v="31"/>
    <x v="31"/>
    <x v="1"/>
    <x v="1"/>
    <s v="3699"/>
    <s v="96"/>
    <s v="EUR"/>
    <s v="FRA"/>
    <s v="EXANFRPP"/>
    <d v="2018-02-08T14:18:00"/>
    <d v="2018-02-08T00:00:00"/>
    <d v="2018-02-08T00:00:00"/>
    <m/>
  </r>
  <r>
    <n v="1800062100000000"/>
    <x v="31"/>
    <x v="31"/>
    <x v="0"/>
    <x v="1"/>
    <s v="3168"/>
    <s v="96"/>
    <s v="EUR"/>
    <s v="FRA"/>
    <s v="EXANFRPP"/>
    <d v="2018-02-08T14:18:00"/>
    <d v="2018-02-08T00:00:00"/>
    <d v="2018-02-08T00:00:00"/>
    <m/>
  </r>
  <r>
    <n v="1800066300000000"/>
    <x v="36"/>
    <x v="36"/>
    <x v="2"/>
    <x v="1"/>
    <s v="1000"/>
    <n v="58.231999999999999"/>
    <s v="EUR"/>
    <s v="FRA"/>
    <s v="DUPONTGILB"/>
    <d v="2018-02-08T16:56:00"/>
    <d v="2018-02-08T00:00:00"/>
    <d v="2018-02-08T00:00:00"/>
    <m/>
  </r>
  <r>
    <n v="1800070600000000"/>
    <x v="24"/>
    <x v="24"/>
    <x v="6"/>
    <x v="0"/>
    <s v="1280"/>
    <n v="97.94"/>
    <s v="EUR"/>
    <s v="FRA"/>
    <s v="SOGEGB22"/>
    <d v="2018-02-09T14:11:00"/>
    <d v="2018-02-09T00:00:00"/>
    <d v="2018-02-09T00:00:00"/>
    <m/>
  </r>
  <r>
    <n v="1800070800000000"/>
    <x v="25"/>
    <x v="25"/>
    <x v="6"/>
    <x v="0"/>
    <s v="2800"/>
    <n v="33.33"/>
    <s v="EUR"/>
    <s v="FRA"/>
    <s v="SOGEGB22"/>
    <d v="2018-02-09T14:11:00"/>
    <d v="2018-02-09T00:00:00"/>
    <d v="2018-02-09T00:00:00"/>
    <m/>
  </r>
  <r>
    <n v="1800070900000000"/>
    <x v="26"/>
    <x v="26"/>
    <x v="6"/>
    <x v="0"/>
    <s v="990"/>
    <n v="67.44"/>
    <s v="EUR"/>
    <s v="FRA"/>
    <s v="SOGEGB22"/>
    <d v="2018-02-09T14:11:00"/>
    <d v="2018-02-09T00:00:00"/>
    <d v="2018-02-09T00:00:00"/>
    <m/>
  </r>
  <r>
    <n v="1800071200000000"/>
    <x v="27"/>
    <x v="27"/>
    <x v="6"/>
    <x v="0"/>
    <s v="4750"/>
    <n v="24.91"/>
    <s v="EUR"/>
    <s v="FRA"/>
    <s v="SOGEGB22"/>
    <d v="2018-02-09T14:11:00"/>
    <d v="2018-02-09T00:00:00"/>
    <d v="2018-02-09T00:00:00"/>
    <m/>
  </r>
  <r>
    <n v="1800071300000000"/>
    <x v="28"/>
    <x v="28"/>
    <x v="6"/>
    <x v="0"/>
    <s v="2050"/>
    <n v="63.2"/>
    <s v="EUR"/>
    <s v="FRA"/>
    <s v="SOGEGB22"/>
    <d v="2018-02-09T14:11:00"/>
    <d v="2018-02-09T00:00:00"/>
    <d v="2018-02-09T00:00:00"/>
    <m/>
  </r>
  <r>
    <n v="1800071400000000"/>
    <x v="29"/>
    <x v="29"/>
    <x v="6"/>
    <x v="0"/>
    <s v="2700"/>
    <n v="21.5"/>
    <s v="EUR"/>
    <s v="FRA"/>
    <s v="SOGEGB22"/>
    <d v="2018-02-09T14:11:00"/>
    <d v="2018-02-09T00:00:00"/>
    <d v="2018-02-09T00:00:00"/>
    <m/>
  </r>
  <r>
    <n v="1800071500000000"/>
    <x v="30"/>
    <x v="30"/>
    <x v="6"/>
    <x v="0"/>
    <s v="4250"/>
    <n v="18.28"/>
    <s v="EUR"/>
    <s v="FRA"/>
    <s v="SOGEGB22"/>
    <d v="2018-02-09T14:11:00"/>
    <d v="2018-02-09T00:00:00"/>
    <d v="2018-02-09T00:00:00"/>
    <m/>
  </r>
  <r>
    <n v="1800071700000000"/>
    <x v="31"/>
    <x v="31"/>
    <x v="6"/>
    <x v="0"/>
    <s v="920"/>
    <s v="95"/>
    <s v="EUR"/>
    <s v="FRA"/>
    <s v="SOGEGB22"/>
    <d v="2018-02-09T14:11:00"/>
    <d v="2018-02-09T00:00:00"/>
    <d v="2018-02-09T00:00:00"/>
    <m/>
  </r>
  <r>
    <n v="1800072200000000"/>
    <x v="32"/>
    <x v="32"/>
    <x v="6"/>
    <x v="0"/>
    <s v="1700"/>
    <n v="72.88"/>
    <s v="EUR"/>
    <s v="FRA"/>
    <s v="SOGEGB22"/>
    <d v="2018-02-09T14:11:00"/>
    <d v="2018-02-09T00:00:00"/>
    <d v="2018-02-09T00:00:00"/>
    <m/>
  </r>
  <r>
    <n v="1800072400000000"/>
    <x v="33"/>
    <x v="33"/>
    <x v="6"/>
    <x v="0"/>
    <s v="1100"/>
    <n v="61.2"/>
    <s v="EUR"/>
    <s v="FRA"/>
    <s v="SOGEGB22"/>
    <d v="2018-02-09T14:11:00"/>
    <d v="2018-02-09T00:00:00"/>
    <d v="2018-02-09T00:00:00"/>
    <m/>
  </r>
  <r>
    <n v="1800058900000000"/>
    <x v="44"/>
    <x v="44"/>
    <x v="6"/>
    <x v="1"/>
    <s v="18200"/>
    <n v="11.032999999999999"/>
    <s v="EUR"/>
    <s v="FRA"/>
    <s v="BARCGB33CSA"/>
    <d v="2018-02-08T09:20:00"/>
    <d v="2018-02-08T00:00:00"/>
    <d v="2018-02-08T00:00:00"/>
    <s v="x"/>
  </r>
  <r>
    <n v="1800072700000000"/>
    <x v="34"/>
    <x v="34"/>
    <x v="6"/>
    <x v="0"/>
    <s v="600"/>
    <n v="172.35"/>
    <s v="EUR"/>
    <s v="FRA"/>
    <s v="SOGEGB22"/>
    <d v="2018-02-09T14:11:00"/>
    <d v="2018-02-09T00:00:00"/>
    <d v="2018-02-09T00:00:00"/>
    <m/>
  </r>
  <r>
    <n v="1800072800000000"/>
    <x v="36"/>
    <x v="36"/>
    <x v="6"/>
    <x v="0"/>
    <s v="2200"/>
    <n v="56.66"/>
    <s v="EUR"/>
    <s v="FRA"/>
    <s v="SOGEGB22"/>
    <d v="2018-02-09T14:11:00"/>
    <d v="2018-02-09T00:00:00"/>
    <d v="2018-02-09T00:00:00"/>
    <m/>
  </r>
  <r>
    <n v="1800072900000000"/>
    <x v="37"/>
    <x v="37"/>
    <x v="6"/>
    <x v="0"/>
    <s v="1100"/>
    <n v="82.58"/>
    <s v="EUR"/>
    <s v="FRA"/>
    <s v="SOGEGB22"/>
    <d v="2018-02-09T14:11:00"/>
    <d v="2018-02-09T00:00:00"/>
    <d v="2018-02-09T00:00:00"/>
    <m/>
  </r>
  <r>
    <n v="1800073000000000"/>
    <x v="38"/>
    <x v="38"/>
    <x v="6"/>
    <x v="0"/>
    <s v="4150"/>
    <n v="13.685"/>
    <s v="EUR"/>
    <s v="FRA"/>
    <s v="SOGEGB22"/>
    <d v="2018-02-09T14:11:00"/>
    <d v="2018-02-09T00:00:00"/>
    <d v="2018-02-09T00:00:00"/>
    <m/>
  </r>
  <r>
    <n v="1800073100000000"/>
    <x v="39"/>
    <x v="39"/>
    <x v="6"/>
    <x v="0"/>
    <s v="2870"/>
    <n v="42.524999999999999"/>
    <s v="EUR"/>
    <s v="FRA"/>
    <s v="SOGEGB22"/>
    <d v="2018-02-09T14:11:00"/>
    <d v="2018-02-09T00:00:00"/>
    <d v="2018-02-09T00:00:00"/>
    <m/>
  </r>
  <r>
    <n v="1800073200000000"/>
    <x v="40"/>
    <x v="40"/>
    <x v="6"/>
    <x v="0"/>
    <s v="2380"/>
    <n v="63.39"/>
    <s v="EUR"/>
    <s v="FRA"/>
    <s v="SOGEGB22"/>
    <d v="2018-02-09T14:11:00"/>
    <d v="2018-02-09T00:00:00"/>
    <d v="2018-02-09T00:00:00"/>
    <m/>
  </r>
  <r>
    <n v="1800073300000000"/>
    <x v="41"/>
    <x v="41"/>
    <x v="6"/>
    <x v="0"/>
    <s v="1500"/>
    <n v="69.34"/>
    <s v="EUR"/>
    <s v="FRA"/>
    <s v="SOGEGB22"/>
    <d v="2018-02-09T14:11:00"/>
    <d v="2018-02-09T00:00:00"/>
    <d v="2018-02-09T00:00:00"/>
    <m/>
  </r>
  <r>
    <n v="1800073500000000"/>
    <x v="42"/>
    <x v="42"/>
    <x v="6"/>
    <x v="0"/>
    <s v="1550"/>
    <n v="59.95"/>
    <s v="EUR"/>
    <s v="FRA"/>
    <s v="SOGEGB22"/>
    <d v="2018-02-09T14:11:00"/>
    <d v="2018-02-09T00:00:00"/>
    <d v="2018-02-09T00:00:00"/>
    <m/>
  </r>
  <r>
    <n v="1800073900000000"/>
    <x v="44"/>
    <x v="44"/>
    <x v="2"/>
    <x v="0"/>
    <s v="5000"/>
    <n v="10.565"/>
    <s v="EUR"/>
    <s v="FRA"/>
    <s v="JULFRPP1"/>
    <d v="2018-02-09T17:28:00"/>
    <d v="2018-02-09T00:00:00"/>
    <d v="2018-02-09T00:00:00"/>
    <m/>
  </r>
  <r>
    <n v="1800074100000000"/>
    <x v="46"/>
    <x v="46"/>
    <x v="2"/>
    <x v="0"/>
    <s v="800"/>
    <n v="147.19999999999999"/>
    <s v="EUR"/>
    <s v="FRA"/>
    <s v="KCMLGB21"/>
    <d v="2018-02-09T17:28:00"/>
    <d v="2018-02-09T00:00:00"/>
    <d v="2018-02-09T00:00:00"/>
    <m/>
  </r>
  <r>
    <n v="1800075300000000"/>
    <x v="43"/>
    <x v="43"/>
    <x v="2"/>
    <x v="1"/>
    <s v="2000"/>
    <n v="90.149000000000001"/>
    <s v="EUR"/>
    <s v="FRA"/>
    <s v="RJASUS3F"/>
    <d v="2018-02-12T09:30:00"/>
    <d v="2018-02-12T00:00:00"/>
    <d v="2018-02-12T00:00:00"/>
    <m/>
  </r>
  <r>
    <n v="1800076000000000"/>
    <x v="43"/>
    <x v="43"/>
    <x v="2"/>
    <x v="1"/>
    <s v="1000"/>
    <n v="92.703999999999994"/>
    <s v="EUR"/>
    <s v="FRA"/>
    <s v="RJASUS3F"/>
    <d v="2018-02-12T14:46:00"/>
    <d v="2018-02-12T00:00:00"/>
    <d v="2018-02-12T00:00:00"/>
    <m/>
  </r>
  <r>
    <n v="1800077200000000"/>
    <x v="44"/>
    <x v="44"/>
    <x v="2"/>
    <x v="0"/>
    <s v="5000"/>
    <n v="10.19"/>
    <s v="EUR"/>
    <s v="FRA"/>
    <s v="SOGEGB22"/>
    <d v="2018-02-12T17:27:00"/>
    <d v="2018-02-12T00:00:00"/>
    <d v="2018-02-12T00:00:00"/>
    <m/>
  </r>
  <r>
    <n v="1800077500000000"/>
    <x v="36"/>
    <x v="36"/>
    <x v="2"/>
    <x v="1"/>
    <s v="2000"/>
    <n v="58.213000000000001"/>
    <s v="EUR"/>
    <s v="FRA"/>
    <s v="BRGAGB21"/>
    <d v="2018-02-13T09:53:00"/>
    <d v="2018-02-13T00:00:00"/>
    <d v="2018-02-13T00:00:00"/>
    <m/>
  </r>
  <r>
    <n v="1800079000000000"/>
    <x v="24"/>
    <x v="24"/>
    <x v="2"/>
    <x v="0"/>
    <s v="8000"/>
    <n v="98.424000000000007"/>
    <s v="EUR"/>
    <s v="FRA"/>
    <s v="BARCGB33CSA"/>
    <d v="2018-02-13T16:22:00"/>
    <d v="2018-02-13T00:00:00"/>
    <d v="2018-02-13T00:00:00"/>
    <m/>
  </r>
  <r>
    <n v="1800079100000000"/>
    <x v="24"/>
    <x v="24"/>
    <x v="2"/>
    <x v="0"/>
    <s v="32000"/>
    <n v="98.355999999999995"/>
    <s v="EUR"/>
    <s v="FRA"/>
    <s v="BARCGB33CSA"/>
    <d v="2018-02-13T16:22:00"/>
    <d v="2018-02-14T00:00:00"/>
    <d v="2018-02-13T00:00:00"/>
    <m/>
  </r>
  <r>
    <n v="1800079200000000"/>
    <x v="38"/>
    <x v="38"/>
    <x v="1"/>
    <x v="1"/>
    <s v="6000"/>
    <n v="14.516"/>
    <s v="EUR"/>
    <s v="FRA"/>
    <s v="ODDOFRPP"/>
    <d v="2018-02-14T09:38:00"/>
    <d v="2018-02-14T00:00:00"/>
    <d v="2018-02-14T00:00:00"/>
    <m/>
  </r>
  <r>
    <n v="1800079300000000"/>
    <x v="36"/>
    <x v="36"/>
    <x v="1"/>
    <x v="1"/>
    <s v="3000"/>
    <n v="60.024000000000001"/>
    <s v="EUR"/>
    <s v="FRA"/>
    <s v="ODDOFRPP"/>
    <d v="2018-02-14T10:20:00"/>
    <d v="2018-02-14T00:00:00"/>
    <d v="2018-02-14T00:00:00"/>
    <m/>
  </r>
  <r>
    <n v="1800079400000000"/>
    <x v="36"/>
    <x v="36"/>
    <x v="2"/>
    <x v="1"/>
    <s v="3000"/>
    <n v="60.024000000000001"/>
    <s v="EUR"/>
    <s v="FRA"/>
    <s v="ODDOFRPP"/>
    <d v="2018-02-14T10:20:00"/>
    <d v="2018-02-14T00:00:00"/>
    <d v="2018-02-14T00:00:00"/>
    <m/>
  </r>
  <r>
    <n v="1800079800000000"/>
    <x v="36"/>
    <x v="36"/>
    <x v="2"/>
    <x v="1"/>
    <s v="3000"/>
    <n v="62.643999999999998"/>
    <s v="EUR"/>
    <s v="FRA"/>
    <s v="ODDOFRPP"/>
    <d v="2018-02-14T16:03:00"/>
    <d v="2018-02-14T00:00:00"/>
    <d v="2018-02-14T00:00:00"/>
    <m/>
  </r>
  <r>
    <n v="1800079900000000"/>
    <x v="44"/>
    <x v="44"/>
    <x v="2"/>
    <x v="1"/>
    <s v="5000"/>
    <n v="10.664"/>
    <s v="EUR"/>
    <s v="FRA"/>
    <s v="BRGAGB21"/>
    <d v="2018-02-14T16:24:00"/>
    <d v="2018-02-14T00:00:00"/>
    <d v="2018-02-14T00:00:00"/>
    <m/>
  </r>
  <r>
    <n v="1800080000000000"/>
    <x v="40"/>
    <x v="40"/>
    <x v="2"/>
    <x v="0"/>
    <s v="2000"/>
    <n v="63.89"/>
    <s v="EUR"/>
    <s v="FRA"/>
    <s v="SOGEGB22"/>
    <d v="2018-02-14T17:24:00"/>
    <d v="2018-02-14T00:00:00"/>
    <d v="2018-02-14T00:00:00"/>
    <m/>
  </r>
  <r>
    <n v="1800080300000000"/>
    <x v="26"/>
    <x v="26"/>
    <x v="4"/>
    <x v="0"/>
    <s v="252"/>
    <n v="67.707999999999998"/>
    <s v="EUR"/>
    <s v="FRA"/>
    <s v="JULFRPP1"/>
    <d v="2018-02-14T17:30:00"/>
    <d v="2018-02-14T00:00:00"/>
    <d v="2018-02-14T00:00:00"/>
    <m/>
  </r>
  <r>
    <n v="1800080400000000"/>
    <x v="26"/>
    <x v="26"/>
    <x v="5"/>
    <x v="0"/>
    <s v="341"/>
    <n v="67.707999999999998"/>
    <s v="EUR"/>
    <s v="FRA"/>
    <s v="JULFRPP1"/>
    <d v="2018-02-14T17:30:00"/>
    <d v="2018-02-14T00:00:00"/>
    <d v="2018-02-14T00:00:00"/>
    <m/>
  </r>
  <r>
    <n v="1800080600000000"/>
    <x v="26"/>
    <x v="26"/>
    <x v="6"/>
    <x v="0"/>
    <s v="410"/>
    <n v="67.707999999999998"/>
    <s v="EUR"/>
    <s v="FRA"/>
    <s v="JULFRPP1"/>
    <d v="2018-02-14T17:30:00"/>
    <d v="2018-02-14T00:00:00"/>
    <d v="2018-02-14T00:00:00"/>
    <m/>
  </r>
  <r>
    <n v="1800080700000000"/>
    <x v="26"/>
    <x v="26"/>
    <x v="7"/>
    <x v="0"/>
    <s v="3235"/>
    <n v="67.707999999999998"/>
    <s v="EUR"/>
    <s v="FRA"/>
    <s v="JULFRPP1"/>
    <d v="2018-02-14T17:30:00"/>
    <d v="2018-02-14T00:00:00"/>
    <d v="2018-02-14T00:00:00"/>
    <m/>
  </r>
  <r>
    <n v="1800080900000000"/>
    <x v="26"/>
    <x v="26"/>
    <x v="1"/>
    <x v="0"/>
    <s v="4960"/>
    <n v="67.707999999999998"/>
    <s v="EUR"/>
    <s v="FRA"/>
    <s v="JULFRPP1"/>
    <d v="2018-02-14T17:30:00"/>
    <d v="2018-02-14T00:00:00"/>
    <d v="2018-02-14T00:00:00"/>
    <m/>
  </r>
  <r>
    <n v="1800081000000000"/>
    <x v="26"/>
    <x v="26"/>
    <x v="0"/>
    <x v="0"/>
    <s v="3131"/>
    <n v="67.707999999999998"/>
    <s v="EUR"/>
    <s v="FRA"/>
    <s v="JULFRPP1"/>
    <d v="2018-02-14T17:30:00"/>
    <d v="2018-02-14T00:00:00"/>
    <d v="2018-02-14T00:00:00"/>
    <m/>
  </r>
  <r>
    <n v="1800082600000000"/>
    <x v="45"/>
    <x v="45"/>
    <x v="2"/>
    <x v="1"/>
    <s v="1000"/>
    <n v="104.95"/>
    <s v="EUR"/>
    <s v="FRA"/>
    <s v="EXANFRPP"/>
    <d v="2018-02-15T09:45:00"/>
    <d v="2018-02-15T00:00:00"/>
    <d v="2018-02-15T00:00:00"/>
    <m/>
  </r>
  <r>
    <n v="1800083100000000"/>
    <x v="30"/>
    <x v="30"/>
    <x v="2"/>
    <x v="1"/>
    <s v="5000"/>
    <n v="19.247"/>
    <s v="EUR"/>
    <s v="FRA"/>
    <s v="ODDOFRPP"/>
    <d v="2018-02-15T15:35:00"/>
    <d v="2018-02-15T00:00:00"/>
    <d v="2018-02-15T00:00:00"/>
    <m/>
  </r>
  <r>
    <n v="1800083800000000"/>
    <x v="37"/>
    <x v="37"/>
    <x v="2"/>
    <x v="1"/>
    <s v="1000"/>
    <n v="88.058000000000007"/>
    <s v="EUR"/>
    <s v="FRA"/>
    <s v="ODDOFRPP"/>
    <d v="2018-02-16T09:15:00"/>
    <d v="2018-02-16T00:00:00"/>
    <d v="2018-02-16T00:00:00"/>
    <m/>
  </r>
  <r>
    <n v="1800084600000000"/>
    <x v="24"/>
    <x v="24"/>
    <x v="5"/>
    <x v="0"/>
    <s v="1110"/>
    <s v="102"/>
    <s v="EUR"/>
    <s v="FRA"/>
    <s v="EXANFRPP"/>
    <d v="2018-02-16T13:53:00"/>
    <d v="2018-02-16T00:00:00"/>
    <d v="2018-02-16T00:00:00"/>
    <m/>
  </r>
  <r>
    <n v="1800084800000000"/>
    <x v="25"/>
    <x v="25"/>
    <x v="5"/>
    <x v="0"/>
    <s v="2520"/>
    <n v="33.68"/>
    <s v="EUR"/>
    <s v="FRA"/>
    <s v="EXANFRPP"/>
    <d v="2018-02-16T13:53:00"/>
    <d v="2018-02-16T00:00:00"/>
    <d v="2018-02-16T00:00:00"/>
    <m/>
  </r>
  <r>
    <n v="1800084900000000"/>
    <x v="26"/>
    <x v="26"/>
    <x v="5"/>
    <x v="0"/>
    <s v="940"/>
    <n v="67.7"/>
    <s v="EUR"/>
    <s v="FRA"/>
    <s v="EXANFRPP"/>
    <d v="2018-02-16T13:53:00"/>
    <d v="2018-02-16T00:00:00"/>
    <d v="2018-02-16T00:00:00"/>
    <m/>
  </r>
  <r>
    <n v="1800085200000000"/>
    <x v="27"/>
    <x v="27"/>
    <x v="5"/>
    <x v="0"/>
    <s v="4350"/>
    <n v="25.22"/>
    <s v="EUR"/>
    <s v="FRA"/>
    <s v="EXANFRPP"/>
    <d v="2018-02-16T13:53:00"/>
    <d v="2018-02-16T00:00:00"/>
    <d v="2018-02-16T00:00:00"/>
    <m/>
  </r>
  <r>
    <n v="1800085300000000"/>
    <x v="28"/>
    <x v="28"/>
    <x v="5"/>
    <x v="0"/>
    <s v="1880"/>
    <n v="64.650000000000006"/>
    <s v="EUR"/>
    <s v="FRA"/>
    <s v="EXANFRPP"/>
    <d v="2018-02-16T13:53:00"/>
    <d v="2018-02-16T00:00:00"/>
    <d v="2018-02-16T00:00:00"/>
    <m/>
  </r>
  <r>
    <n v="1800085400000000"/>
    <x v="29"/>
    <x v="29"/>
    <x v="5"/>
    <x v="0"/>
    <s v="2480"/>
    <n v="21.5"/>
    <s v="EUR"/>
    <s v="FRA"/>
    <s v="EXANFRPP"/>
    <d v="2018-02-16T13:53:00"/>
    <d v="2018-02-16T00:00:00"/>
    <d v="2018-02-16T00:00:00"/>
    <s v="x"/>
  </r>
  <r>
    <n v="1800085500000000"/>
    <x v="30"/>
    <x v="30"/>
    <x v="5"/>
    <x v="0"/>
    <s v="3900"/>
    <n v="19.53"/>
    <s v="EUR"/>
    <s v="FRA"/>
    <s v="EXANFRPP"/>
    <d v="2018-02-16T13:53:00"/>
    <d v="2018-02-16T00:00:00"/>
    <d v="2018-02-16T00:00:00"/>
    <m/>
  </r>
  <r>
    <n v="1800085700000000"/>
    <x v="31"/>
    <x v="31"/>
    <x v="5"/>
    <x v="0"/>
    <s v="870"/>
    <n v="103.85"/>
    <s v="EUR"/>
    <s v="FRA"/>
    <s v="EXANFRPP"/>
    <d v="2018-02-16T13:53:00"/>
    <d v="2018-02-16T00:00:00"/>
    <d v="2018-02-16T00:00:00"/>
    <m/>
  </r>
  <r>
    <n v="1800086200000000"/>
    <x v="32"/>
    <x v="32"/>
    <x v="5"/>
    <x v="0"/>
    <s v="1540"/>
    <n v="72.680000000000007"/>
    <s v="EUR"/>
    <s v="FRA"/>
    <s v="EXFLGB21"/>
    <d v="2018-02-16T13:53:00"/>
    <d v="2018-02-16T00:00:00"/>
    <d v="2018-02-16T00:00:00"/>
    <m/>
  </r>
  <r>
    <n v="1800086400000000"/>
    <x v="33"/>
    <x v="33"/>
    <x v="5"/>
    <x v="0"/>
    <s v="1000"/>
    <n v="62.88"/>
    <s v="EUR"/>
    <s v="FRA"/>
    <s v="EXANFRPP"/>
    <d v="2018-02-16T13:53:00"/>
    <d v="2018-02-16T00:00:00"/>
    <d v="2018-02-16T00:00:00"/>
    <m/>
  </r>
  <r>
    <n v="1800086700000000"/>
    <x v="34"/>
    <x v="34"/>
    <x v="5"/>
    <x v="0"/>
    <s v="510"/>
    <n v="176.8"/>
    <s v="EUR"/>
    <s v="FRA"/>
    <s v="EXANFRPP"/>
    <d v="2018-02-16T13:53:00"/>
    <d v="2018-02-16T00:00:00"/>
    <d v="2018-02-16T00:00:00"/>
    <m/>
  </r>
  <r>
    <n v="1800086800000000"/>
    <x v="36"/>
    <x v="36"/>
    <x v="5"/>
    <x v="0"/>
    <s v="2000"/>
    <n v="62.66"/>
    <s v="EUR"/>
    <s v="FRA"/>
    <s v="EXANFRPP"/>
    <d v="2018-02-16T13:53:00"/>
    <d v="2018-02-16T00:00:00"/>
    <d v="2018-02-16T00:00:00"/>
    <m/>
  </r>
  <r>
    <n v="1800086900000000"/>
    <x v="37"/>
    <x v="37"/>
    <x v="5"/>
    <x v="0"/>
    <s v="960"/>
    <n v="87.8"/>
    <s v="EUR"/>
    <s v="FRA"/>
    <s v="EXANFRPP"/>
    <d v="2018-02-16T13:53:00"/>
    <d v="2018-02-16T00:00:00"/>
    <d v="2018-02-16T00:00:00"/>
    <m/>
  </r>
  <r>
    <n v="1800087000000000"/>
    <x v="38"/>
    <x v="38"/>
    <x v="5"/>
    <x v="0"/>
    <s v="3860"/>
    <n v="14.705"/>
    <s v="EUR"/>
    <s v="FRA"/>
    <s v="EXANFRPP"/>
    <d v="2018-02-16T13:53:00"/>
    <d v="2018-02-16T00:00:00"/>
    <d v="2018-02-16T00:00:00"/>
    <m/>
  </r>
  <r>
    <n v="1800087100000000"/>
    <x v="39"/>
    <x v="39"/>
    <x v="5"/>
    <x v="0"/>
    <s v="2640"/>
    <n v="43.62"/>
    <s v="EUR"/>
    <s v="FRA"/>
    <s v="EXANFRPP"/>
    <d v="2018-02-16T13:53:00"/>
    <d v="2018-02-16T00:00:00"/>
    <d v="2018-02-16T00:00:00"/>
    <m/>
  </r>
  <r>
    <n v="1800087200000000"/>
    <x v="40"/>
    <x v="40"/>
    <x v="5"/>
    <x v="0"/>
    <s v="2190"/>
    <n v="64.5"/>
    <s v="EUR"/>
    <s v="FRA"/>
    <s v="EXANFRPP"/>
    <d v="2018-02-16T13:53:00"/>
    <d v="2018-02-16T00:00:00"/>
    <d v="2018-02-16T00:00:00"/>
    <m/>
  </r>
  <r>
    <n v="1800087300000000"/>
    <x v="41"/>
    <x v="41"/>
    <x v="5"/>
    <x v="0"/>
    <s v="1340"/>
    <n v="72.16"/>
    <s v="EUR"/>
    <s v="FRA"/>
    <s v="EXANFRPP"/>
    <d v="2018-02-16T13:53:00"/>
    <d v="2018-02-16T00:00:00"/>
    <d v="2018-02-16T00:00:00"/>
    <m/>
  </r>
  <r>
    <n v="1800087500000000"/>
    <x v="42"/>
    <x v="42"/>
    <x v="5"/>
    <x v="0"/>
    <s v="1420"/>
    <n v="56.1"/>
    <s v="EUR"/>
    <s v="FRA"/>
    <s v="EXFLGB21"/>
    <d v="2018-02-16T13:53:00"/>
    <d v="2018-02-16T00:00:00"/>
    <d v="2018-02-16T00:00:00"/>
    <m/>
  </r>
  <r>
    <n v="1800089500000000"/>
    <x v="44"/>
    <x v="44"/>
    <x v="2"/>
    <x v="0"/>
    <s v="10000"/>
    <n v="10.038"/>
    <s v="EUR"/>
    <s v="FRA"/>
    <s v="BRGAGB21"/>
    <d v="2018-02-16T16:05:00"/>
    <d v="2018-02-16T00:00:00"/>
    <d v="2018-02-16T00:00:00"/>
    <m/>
  </r>
  <r>
    <n v="1800089700000000"/>
    <x v="43"/>
    <x v="43"/>
    <x v="2"/>
    <x v="0"/>
    <s v="1000"/>
    <n v="91.3"/>
    <s v="EUR"/>
    <s v="FRA"/>
    <s v="JULFRPP1"/>
    <d v="2018-02-16T17:29:00"/>
    <d v="2018-02-16T00:00:00"/>
    <d v="2018-02-16T00:00:00"/>
    <m/>
  </r>
  <r>
    <n v="1800089800000000"/>
    <x v="44"/>
    <x v="44"/>
    <x v="2"/>
    <x v="0"/>
    <s v="10000"/>
    <n v="10.02"/>
    <s v="EUR"/>
    <s v="FRA"/>
    <s v="JULFRPP1"/>
    <d v="2018-02-16T17:29:00"/>
    <d v="2018-02-16T00:00:00"/>
    <d v="2018-02-16T00:00:00"/>
    <m/>
  </r>
  <r>
    <n v="1800098900000000"/>
    <x v="44"/>
    <x v="44"/>
    <x v="2"/>
    <x v="0"/>
    <s v="8000"/>
    <n v="9.8960000000000008"/>
    <s v="EUR"/>
    <s v="FRA"/>
    <s v="SOGEGB22"/>
    <d v="2018-02-23T17:21:00"/>
    <d v="2018-02-23T00:00:00"/>
    <d v="2018-02-23T00:00:00"/>
    <m/>
  </r>
  <r>
    <n v="1800099200000000"/>
    <x v="44"/>
    <x v="44"/>
    <x v="2"/>
    <x v="1"/>
    <s v="3000"/>
    <n v="10.255000000000001"/>
    <s v="EUR"/>
    <s v="FRA"/>
    <s v="EXANFRPP"/>
    <d v="2018-02-26T16:06:00"/>
    <d v="2018-02-26T00:00:00"/>
    <d v="2018-02-26T00:00:00"/>
    <m/>
  </r>
  <r>
    <n v="1800099600000000"/>
    <x v="46"/>
    <x v="46"/>
    <x v="2"/>
    <x v="1"/>
    <s v="1000"/>
    <n v="161.90199999999999"/>
    <s v="EUR"/>
    <s v="FRA"/>
    <s v="EXFLGB21"/>
    <d v="2018-02-27T09:35:00"/>
    <d v="2018-02-27T00:00:00"/>
    <d v="2018-02-27T00:00:00"/>
    <m/>
  </r>
  <r>
    <n v="1800099700000000"/>
    <x v="43"/>
    <x v="43"/>
    <x v="2"/>
    <x v="0"/>
    <s v="2000"/>
    <n v="70.843000000000004"/>
    <s v="EUR"/>
    <s v="FRA"/>
    <s v="JULFRPP1"/>
    <d v="2018-02-27T10:36:00"/>
    <d v="2018-02-27T00:00:00"/>
    <d v="2018-02-27T00:00:00"/>
    <m/>
  </r>
  <r>
    <n v="1800100100000000"/>
    <x v="45"/>
    <x v="45"/>
    <x v="2"/>
    <x v="0"/>
    <s v="1000"/>
    <n v="102.45"/>
    <s v="EUR"/>
    <s v="FRA"/>
    <s v="SOGEGB22"/>
    <d v="2018-02-27T17:03:00"/>
    <d v="2018-02-27T00:00:00"/>
    <d v="2018-02-27T00:00:00"/>
    <m/>
  </r>
  <r>
    <n v="1800100200000000"/>
    <x v="43"/>
    <x v="43"/>
    <x v="2"/>
    <x v="0"/>
    <s v="2000"/>
    <n v="70.52"/>
    <s v="EUR"/>
    <s v="FRA"/>
    <s v="SOGEGB22"/>
    <d v="2018-02-27T17:03:00"/>
    <d v="2018-02-27T00:00:00"/>
    <d v="2018-02-27T00:00:00"/>
    <m/>
  </r>
  <r>
    <n v="1800100900000000"/>
    <x v="44"/>
    <x v="44"/>
    <x v="2"/>
    <x v="0"/>
    <s v="10000"/>
    <n v="9.7759999999999998"/>
    <s v="EUR"/>
    <s v="FRA"/>
    <s v="EXANFRPP"/>
    <d v="2018-02-28T17:14:00"/>
    <d v="2018-02-28T00:00:00"/>
    <d v="2018-02-28T00:00:00"/>
    <m/>
  </r>
  <r>
    <n v="1800101200000000"/>
    <x v="39"/>
    <x v="39"/>
    <x v="2"/>
    <x v="1"/>
    <s v="2000"/>
    <n v="46.686"/>
    <s v="EUR"/>
    <s v="FRA"/>
    <s v="ODDOFRPP"/>
    <d v="2018-03-01T09:18:00"/>
    <d v="2018-03-01T00:00:00"/>
    <d v="2018-03-01T00:00:00"/>
    <m/>
  </r>
  <r>
    <n v="1800101300000000"/>
    <x v="36"/>
    <x v="36"/>
    <x v="2"/>
    <x v="0"/>
    <s v="4000"/>
    <n v="59.911999999999999"/>
    <s v="EUR"/>
    <s v="FRA"/>
    <s v="ODDOFRPP"/>
    <d v="2018-03-01T09:35:00"/>
    <d v="2018-03-01T00:00:00"/>
    <d v="2018-03-01T00:00:00"/>
    <m/>
  </r>
  <r>
    <n v="1800101600000000"/>
    <x v="37"/>
    <x v="37"/>
    <x v="2"/>
    <x v="1"/>
    <s v="1000"/>
    <n v="89.549000000000007"/>
    <s v="EUR"/>
    <s v="FRA"/>
    <s v="ODDOFRPP"/>
    <d v="2018-03-01T12:00:00"/>
    <d v="2018-03-01T00:00:00"/>
    <d v="2018-03-01T00:00:00"/>
    <m/>
  </r>
  <r>
    <n v="1800102000000000"/>
    <x v="38"/>
    <x v="38"/>
    <x v="1"/>
    <x v="0"/>
    <s v="5000"/>
    <n v="14.205"/>
    <s v="EUR"/>
    <s v="FRA"/>
    <s v="JULFRPP1"/>
    <d v="2018-03-01T17:01:00"/>
    <d v="2018-03-01T00:00:00"/>
    <d v="2018-03-01T00:00:00"/>
    <m/>
  </r>
  <r>
    <n v="1800102800000000"/>
    <x v="39"/>
    <x v="39"/>
    <x v="1"/>
    <x v="0"/>
    <s v="2000"/>
    <n v="44.844999999999999"/>
    <s v="EUR"/>
    <s v="FRA"/>
    <s v="SOGEGB22"/>
    <d v="2018-03-02T17:13:00"/>
    <d v="2018-03-02T00:00:00"/>
    <d v="2018-03-02T00:00:00"/>
    <m/>
  </r>
  <r>
    <n v="1800103200000000"/>
    <x v="30"/>
    <x v="30"/>
    <x v="1"/>
    <x v="0"/>
    <s v="1000"/>
    <n v="17.395"/>
    <s v="EUR"/>
    <s v="FRA"/>
    <s v="SOGEGB22"/>
    <d v="2018-03-02T17:16:00"/>
    <d v="2018-03-02T00:00:00"/>
    <d v="2018-03-02T00:00:00"/>
    <m/>
  </r>
  <r>
    <n v="1800103300000000"/>
    <x v="43"/>
    <x v="43"/>
    <x v="2"/>
    <x v="0"/>
    <s v="2000"/>
    <n v="69.7"/>
    <s v="EUR"/>
    <s v="FRA"/>
    <s v="SOGEGB22"/>
    <d v="2018-03-02T17:24:00"/>
    <d v="2018-03-02T00:00:00"/>
    <d v="2018-03-02T00:00:00"/>
    <m/>
  </r>
  <r>
    <n v="1800103400000000"/>
    <x v="32"/>
    <x v="32"/>
    <x v="2"/>
    <x v="1"/>
    <s v="1000"/>
    <n v="74.375"/>
    <s v="EUR"/>
    <s v="FRA"/>
    <s v="KCMLGB21"/>
    <d v="2018-03-05T10:03:00"/>
    <d v="2018-03-05T00:00:00"/>
    <d v="2018-03-05T00:00:00"/>
    <m/>
  </r>
  <r>
    <n v="1800103900000000"/>
    <x v="27"/>
    <x v="27"/>
    <x v="2"/>
    <x v="0"/>
    <s v="5000"/>
    <n v="22.62"/>
    <s v="EUR"/>
    <s v="FRA"/>
    <s v="ODDOFRPP"/>
    <d v="2018-03-05T15:49:00"/>
    <d v="2018-03-05T00:00:00"/>
    <d v="2018-03-05T00:00:00"/>
    <m/>
  </r>
  <r>
    <n v="1800104300000000"/>
    <x v="27"/>
    <x v="27"/>
    <x v="3"/>
    <x v="0"/>
    <s v="22000"/>
    <n v="23.007999999999999"/>
    <s v="EUR"/>
    <s v="FRA"/>
    <s v="EXANFRPP"/>
    <d v="2018-03-06T11:05:00"/>
    <d v="2018-03-06T00:00:00"/>
    <d v="2018-03-06T00:00:00"/>
    <m/>
  </r>
  <r>
    <n v="1800104500000000"/>
    <x v="27"/>
    <x v="27"/>
    <x v="4"/>
    <x v="0"/>
    <s v="2500"/>
    <n v="23.007999999999999"/>
    <s v="EUR"/>
    <s v="FRA"/>
    <s v="EXANFRPP"/>
    <d v="2018-03-06T11:05:00"/>
    <d v="2018-03-06T00:00:00"/>
    <d v="2018-03-06T00:00:00"/>
    <m/>
  </r>
  <r>
    <n v="1800104800000000"/>
    <x v="27"/>
    <x v="27"/>
    <x v="5"/>
    <x v="0"/>
    <s v="4205"/>
    <n v="23.007999999999999"/>
    <s v="EUR"/>
    <s v="FRA"/>
    <s v="EXANFRPP"/>
    <d v="2018-03-06T11:05:00"/>
    <d v="2018-03-06T00:00:00"/>
    <d v="2018-03-06T00:00:00"/>
    <m/>
  </r>
  <r>
    <n v="1800105000000000"/>
    <x v="27"/>
    <x v="27"/>
    <x v="6"/>
    <x v="0"/>
    <s v="4050"/>
    <n v="23.007999999999999"/>
    <s v="EUR"/>
    <s v="FRA"/>
    <s v="EXANFRPP"/>
    <d v="2018-03-06T11:05:00"/>
    <d v="2018-03-06T00:00:00"/>
    <d v="2018-03-06T00:00:00"/>
    <m/>
  </r>
  <r>
    <n v="1800105100000000"/>
    <x v="27"/>
    <x v="27"/>
    <x v="7"/>
    <x v="0"/>
    <s v="32600"/>
    <n v="23.007999999999999"/>
    <s v="EUR"/>
    <s v="FRA"/>
    <s v="EXANFRPP"/>
    <d v="2018-03-06T11:05:00"/>
    <d v="2018-03-06T00:00:00"/>
    <d v="2018-03-06T00:00:00"/>
    <m/>
  </r>
  <r>
    <n v="1800105300000000"/>
    <x v="27"/>
    <x v="27"/>
    <x v="1"/>
    <x v="0"/>
    <s v="4000"/>
    <n v="23.007999999999999"/>
    <s v="EUR"/>
    <s v="FRA"/>
    <s v="EXANFRPP"/>
    <d v="2018-03-06T11:05:00"/>
    <d v="2018-03-06T00:00:00"/>
    <d v="2018-03-06T00:00:00"/>
    <m/>
  </r>
  <r>
    <n v="1800105400000000"/>
    <x v="27"/>
    <x v="27"/>
    <x v="2"/>
    <x v="0"/>
    <s v="10000"/>
    <n v="23.007999999999999"/>
    <s v="EUR"/>
    <s v="FRA"/>
    <s v="EXANFRPP"/>
    <d v="2018-03-06T11:05:00"/>
    <d v="2018-03-06T00:00:00"/>
    <d v="2018-03-06T00:00:00"/>
    <m/>
  </r>
  <r>
    <n v="1800105500000000"/>
    <x v="27"/>
    <x v="27"/>
    <x v="0"/>
    <x v="0"/>
    <s v="32500"/>
    <n v="23.007999999999999"/>
    <s v="EUR"/>
    <s v="FRA"/>
    <s v="EXANFRPP"/>
    <d v="2018-03-06T11:05:00"/>
    <d v="2018-03-06T00:00:00"/>
    <d v="2018-03-06T00:00:00"/>
    <m/>
  </r>
  <r>
    <n v="1800106000000000"/>
    <x v="32"/>
    <x v="32"/>
    <x v="4"/>
    <x v="1"/>
    <s v="700"/>
    <n v="75.432000000000002"/>
    <s v="EUR"/>
    <s v="FRA"/>
    <s v="KCMLGB21"/>
    <d v="2018-03-06T11:05:00"/>
    <d v="2018-03-06T00:00:00"/>
    <d v="2018-03-06T00:00:00"/>
    <m/>
  </r>
  <r>
    <n v="1800106100000000"/>
    <x v="32"/>
    <x v="32"/>
    <x v="5"/>
    <x v="1"/>
    <s v="1280"/>
    <n v="75.432000000000002"/>
    <s v="EUR"/>
    <s v="FRA"/>
    <s v="KCMLGB21"/>
    <d v="2018-03-06T11:05:00"/>
    <d v="2018-03-06T00:00:00"/>
    <d v="2018-03-06T00:00:00"/>
    <m/>
  </r>
  <r>
    <n v="1800106300000000"/>
    <x v="32"/>
    <x v="32"/>
    <x v="6"/>
    <x v="1"/>
    <s v="1275"/>
    <n v="75.432000000000002"/>
    <s v="EUR"/>
    <s v="FRA"/>
    <s v="KCMLGB21"/>
    <d v="2018-03-06T11:05:00"/>
    <d v="2018-03-06T00:00:00"/>
    <d v="2018-03-06T00:00:00"/>
    <m/>
  </r>
  <r>
    <n v="1800106400000000"/>
    <x v="32"/>
    <x v="32"/>
    <x v="7"/>
    <x v="1"/>
    <s v="9900"/>
    <n v="75.432000000000002"/>
    <s v="EUR"/>
    <s v="FRA"/>
    <s v="KCMLGB21"/>
    <d v="2018-03-06T11:05:00"/>
    <d v="2018-03-06T00:00:00"/>
    <d v="2018-03-06T00:00:00"/>
    <m/>
  </r>
  <r>
    <n v="1800106600000000"/>
    <x v="32"/>
    <x v="32"/>
    <x v="0"/>
    <x v="1"/>
    <s v="9500"/>
    <n v="75.432000000000002"/>
    <s v="EUR"/>
    <s v="FRA"/>
    <s v="KCMLGB21"/>
    <d v="2018-03-06T11:05:00"/>
    <d v="2018-03-06T00:00:00"/>
    <d v="2018-03-06T00:00:00"/>
    <m/>
  </r>
  <r>
    <n v="1800107000000000"/>
    <x v="37"/>
    <x v="37"/>
    <x v="2"/>
    <x v="1"/>
    <s v="1000"/>
    <n v="90.186000000000007"/>
    <s v="EUR"/>
    <s v="FRA"/>
    <s v="BRGAGB21"/>
    <d v="2018-03-06T11:05:00"/>
    <d v="2018-03-06T00:00:00"/>
    <d v="2018-03-06T00:00:00"/>
    <m/>
  </r>
  <r>
    <n v="1800110600000000"/>
    <x v="37"/>
    <x v="37"/>
    <x v="2"/>
    <x v="1"/>
    <s v="1000"/>
    <n v="92.715999999999994"/>
    <s v="EUR"/>
    <s v="FRA"/>
    <s v="ODDOFRPP"/>
    <d v="2018-03-07T17:18:00"/>
    <d v="2018-03-07T00:00:00"/>
    <d v="2018-03-07T00:00:00"/>
    <m/>
  </r>
  <r>
    <n v="1800112600000000"/>
    <x v="46"/>
    <x v="46"/>
    <x v="2"/>
    <x v="1"/>
    <s v="2000"/>
    <n v="167.05"/>
    <s v="EUR"/>
    <s v="FRA"/>
    <s v="SOGEGB22"/>
    <d v="2018-03-08T17:02:00"/>
    <d v="2018-03-08T00:00:00"/>
    <d v="2018-03-08T00:00:00"/>
    <m/>
  </r>
  <r>
    <n v="1800112700000000"/>
    <x v="30"/>
    <x v="30"/>
    <x v="2"/>
    <x v="0"/>
    <s v="5000"/>
    <n v="17.434999999999999"/>
    <s v="EUR"/>
    <s v="FRA"/>
    <s v="SOGEGB22"/>
    <d v="2018-03-08T17:02:00"/>
    <d v="2018-03-08T00:00:00"/>
    <d v="2018-03-08T00:00:00"/>
    <m/>
  </r>
  <r>
    <n v="1800112800000000"/>
    <x v="36"/>
    <x v="36"/>
    <x v="2"/>
    <x v="0"/>
    <s v="2000"/>
    <n v="57.26"/>
    <s v="EUR"/>
    <s v="FRA"/>
    <s v="SOGEGB22"/>
    <d v="2018-03-08T17:02:00"/>
    <d v="2018-03-08T00:00:00"/>
    <d v="2018-03-08T00:00:00"/>
    <m/>
  </r>
  <r>
    <n v="1800114100000000"/>
    <x v="44"/>
    <x v="44"/>
    <x v="2"/>
    <x v="0"/>
    <s v="10000"/>
    <n v="9.3460000000000001"/>
    <s v="EUR"/>
    <s v="FRA"/>
    <s v="SOGEGB22"/>
    <d v="2018-03-09T16:26:00"/>
    <d v="2018-03-09T00:00:00"/>
    <d v="2018-03-09T00:00:00"/>
    <m/>
  </r>
  <r>
    <n v="1800114300000000"/>
    <x v="45"/>
    <x v="45"/>
    <x v="2"/>
    <x v="1"/>
    <s v="1000"/>
    <n v="105.7"/>
    <s v="EUR"/>
    <s v="FRA"/>
    <s v="SOGEGB22"/>
    <d v="2018-03-09T16:26:00"/>
    <d v="2018-03-09T00:00:00"/>
    <d v="2018-03-09T00:00:00"/>
    <m/>
  </r>
  <r>
    <n v="1800116700000000"/>
    <x v="43"/>
    <x v="43"/>
    <x v="2"/>
    <x v="0"/>
    <s v="1000"/>
    <n v="68.08"/>
    <s v="EUR"/>
    <s v="FRA"/>
    <s v="BARCGB33CSA"/>
    <d v="2018-03-14T15:53:00"/>
    <d v="2018-03-14T00:00:00"/>
    <d v="2018-03-14T00:00:00"/>
    <m/>
  </r>
  <r>
    <n v="1800116800000000"/>
    <x v="32"/>
    <x v="32"/>
    <x v="2"/>
    <x v="0"/>
    <s v="1000"/>
    <n v="73.22"/>
    <s v="EUR"/>
    <s v="FRA"/>
    <s v="BARCGB33CSA"/>
    <d v="2018-03-14T15:54:00"/>
    <d v="2018-03-14T00:00:00"/>
    <d v="2018-03-14T00:00:00"/>
    <m/>
  </r>
  <r>
    <n v="1800117100000000"/>
    <x v="46"/>
    <x v="46"/>
    <x v="2"/>
    <x v="1"/>
    <s v="500"/>
    <n v="173.05"/>
    <s v="EUR"/>
    <s v="FRA"/>
    <s v="EXFLGB21"/>
    <d v="2018-03-15T10:51:00"/>
    <d v="2018-03-15T00:00:00"/>
    <d v="2018-03-15T00:00:00"/>
    <m/>
  </r>
  <r>
    <n v="1800118800000000"/>
    <x v="43"/>
    <x v="43"/>
    <x v="2"/>
    <x v="0"/>
    <s v="2000"/>
    <n v="66.66"/>
    <s v="EUR"/>
    <s v="FRA"/>
    <s v="LCMLGB21"/>
    <d v="2018-03-16T17:18:00"/>
    <d v="2018-03-16T00:00:00"/>
    <d v="2018-03-16T00:00:00"/>
    <m/>
  </r>
  <r>
    <n v="1800118900000000"/>
    <x v="37"/>
    <x v="37"/>
    <x v="2"/>
    <x v="1"/>
    <s v="1000"/>
    <n v="95.21"/>
    <s v="EUR"/>
    <s v="FRA"/>
    <s v="LCMLGB21"/>
    <d v="2018-03-16T17:18:00"/>
    <d v="2018-03-16T00:00:00"/>
    <d v="2018-03-16T00:00:00"/>
    <m/>
  </r>
  <r>
    <n v="1800119300000000"/>
    <x v="36"/>
    <x v="36"/>
    <x v="2"/>
    <x v="1"/>
    <s v="1000"/>
    <n v="59.1"/>
    <s v="EUR"/>
    <s v="FRA"/>
    <s v="EXANFRPP"/>
    <d v="2018-03-19T17:30:00"/>
    <d v="2018-03-19T00:00:00"/>
    <d v="2018-03-19T00:00:00"/>
    <m/>
  </r>
  <r>
    <n v="1800119400000000"/>
    <x v="43"/>
    <x v="43"/>
    <x v="2"/>
    <x v="0"/>
    <s v="2000"/>
    <n v="66.66"/>
    <s v="EUR"/>
    <s v="FRA"/>
    <s v="EXANFRPP"/>
    <d v="2018-03-19T17:30:00"/>
    <d v="2018-03-19T00:00:00"/>
    <d v="2018-03-19T00:00:00"/>
    <m/>
  </r>
  <r>
    <n v="1800120700000000"/>
    <x v="25"/>
    <x v="25"/>
    <x v="2"/>
    <x v="1"/>
    <s v="5000"/>
    <n v="35.420999999999999"/>
    <s v="EUR"/>
    <s v="FRA"/>
    <s v="BRGAGB21"/>
    <d v="2018-03-20T11:46:00"/>
    <d v="2018-03-20T00:00:00"/>
    <d v="2018-03-20T00:00:00"/>
    <m/>
  </r>
  <r>
    <n v="1800124900000000"/>
    <x v="36"/>
    <x v="36"/>
    <x v="3"/>
    <x v="0"/>
    <s v="4000"/>
    <n v="56.78"/>
    <s v="EUR"/>
    <s v="FRA"/>
    <s v="BARCGB33"/>
    <d v="2018-03-21T11:39:00"/>
    <d v="2018-03-21T00:00:00"/>
    <d v="2018-03-21T00:00:00"/>
    <m/>
  </r>
  <r>
    <n v="1800125100000000"/>
    <x v="36"/>
    <x v="36"/>
    <x v="4"/>
    <x v="0"/>
    <s v="600"/>
    <n v="56.78"/>
    <s v="EUR"/>
    <s v="FRA"/>
    <s v="BARCGB33"/>
    <d v="2018-03-21T11:39:00"/>
    <d v="2018-03-21T00:00:00"/>
    <d v="2018-03-21T00:00:00"/>
    <m/>
  </r>
  <r>
    <n v="1800125200000000"/>
    <x v="36"/>
    <x v="36"/>
    <x v="5"/>
    <x v="0"/>
    <s v="930"/>
    <n v="56.78"/>
    <s v="EUR"/>
    <s v="FRA"/>
    <s v="BARCGB33"/>
    <d v="2018-03-21T11:39:00"/>
    <d v="2018-03-21T00:00:00"/>
    <d v="2018-03-21T00:00:00"/>
    <m/>
  </r>
  <r>
    <n v="1800125400000000"/>
    <x v="36"/>
    <x v="36"/>
    <x v="6"/>
    <x v="0"/>
    <s v="950"/>
    <n v="56.78"/>
    <s v="EUR"/>
    <s v="FRA"/>
    <s v="BARCGB33"/>
    <d v="2018-03-21T11:39:00"/>
    <d v="2018-03-21T00:00:00"/>
    <d v="2018-03-21T00:00:00"/>
    <m/>
  </r>
  <r>
    <n v="1800125500000000"/>
    <x v="36"/>
    <x v="36"/>
    <x v="7"/>
    <x v="0"/>
    <s v="7400"/>
    <n v="56.78"/>
    <s v="EUR"/>
    <s v="FRA"/>
    <s v="BARCGB33"/>
    <d v="2018-03-21T11:39:00"/>
    <d v="2018-03-21T00:00:00"/>
    <d v="2018-03-21T00:00:00"/>
    <m/>
  </r>
  <r>
    <n v="1800125700000000"/>
    <x v="36"/>
    <x v="36"/>
    <x v="2"/>
    <x v="0"/>
    <s v="2000"/>
    <n v="56.78"/>
    <s v="EUR"/>
    <s v="FRA"/>
    <s v="BARCGB33"/>
    <d v="2018-03-21T11:39:00"/>
    <d v="2018-03-21T00:00:00"/>
    <d v="2018-03-21T00:00:00"/>
    <m/>
  </r>
  <r>
    <n v="1800125800000000"/>
    <x v="36"/>
    <x v="36"/>
    <x v="0"/>
    <x v="0"/>
    <s v="7400"/>
    <n v="56.78"/>
    <s v="EUR"/>
    <s v="FRA"/>
    <s v="BARCGB33"/>
    <d v="2018-03-21T11:39:00"/>
    <d v="2018-03-21T00:00:00"/>
    <d v="2018-03-21T00:00:00"/>
    <m/>
  </r>
  <r>
    <n v="1800126400000000"/>
    <x v="25"/>
    <x v="25"/>
    <x v="2"/>
    <x v="1"/>
    <s v="5000"/>
    <n v="36.484000000000002"/>
    <s v="EUR"/>
    <s v="FRA"/>
    <s v="BRGAGB21"/>
    <d v="2018-03-22T09:37:00"/>
    <d v="2018-03-22T00:00:00"/>
    <d v="2018-03-22T00:00:00"/>
    <m/>
  </r>
  <r>
    <n v="1800126700000000"/>
    <x v="43"/>
    <x v="43"/>
    <x v="2"/>
    <x v="0"/>
    <s v="5000"/>
    <n v="64.475999999999999"/>
    <s v="EUR"/>
    <s v="FRA"/>
    <s v="BRGAGB21"/>
    <d v="2018-03-22T10:19:00"/>
    <d v="2018-03-22T00:00:00"/>
    <d v="2018-03-22T00:00:00"/>
    <m/>
  </r>
  <r>
    <n v="1800134800000000"/>
    <x v="27"/>
    <x v="27"/>
    <x v="2"/>
    <x v="0"/>
    <s v="1500"/>
    <n v="21.347999999999999"/>
    <s v="EUR"/>
    <s v="FRA"/>
    <s v="BRGAGB21"/>
    <d v="2018-03-23T11:02:00"/>
    <d v="2018-03-23T00:00:00"/>
    <d v="2018-03-23T00:00:00"/>
    <m/>
  </r>
  <r>
    <n v="1800135900000000"/>
    <x v="25"/>
    <x v="25"/>
    <x v="2"/>
    <x v="1"/>
    <s v="3000"/>
    <n v="36.86"/>
    <s v="EUR"/>
    <s v="FRA"/>
    <s v="EXANFRPP"/>
    <d v="2018-03-26T10:30:00"/>
    <d v="2018-03-26T00:00:00"/>
    <d v="2018-03-26T00:00:00"/>
    <m/>
  </r>
  <r>
    <n v="1800136800000000"/>
    <x v="39"/>
    <x v="39"/>
    <x v="2"/>
    <x v="0"/>
    <s v="2000"/>
    <n v="42.35"/>
    <s v="EUR"/>
    <s v="FRA"/>
    <s v="SOGEGB22"/>
    <d v="2018-03-26T17:24:00"/>
    <d v="2018-03-26T00:00:00"/>
    <d v="2018-03-26T00:00:00"/>
    <m/>
  </r>
  <r>
    <n v="1800139400000000"/>
    <x v="32"/>
    <x v="32"/>
    <x v="2"/>
    <x v="0"/>
    <s v="1000"/>
    <n v="70.5"/>
    <s v="EUR"/>
    <s v="FRA"/>
    <s v="SOGEGB22"/>
    <d v="2018-03-27T17:19:00"/>
    <d v="2018-03-27T00:00:00"/>
    <d v="2018-03-27T00:00:00"/>
    <m/>
  </r>
  <r>
    <n v="1800141300000000"/>
    <x v="46"/>
    <x v="46"/>
    <x v="2"/>
    <x v="0"/>
    <s v="500"/>
    <n v="159.05000000000001"/>
    <s v="EUR"/>
    <s v="FRA"/>
    <s v="IXIRFRPP"/>
    <d v="2018-03-28T17:27:00"/>
    <d v="2018-03-28T00:00:00"/>
    <d v="2018-03-28T00:00:00"/>
    <m/>
  </r>
  <r>
    <n v="1800141400000000"/>
    <x v="27"/>
    <x v="27"/>
    <x v="2"/>
    <x v="0"/>
    <s v="3500"/>
    <n v="21.43"/>
    <s v="EUR"/>
    <s v="FRA"/>
    <s v="IXIRFRPP"/>
    <d v="2018-03-28T17:27:00"/>
    <d v="2018-03-28T00:00:00"/>
    <d v="2018-03-28T00:00:00"/>
    <m/>
  </r>
  <r>
    <n v="1800141600000000"/>
    <x v="37"/>
    <x v="37"/>
    <x v="2"/>
    <x v="1"/>
    <s v="2000"/>
    <n v="99.393000000000001"/>
    <s v="EUR"/>
    <s v="FRA"/>
    <s v="BRGAGB21"/>
    <d v="2018-03-29T09:09:00"/>
    <d v="2018-03-29T00:00:00"/>
    <d v="2018-03-29T00:00:00"/>
    <m/>
  </r>
  <r>
    <n v="1800141700000000"/>
    <x v="24"/>
    <x v="24"/>
    <x v="0"/>
    <x v="0"/>
    <s v="700"/>
    <n v="99.48"/>
    <s v="EUR"/>
    <s v="FRA"/>
    <s v="SOGEGB22"/>
    <d v="2018-03-29T11:48:00"/>
    <d v="2018-03-29T00:00:00"/>
    <d v="2018-03-29T00:00:00"/>
    <m/>
  </r>
  <r>
    <n v="1800141900000000"/>
    <x v="25"/>
    <x v="25"/>
    <x v="0"/>
    <x v="0"/>
    <s v="1900"/>
    <n v="36.61"/>
    <s v="EUR"/>
    <s v="FRA"/>
    <s v="SOGEGB22"/>
    <d v="2018-03-29T11:48:00"/>
    <d v="2018-03-29T00:00:00"/>
    <d v="2018-03-29T00:00:00"/>
    <m/>
  </r>
  <r>
    <n v="1800142000000000"/>
    <x v="26"/>
    <x v="26"/>
    <x v="0"/>
    <x v="0"/>
    <s v="600"/>
    <n v="65.260000000000005"/>
    <s v="EUR"/>
    <s v="FRA"/>
    <s v="SOGEGB22"/>
    <d v="2018-03-29T11:48:00"/>
    <d v="2018-03-29T00:00:00"/>
    <d v="2018-03-29T00:00:00"/>
    <m/>
  </r>
  <r>
    <n v="1800085400000000"/>
    <x v="29"/>
    <x v="29"/>
    <x v="5"/>
    <x v="1"/>
    <s v="2480"/>
    <n v="21.5"/>
    <s v="EUR"/>
    <s v="FRA"/>
    <s v="EXANFRPP"/>
    <d v="2018-02-16T13:53:00"/>
    <d v="2018-02-16T00:00:00"/>
    <d v="2018-02-16T00:00:00"/>
    <s v="x"/>
  </r>
  <r>
    <n v="1800142300000000"/>
    <x v="27"/>
    <x v="27"/>
    <x v="0"/>
    <x v="0"/>
    <s v="4000"/>
    <n v="21.6"/>
    <s v="EUR"/>
    <s v="FRA"/>
    <s v="SOGEGB22"/>
    <d v="2018-03-29T11:49:00"/>
    <d v="2018-03-29T00:00:00"/>
    <d v="2018-03-29T00:00:00"/>
    <m/>
  </r>
  <r>
    <n v="1800142400000000"/>
    <x v="28"/>
    <x v="28"/>
    <x v="0"/>
    <x v="0"/>
    <s v="1300"/>
    <n v="60.17"/>
    <s v="EUR"/>
    <s v="FRA"/>
    <s v="SOGEGB22"/>
    <d v="2018-03-29T11:49:00"/>
    <d v="2018-03-29T00:00:00"/>
    <d v="2018-03-29T00:00:00"/>
    <m/>
  </r>
  <r>
    <n v="1800142500000000"/>
    <x v="29"/>
    <x v="29"/>
    <x v="0"/>
    <x v="0"/>
    <s v="1900"/>
    <n v="21.11"/>
    <s v="EUR"/>
    <s v="FRA"/>
    <s v="SOGEGB22"/>
    <d v="2018-03-29T11:49:00"/>
    <d v="2018-03-29T00:00:00"/>
    <d v="2018-03-29T00:00:00"/>
    <m/>
  </r>
  <r>
    <n v="1800142600000000"/>
    <x v="30"/>
    <x v="30"/>
    <x v="0"/>
    <x v="0"/>
    <s v="3000"/>
    <n v="16.850000000000001"/>
    <s v="EUR"/>
    <s v="FRA"/>
    <s v="SOGEGB22"/>
    <d v="2018-03-29T11:49:00"/>
    <d v="2018-03-29T00:00:00"/>
    <d v="2018-03-29T00:00:00"/>
    <m/>
  </r>
  <r>
    <n v="1800142800000000"/>
    <x v="31"/>
    <x v="31"/>
    <x v="0"/>
    <x v="0"/>
    <s v="500"/>
    <n v="110.4"/>
    <s v="EUR"/>
    <s v="FRA"/>
    <s v="SOGEGB22"/>
    <d v="2018-03-29T11:49:00"/>
    <d v="2018-03-29T00:00:00"/>
    <d v="2018-03-29T00:00:00"/>
    <m/>
  </r>
  <r>
    <n v="1800143300000000"/>
    <x v="32"/>
    <x v="32"/>
    <x v="0"/>
    <x v="0"/>
    <s v="800"/>
    <n v="70.72"/>
    <s v="EUR"/>
    <s v="FRA"/>
    <s v="SOGEGB22"/>
    <d v="2018-03-29T11:49:00"/>
    <d v="2018-03-29T00:00:00"/>
    <d v="2018-03-29T00:00:00"/>
    <m/>
  </r>
  <r>
    <n v="1800143500000000"/>
    <x v="33"/>
    <x v="33"/>
    <x v="0"/>
    <x v="0"/>
    <s v="900"/>
    <n v="63.7"/>
    <s v="EUR"/>
    <s v="FRA"/>
    <s v="SOGEGB22"/>
    <d v="2018-03-29T11:49:00"/>
    <d v="2018-03-29T00:00:00"/>
    <d v="2018-03-29T00:00:00"/>
    <m/>
  </r>
  <r>
    <n v="1800143800000000"/>
    <x v="34"/>
    <x v="34"/>
    <x v="0"/>
    <x v="0"/>
    <s v="500"/>
    <n v="183.35"/>
    <s v="EUR"/>
    <s v="FRA"/>
    <s v="SOGEGB22"/>
    <d v="2018-03-29T11:49:00"/>
    <d v="2018-03-29T00:00:00"/>
    <d v="2018-03-29T00:00:00"/>
    <m/>
  </r>
  <r>
    <n v="1800143900000000"/>
    <x v="36"/>
    <x v="36"/>
    <x v="0"/>
    <x v="0"/>
    <s v="1600"/>
    <n v="56.58"/>
    <s v="EUR"/>
    <s v="FRA"/>
    <s v="SOGEGB22"/>
    <d v="2018-03-29T11:49:00"/>
    <d v="2018-03-29T00:00:00"/>
    <d v="2018-03-29T00:00:00"/>
    <m/>
  </r>
  <r>
    <n v="1800144000000000"/>
    <x v="37"/>
    <x v="37"/>
    <x v="0"/>
    <x v="0"/>
    <s v="600"/>
    <n v="98.5"/>
    <s v="EUR"/>
    <s v="FRA"/>
    <s v="SOGEGB22"/>
    <d v="2018-03-29T11:49:00"/>
    <d v="2018-03-29T00:00:00"/>
    <d v="2018-03-29T00:00:00"/>
    <m/>
  </r>
  <r>
    <n v="1800144100000000"/>
    <x v="38"/>
    <x v="38"/>
    <x v="0"/>
    <x v="0"/>
    <s v="3000"/>
    <n v="13.75"/>
    <s v="EUR"/>
    <s v="FRA"/>
    <s v="SOGEGB22"/>
    <d v="2018-03-29T11:49:00"/>
    <d v="2018-03-29T00:00:00"/>
    <d v="2018-03-29T00:00:00"/>
    <m/>
  </r>
  <r>
    <n v="1800144200000000"/>
    <x v="39"/>
    <x v="39"/>
    <x v="0"/>
    <x v="0"/>
    <s v="2000"/>
    <n v="42.86"/>
    <s v="EUR"/>
    <s v="FRA"/>
    <s v="SOGEGB22"/>
    <d v="2018-03-29T11:49:00"/>
    <d v="2018-03-29T00:00:00"/>
    <d v="2018-03-29T00:00:00"/>
    <m/>
  </r>
  <r>
    <n v="1800144300000000"/>
    <x v="40"/>
    <x v="40"/>
    <x v="0"/>
    <x v="0"/>
    <s v="1600"/>
    <n v="65.33"/>
    <s v="EUR"/>
    <s v="FRA"/>
    <s v="SOGEGB22"/>
    <d v="2018-03-29T11:49:00"/>
    <d v="2018-03-29T00:00:00"/>
    <d v="2018-03-29T00:00:00"/>
    <m/>
  </r>
  <r>
    <n v="1800144400000000"/>
    <x v="41"/>
    <x v="41"/>
    <x v="0"/>
    <x v="0"/>
    <s v="900"/>
    <n v="71.34"/>
    <s v="EUR"/>
    <s v="FRA"/>
    <s v="SOGEGB22"/>
    <d v="2018-03-29T11:49:00"/>
    <d v="2018-03-29T00:00:00"/>
    <d v="2018-03-29T00:00:00"/>
    <m/>
  </r>
  <r>
    <n v="1800144600000000"/>
    <x v="42"/>
    <x v="42"/>
    <x v="0"/>
    <x v="0"/>
    <s v="900"/>
    <n v="54.25"/>
    <s v="EUR"/>
    <s v="FRA"/>
    <s v="SOGEGB22"/>
    <d v="2018-03-29T11:49:00"/>
    <d v="2018-03-29T00:00:00"/>
    <d v="2018-03-29T00:00: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51" firstHeaderRow="1" firstDataRow="1" firstDataCol="1" rowPageCount="1" colPageCount="1"/>
  <pivotFields count="14">
    <pivotField showAll="0"/>
    <pivotField axis="axisPage" showAll="0">
      <items count="48">
        <item x="32"/>
        <item x="42"/>
        <item x="17"/>
        <item x="22"/>
        <item x="2"/>
        <item x="1"/>
        <item x="3"/>
        <item x="5"/>
        <item x="0"/>
        <item x="8"/>
        <item x="9"/>
        <item x="6"/>
        <item x="14"/>
        <item x="23"/>
        <item x="15"/>
        <item x="10"/>
        <item x="13"/>
        <item x="11"/>
        <item x="16"/>
        <item x="44"/>
        <item x="24"/>
        <item x="30"/>
        <item x="34"/>
        <item x="40"/>
        <item x="27"/>
        <item x="35"/>
        <item x="41"/>
        <item x="39"/>
        <item x="45"/>
        <item x="43"/>
        <item x="36"/>
        <item x="31"/>
        <item x="28"/>
        <item x="37"/>
        <item x="26"/>
        <item x="29"/>
        <item x="25"/>
        <item x="33"/>
        <item x="38"/>
        <item x="4"/>
        <item x="7"/>
        <item x="12"/>
        <item x="46"/>
        <item x="18"/>
        <item x="20"/>
        <item x="21"/>
        <item x="19"/>
        <item t="default"/>
      </items>
    </pivotField>
    <pivotField axis="axisRow" dataField="1" showAll="0">
      <items count="48">
        <item x="44"/>
        <item x="24"/>
        <item x="25"/>
        <item x="26"/>
        <item x="46"/>
        <item x="27"/>
        <item x="18"/>
        <item x="12"/>
        <item x="14"/>
        <item x="23"/>
        <item x="28"/>
        <item x="29"/>
        <item x="45"/>
        <item x="30"/>
        <item x="22"/>
        <item x="0"/>
        <item x="31"/>
        <item x="1"/>
        <item x="2"/>
        <item x="10"/>
        <item x="20"/>
        <item x="15"/>
        <item x="3"/>
        <item x="43"/>
        <item x="21"/>
        <item x="32"/>
        <item x="4"/>
        <item x="33"/>
        <item x="5"/>
        <item x="19"/>
        <item x="6"/>
        <item x="11"/>
        <item x="34"/>
        <item x="16"/>
        <item x="35"/>
        <item x="36"/>
        <item x="37"/>
        <item x="38"/>
        <item x="17"/>
        <item x="7"/>
        <item x="39"/>
        <item x="40"/>
        <item x="8"/>
        <item x="41"/>
        <item x="9"/>
        <item x="13"/>
        <item x="42"/>
        <item t="default"/>
      </items>
    </pivotField>
    <pivotField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numFmtId="22" showAll="0"/>
    <pivotField showAll="0"/>
    <pivotField numFmtId="14" showAll="0"/>
    <pivotField showAll="0"/>
  </pivotFields>
  <rowFields count="1">
    <field x="2"/>
  </rowFields>
  <rowItems count="4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 t="grand">
      <x/>
    </i>
  </rowItems>
  <colItems count="1">
    <i/>
  </colItems>
  <pageFields count="1">
    <pageField fld="1" hier="-1"/>
  </pageFields>
  <dataFields count="1">
    <dataField name="Nombre de Valeur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dop" sourceName="Codop">
  <pivotTables>
    <pivotTable tabId="3" name="Tableau croisé dynamique1"/>
  </pivotTables>
  <data>
    <tabular pivotCacheId="1">
      <items count="2">
        <i x="0" s="1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ortefeuille" sourceName="Portefeuille">
  <pivotTables>
    <pivotTable tabId="3" name="Tableau croisé dynamique1"/>
  </pivotTables>
  <data>
    <tabular pivotCacheId="1">
      <items count="8">
        <i x="0" s="1"/>
        <i x="1" s="1"/>
        <i x="2" s="1"/>
        <i x="3" s="1"/>
        <i x="4" s="1"/>
        <i x="5" s="1"/>
        <i x="6" s="1"/>
        <i x="7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dop" cache="Segment_Codop" caption="Codop" rowHeight="230716"/>
  <slicer name="Portefeuille" cache="Segment_Portefeuille" caption="Portefeuille" rowHeight="230716"/>
</slicers>
</file>

<file path=xl/tables/table1.xml><?xml version="1.0" encoding="utf-8"?>
<table xmlns="http://schemas.openxmlformats.org/spreadsheetml/2006/main" id="2" name="Tableau2" displayName="Tableau2" ref="A1:N474" totalsRowShown="0" headerRowDxfId="18" dataDxfId="16" headerRowBorderDxfId="17" tableBorderDxfId="15" totalsRowBorderDxfId="14">
  <autoFilter ref="A1:N474"/>
  <tableColumns count="14">
    <tableColumn id="1" name="Ref" dataDxfId="13"/>
    <tableColumn id="4" name="Isin" dataDxfId="12"/>
    <tableColumn id="5" name="Valeur" dataDxfId="11"/>
    <tableColumn id="7" name="Portefeuille" dataDxfId="10"/>
    <tableColumn id="9" name="Codop" dataDxfId="9"/>
    <tableColumn id="11" name="Qté nég." dataDxfId="8" dataCellStyle="Milliers"/>
    <tableColumn id="12" name="Cours exéc" dataDxfId="7"/>
    <tableColumn id="13" name="Dev" dataDxfId="6"/>
    <tableColumn id="16" name="Place" dataDxfId="5"/>
    <tableColumn id="17" name="Broker" dataDxfId="4"/>
    <tableColumn id="18" name="Création" dataDxfId="3"/>
    <tableColumn id="20" name="Négociation" dataDxfId="2"/>
    <tableColumn id="26" name="Négociation 2" dataDxfId="1"/>
    <tableColumn id="27" name="Opé qui doit matcher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drawing" Target="../drawings/drawing1.xml"/><Relationship Id="rId3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1"/>
  <sheetViews>
    <sheetView tabSelected="1" workbookViewId="0">
      <selection activeCell="B9" sqref="B9"/>
    </sheetView>
  </sheetViews>
  <sheetFormatPr baseColWidth="10" defaultRowHeight="14" x14ac:dyDescent="0.15"/>
  <cols>
    <col min="1" max="1" width="34.1640625" bestFit="1" customWidth="1"/>
    <col min="2" max="2" width="15.6640625" bestFit="1" customWidth="1"/>
  </cols>
  <sheetData>
    <row r="1" spans="1:2" x14ac:dyDescent="0.15">
      <c r="A1" s="31" t="s">
        <v>1</v>
      </c>
      <c r="B1" t="s">
        <v>152</v>
      </c>
    </row>
    <row r="3" spans="1:2" x14ac:dyDescent="0.15">
      <c r="A3" s="31" t="s">
        <v>153</v>
      </c>
      <c r="B3" t="s">
        <v>151</v>
      </c>
    </row>
    <row r="4" spans="1:2" x14ac:dyDescent="0.15">
      <c r="A4" s="32" t="s">
        <v>129</v>
      </c>
      <c r="B4" s="30">
        <v>22</v>
      </c>
    </row>
    <row r="5" spans="1:2" x14ac:dyDescent="0.15">
      <c r="A5" s="32" t="s">
        <v>87</v>
      </c>
      <c r="B5" s="30">
        <v>9</v>
      </c>
    </row>
    <row r="6" spans="1:2" x14ac:dyDescent="0.15">
      <c r="A6" s="32" t="s">
        <v>90</v>
      </c>
      <c r="B6" s="30">
        <v>14</v>
      </c>
    </row>
    <row r="7" spans="1:2" x14ac:dyDescent="0.15">
      <c r="A7" s="32" t="s">
        <v>92</v>
      </c>
      <c r="B7" s="30">
        <v>12</v>
      </c>
    </row>
    <row r="8" spans="1:2" x14ac:dyDescent="0.15">
      <c r="A8" s="32" t="s">
        <v>136</v>
      </c>
      <c r="B8" s="30">
        <v>7</v>
      </c>
    </row>
    <row r="9" spans="1:2" x14ac:dyDescent="0.15">
      <c r="A9" s="32" t="s">
        <v>94</v>
      </c>
      <c r="B9" s="30">
        <v>19</v>
      </c>
    </row>
    <row r="10" spans="1:2" x14ac:dyDescent="0.15">
      <c r="A10" s="32" t="s">
        <v>71</v>
      </c>
      <c r="B10" s="30">
        <v>1</v>
      </c>
    </row>
    <row r="11" spans="1:2" x14ac:dyDescent="0.15">
      <c r="A11" s="32" t="s">
        <v>45</v>
      </c>
      <c r="B11" s="30">
        <v>16</v>
      </c>
    </row>
    <row r="12" spans="1:2" x14ac:dyDescent="0.15">
      <c r="A12" s="32" t="s">
        <v>63</v>
      </c>
      <c r="B12" s="30">
        <v>7</v>
      </c>
    </row>
    <row r="13" spans="1:2" x14ac:dyDescent="0.15">
      <c r="A13" s="32" t="s">
        <v>55</v>
      </c>
      <c r="B13" s="30">
        <v>9</v>
      </c>
    </row>
    <row r="14" spans="1:2" x14ac:dyDescent="0.15">
      <c r="A14" s="32" t="s">
        <v>96</v>
      </c>
      <c r="B14" s="30">
        <v>9</v>
      </c>
    </row>
    <row r="15" spans="1:2" x14ac:dyDescent="0.15">
      <c r="A15" s="32" t="s">
        <v>98</v>
      </c>
      <c r="B15" s="30">
        <v>8</v>
      </c>
    </row>
    <row r="16" spans="1:2" x14ac:dyDescent="0.15">
      <c r="A16" s="32" t="s">
        <v>133</v>
      </c>
      <c r="B16" s="30">
        <v>5</v>
      </c>
    </row>
    <row r="17" spans="1:2" x14ac:dyDescent="0.15">
      <c r="A17" s="32" t="s">
        <v>100</v>
      </c>
      <c r="B17" s="30">
        <v>16</v>
      </c>
    </row>
    <row r="18" spans="1:2" x14ac:dyDescent="0.15">
      <c r="A18" s="32" t="s">
        <v>83</v>
      </c>
      <c r="B18" s="30">
        <v>4</v>
      </c>
    </row>
    <row r="19" spans="1:2" x14ac:dyDescent="0.15">
      <c r="A19" s="32" t="s">
        <v>16</v>
      </c>
      <c r="B19" s="30">
        <v>5</v>
      </c>
    </row>
    <row r="20" spans="1:2" x14ac:dyDescent="0.15">
      <c r="A20" s="32" t="s">
        <v>102</v>
      </c>
      <c r="B20" s="30">
        <v>13</v>
      </c>
    </row>
    <row r="21" spans="1:2" x14ac:dyDescent="0.15">
      <c r="A21" s="32" t="s">
        <v>18</v>
      </c>
      <c r="B21" s="30">
        <v>6</v>
      </c>
    </row>
    <row r="22" spans="1:2" x14ac:dyDescent="0.15">
      <c r="A22" s="32" t="s">
        <v>20</v>
      </c>
      <c r="B22" s="30">
        <v>18</v>
      </c>
    </row>
    <row r="23" spans="1:2" x14ac:dyDescent="0.15">
      <c r="A23" s="32" t="s">
        <v>38</v>
      </c>
      <c r="B23" s="30">
        <v>7</v>
      </c>
    </row>
    <row r="24" spans="1:2" x14ac:dyDescent="0.15">
      <c r="A24" s="32" t="s">
        <v>79</v>
      </c>
      <c r="B24" s="30">
        <v>1</v>
      </c>
    </row>
    <row r="25" spans="1:2" x14ac:dyDescent="0.15">
      <c r="A25" s="32" t="s">
        <v>57</v>
      </c>
      <c r="B25" s="30">
        <v>18</v>
      </c>
    </row>
    <row r="26" spans="1:2" x14ac:dyDescent="0.15">
      <c r="A26" s="32" t="s">
        <v>22</v>
      </c>
      <c r="B26" s="30">
        <v>11</v>
      </c>
    </row>
    <row r="27" spans="1:2" x14ac:dyDescent="0.15">
      <c r="A27" s="32" t="s">
        <v>127</v>
      </c>
      <c r="B27" s="30">
        <v>13</v>
      </c>
    </row>
    <row r="28" spans="1:2" x14ac:dyDescent="0.15">
      <c r="A28" s="32" t="s">
        <v>81</v>
      </c>
      <c r="B28" s="30">
        <v>2</v>
      </c>
    </row>
    <row r="29" spans="1:2" x14ac:dyDescent="0.15">
      <c r="A29" s="32" t="s">
        <v>104</v>
      </c>
      <c r="B29" s="30">
        <v>15</v>
      </c>
    </row>
    <row r="30" spans="1:2" x14ac:dyDescent="0.15">
      <c r="A30" s="32" t="s">
        <v>24</v>
      </c>
      <c r="B30" s="30">
        <v>5</v>
      </c>
    </row>
    <row r="31" spans="1:2" x14ac:dyDescent="0.15">
      <c r="A31" s="32" t="s">
        <v>106</v>
      </c>
      <c r="B31" s="30">
        <v>7</v>
      </c>
    </row>
    <row r="32" spans="1:2" x14ac:dyDescent="0.15">
      <c r="A32" s="32" t="s">
        <v>27</v>
      </c>
      <c r="B32" s="30">
        <v>11</v>
      </c>
    </row>
    <row r="33" spans="1:2" x14ac:dyDescent="0.15">
      <c r="A33" s="32" t="s">
        <v>76</v>
      </c>
      <c r="B33" s="30">
        <v>1</v>
      </c>
    </row>
    <row r="34" spans="1:2" x14ac:dyDescent="0.15">
      <c r="A34" s="32" t="s">
        <v>29</v>
      </c>
      <c r="B34" s="30">
        <v>7</v>
      </c>
    </row>
    <row r="35" spans="1:2" x14ac:dyDescent="0.15">
      <c r="A35" s="32" t="s">
        <v>42</v>
      </c>
      <c r="B35" s="30">
        <v>23</v>
      </c>
    </row>
    <row r="36" spans="1:2" x14ac:dyDescent="0.15">
      <c r="A36" s="32" t="s">
        <v>108</v>
      </c>
      <c r="B36" s="30">
        <v>7</v>
      </c>
    </row>
    <row r="37" spans="1:2" x14ac:dyDescent="0.15">
      <c r="A37" s="32" t="s">
        <v>65</v>
      </c>
      <c r="B37" s="30">
        <v>1</v>
      </c>
    </row>
    <row r="38" spans="1:2" x14ac:dyDescent="0.15">
      <c r="A38" s="32" t="s">
        <v>110</v>
      </c>
      <c r="B38" s="30">
        <v>9</v>
      </c>
    </row>
    <row r="39" spans="1:2" x14ac:dyDescent="0.15">
      <c r="A39" s="32" t="s">
        <v>112</v>
      </c>
      <c r="B39" s="30">
        <v>27</v>
      </c>
    </row>
    <row r="40" spans="1:2" x14ac:dyDescent="0.15">
      <c r="A40" s="32" t="s">
        <v>114</v>
      </c>
      <c r="B40" s="30">
        <v>15</v>
      </c>
    </row>
    <row r="41" spans="1:2" x14ac:dyDescent="0.15">
      <c r="A41" s="32" t="s">
        <v>116</v>
      </c>
      <c r="B41" s="30">
        <v>10</v>
      </c>
    </row>
    <row r="42" spans="1:2" x14ac:dyDescent="0.15">
      <c r="A42" s="32" t="s">
        <v>69</v>
      </c>
      <c r="B42" s="30">
        <v>6</v>
      </c>
    </row>
    <row r="43" spans="1:2" x14ac:dyDescent="0.15">
      <c r="A43" s="32" t="s">
        <v>31</v>
      </c>
      <c r="B43" s="30">
        <v>5</v>
      </c>
    </row>
    <row r="44" spans="1:2" x14ac:dyDescent="0.15">
      <c r="A44" s="32" t="s">
        <v>118</v>
      </c>
      <c r="B44" s="30">
        <v>11</v>
      </c>
    </row>
    <row r="45" spans="1:2" x14ac:dyDescent="0.15">
      <c r="A45" s="32" t="s">
        <v>120</v>
      </c>
      <c r="B45" s="30">
        <v>20</v>
      </c>
    </row>
    <row r="46" spans="1:2" x14ac:dyDescent="0.15">
      <c r="A46" s="32" t="s">
        <v>33</v>
      </c>
      <c r="B46" s="30">
        <v>10</v>
      </c>
    </row>
    <row r="47" spans="1:2" x14ac:dyDescent="0.15">
      <c r="A47" s="32" t="s">
        <v>122</v>
      </c>
      <c r="B47" s="30">
        <v>8</v>
      </c>
    </row>
    <row r="48" spans="1:2" x14ac:dyDescent="0.15">
      <c r="A48" s="32" t="s">
        <v>35</v>
      </c>
      <c r="B48" s="30">
        <v>9</v>
      </c>
    </row>
    <row r="49" spans="1:2" x14ac:dyDescent="0.15">
      <c r="A49" s="32" t="s">
        <v>59</v>
      </c>
      <c r="B49" s="30">
        <v>7</v>
      </c>
    </row>
    <row r="50" spans="1:2" x14ac:dyDescent="0.15">
      <c r="A50" s="32" t="s">
        <v>124</v>
      </c>
      <c r="B50" s="30">
        <v>7</v>
      </c>
    </row>
    <row r="51" spans="1:2" x14ac:dyDescent="0.15">
      <c r="A51" s="32" t="s">
        <v>154</v>
      </c>
      <c r="B51" s="30">
        <v>473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74"/>
  <sheetViews>
    <sheetView zoomScale="110" zoomScaleNormal="110" zoomScalePageLayoutView="110" workbookViewId="0">
      <pane ySplit="1" topLeftCell="A2" activePane="bottomLeft" state="frozen"/>
      <selection pane="bottomLeft" activeCell="J64" sqref="J64"/>
    </sheetView>
  </sheetViews>
  <sheetFormatPr baseColWidth="10" defaultRowHeight="14" x14ac:dyDescent="0.15"/>
  <cols>
    <col min="1" max="1" width="21.33203125" style="1" bestFit="1" customWidth="1"/>
    <col min="2" max="2" width="16.6640625" style="1" customWidth="1"/>
    <col min="3" max="3" width="43.33203125" style="1" customWidth="1"/>
    <col min="4" max="4" width="15.33203125" style="1" bestFit="1" customWidth="1"/>
    <col min="5" max="5" width="9.6640625" style="1" customWidth="1"/>
    <col min="6" max="6" width="15" style="17" customWidth="1"/>
    <col min="7" max="7" width="13.6640625" style="1" customWidth="1"/>
    <col min="8" max="8" width="6.83203125" style="1" customWidth="1"/>
    <col min="9" max="9" width="11.1640625" style="1" customWidth="1"/>
    <col min="10" max="10" width="29" style="1" customWidth="1"/>
    <col min="11" max="11" width="15.83203125" style="1" customWidth="1"/>
    <col min="12" max="12" width="22" style="1" customWidth="1"/>
    <col min="13" max="13" width="16.6640625" style="1" customWidth="1"/>
    <col min="14" max="14" width="27.5" style="1" customWidth="1"/>
    <col min="15" max="15" width="15" style="1" customWidth="1"/>
    <col min="16" max="16" width="7.83203125" style="1" customWidth="1"/>
    <col min="17" max="16384" width="10.83203125" style="1"/>
  </cols>
  <sheetData>
    <row r="1" spans="1:14" x14ac:dyDescent="0.15">
      <c r="A1" s="6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16" t="s">
        <v>5</v>
      </c>
      <c r="G1" s="7" t="s">
        <v>6</v>
      </c>
      <c r="H1" s="7" t="s">
        <v>7</v>
      </c>
      <c r="I1" s="7" t="s">
        <v>8</v>
      </c>
      <c r="J1" s="7" t="s">
        <v>138</v>
      </c>
      <c r="K1" s="7" t="s">
        <v>9</v>
      </c>
      <c r="L1" s="7" t="s">
        <v>10</v>
      </c>
      <c r="M1" s="10" t="s">
        <v>147</v>
      </c>
      <c r="N1" s="10" t="s">
        <v>149</v>
      </c>
    </row>
    <row r="2" spans="1:14" x14ac:dyDescent="0.15">
      <c r="A2" s="5">
        <v>1800001418000010</v>
      </c>
      <c r="B2" s="2" t="s">
        <v>15</v>
      </c>
      <c r="C2" s="2" t="s">
        <v>16</v>
      </c>
      <c r="D2" s="2" t="s">
        <v>139</v>
      </c>
      <c r="E2" s="2" t="s">
        <v>11</v>
      </c>
      <c r="F2" s="15" t="str">
        <f>"500"</f>
        <v>500</v>
      </c>
      <c r="G2" s="2">
        <v>70.62</v>
      </c>
      <c r="H2" s="2" t="s">
        <v>12</v>
      </c>
      <c r="I2" s="2" t="s">
        <v>13</v>
      </c>
      <c r="J2" s="2" t="s">
        <v>14</v>
      </c>
      <c r="K2" s="3">
        <v>43102.532638888886</v>
      </c>
      <c r="L2" s="3">
        <v>43102.732638888891</v>
      </c>
      <c r="M2" s="9">
        <v>43102</v>
      </c>
      <c r="N2" s="12"/>
    </row>
    <row r="3" spans="1:14" x14ac:dyDescent="0.15">
      <c r="A3" s="5">
        <v>1800001518000010</v>
      </c>
      <c r="B3" s="2" t="s">
        <v>17</v>
      </c>
      <c r="C3" s="2" t="s">
        <v>18</v>
      </c>
      <c r="D3" s="2" t="s">
        <v>139</v>
      </c>
      <c r="E3" s="2" t="s">
        <v>11</v>
      </c>
      <c r="F3" s="15" t="str">
        <f>"500"</f>
        <v>500</v>
      </c>
      <c r="G3" s="2">
        <v>95.86</v>
      </c>
      <c r="H3" s="2" t="s">
        <v>12</v>
      </c>
      <c r="I3" s="2" t="s">
        <v>13</v>
      </c>
      <c r="J3" s="2" t="s">
        <v>14</v>
      </c>
      <c r="K3" s="3">
        <v>43102.532638888886</v>
      </c>
      <c r="L3" s="3">
        <v>43102.732638888891</v>
      </c>
      <c r="M3" s="8">
        <v>43102</v>
      </c>
      <c r="N3" s="13"/>
    </row>
    <row r="4" spans="1:14" x14ac:dyDescent="0.15">
      <c r="A4" s="5">
        <v>1800001618000010</v>
      </c>
      <c r="B4" s="2" t="s">
        <v>19</v>
      </c>
      <c r="C4" s="2" t="s">
        <v>20</v>
      </c>
      <c r="D4" s="2" t="s">
        <v>139</v>
      </c>
      <c r="E4" s="2" t="s">
        <v>11</v>
      </c>
      <c r="F4" s="15" t="str">
        <f>"1600"</f>
        <v>1600</v>
      </c>
      <c r="G4" s="2">
        <v>14.824999999999999</v>
      </c>
      <c r="H4" s="2" t="s">
        <v>12</v>
      </c>
      <c r="I4" s="2" t="s">
        <v>13</v>
      </c>
      <c r="J4" s="2" t="s">
        <v>14</v>
      </c>
      <c r="K4" s="3">
        <v>43102.532638888886</v>
      </c>
      <c r="L4" s="3">
        <v>43102.732638888891</v>
      </c>
      <c r="M4" s="8">
        <v>43102</v>
      </c>
      <c r="N4" s="13"/>
    </row>
    <row r="5" spans="1:14" x14ac:dyDescent="0.15">
      <c r="A5" s="5">
        <v>1800001718000010</v>
      </c>
      <c r="B5" s="2" t="s">
        <v>21</v>
      </c>
      <c r="C5" s="2" t="s">
        <v>22</v>
      </c>
      <c r="D5" s="2" t="s">
        <v>139</v>
      </c>
      <c r="E5" s="2" t="s">
        <v>11</v>
      </c>
      <c r="F5" s="15" t="str">
        <f>"400"</f>
        <v>400</v>
      </c>
      <c r="G5" s="2">
        <v>108.95</v>
      </c>
      <c r="H5" s="2" t="s">
        <v>12</v>
      </c>
      <c r="I5" s="2" t="s">
        <v>13</v>
      </c>
      <c r="J5" s="2" t="s">
        <v>14</v>
      </c>
      <c r="K5" s="3">
        <v>43102.532638888886</v>
      </c>
      <c r="L5" s="3">
        <v>43102.732638888891</v>
      </c>
      <c r="M5" s="8">
        <v>43102</v>
      </c>
      <c r="N5" s="13"/>
    </row>
    <row r="6" spans="1:14" x14ac:dyDescent="0.15">
      <c r="A6" s="5">
        <v>1800001818000010</v>
      </c>
      <c r="B6" s="2" t="s">
        <v>23</v>
      </c>
      <c r="C6" s="2" t="s">
        <v>24</v>
      </c>
      <c r="D6" s="2" t="s">
        <v>139</v>
      </c>
      <c r="E6" s="2" t="s">
        <v>11</v>
      </c>
      <c r="F6" s="15" t="str">
        <f>"300"</f>
        <v>300</v>
      </c>
      <c r="G6" s="2">
        <v>93.25</v>
      </c>
      <c r="H6" s="2" t="s">
        <v>12</v>
      </c>
      <c r="I6" s="2" t="s">
        <v>25</v>
      </c>
      <c r="J6" s="2" t="s">
        <v>14</v>
      </c>
      <c r="K6" s="3">
        <v>43102.532638888886</v>
      </c>
      <c r="L6" s="3">
        <v>43102.729166666664</v>
      </c>
      <c r="M6" s="8">
        <v>43102</v>
      </c>
      <c r="N6" s="13"/>
    </row>
    <row r="7" spans="1:14" x14ac:dyDescent="0.15">
      <c r="A7" s="5">
        <v>1800001918000010</v>
      </c>
      <c r="B7" s="2" t="s">
        <v>26</v>
      </c>
      <c r="C7" s="2" t="s">
        <v>27</v>
      </c>
      <c r="D7" s="2" t="s">
        <v>139</v>
      </c>
      <c r="E7" s="2" t="s">
        <v>11</v>
      </c>
      <c r="F7" s="15" t="str">
        <f>"400"</f>
        <v>400</v>
      </c>
      <c r="G7" s="2">
        <v>89.98</v>
      </c>
      <c r="H7" s="2" t="s">
        <v>12</v>
      </c>
      <c r="I7" s="2" t="s">
        <v>13</v>
      </c>
      <c r="J7" s="2" t="s">
        <v>14</v>
      </c>
      <c r="K7" s="3">
        <v>43102.532638888886</v>
      </c>
      <c r="L7" s="3">
        <v>43102.732638888891</v>
      </c>
      <c r="M7" s="8">
        <v>43102</v>
      </c>
      <c r="N7" s="13"/>
    </row>
    <row r="8" spans="1:14" x14ac:dyDescent="0.15">
      <c r="A8" s="5">
        <v>1800002018000020</v>
      </c>
      <c r="B8" s="2" t="s">
        <v>28</v>
      </c>
      <c r="C8" s="2" t="s">
        <v>29</v>
      </c>
      <c r="D8" s="2" t="s">
        <v>139</v>
      </c>
      <c r="E8" s="2" t="s">
        <v>11</v>
      </c>
      <c r="F8" s="15" t="str">
        <f>"100"</f>
        <v>100</v>
      </c>
      <c r="G8" s="2">
        <v>180.2</v>
      </c>
      <c r="H8" s="2" t="s">
        <v>12</v>
      </c>
      <c r="I8" s="2" t="s">
        <v>13</v>
      </c>
      <c r="J8" s="2" t="s">
        <v>14</v>
      </c>
      <c r="K8" s="3">
        <v>43102.532638888886</v>
      </c>
      <c r="L8" s="3">
        <v>43102.732638888891</v>
      </c>
      <c r="M8" s="8">
        <v>43102</v>
      </c>
      <c r="N8" s="13"/>
    </row>
    <row r="9" spans="1:14" x14ac:dyDescent="0.15">
      <c r="A9" s="5">
        <v>1800002118000020</v>
      </c>
      <c r="B9" s="2" t="s">
        <v>30</v>
      </c>
      <c r="C9" s="2" t="s">
        <v>31</v>
      </c>
      <c r="D9" s="2" t="s">
        <v>139</v>
      </c>
      <c r="E9" s="2" t="s">
        <v>11</v>
      </c>
      <c r="F9" s="15" t="str">
        <f>"1300"</f>
        <v>1300</v>
      </c>
      <c r="G9" s="2">
        <v>15.045</v>
      </c>
      <c r="H9" s="2" t="s">
        <v>12</v>
      </c>
      <c r="I9" s="2" t="s">
        <v>25</v>
      </c>
      <c r="J9" s="2" t="s">
        <v>14</v>
      </c>
      <c r="K9" s="3">
        <v>43102.532638888886</v>
      </c>
      <c r="L9" s="3">
        <v>43102.729166666664</v>
      </c>
      <c r="M9" s="8">
        <v>43102</v>
      </c>
      <c r="N9" s="13"/>
    </row>
    <row r="10" spans="1:14" x14ac:dyDescent="0.15">
      <c r="A10" s="5">
        <v>1800002218000020</v>
      </c>
      <c r="B10" s="2" t="s">
        <v>32</v>
      </c>
      <c r="C10" s="2" t="s">
        <v>33</v>
      </c>
      <c r="D10" s="2" t="s">
        <v>139</v>
      </c>
      <c r="E10" s="2" t="s">
        <v>11</v>
      </c>
      <c r="F10" s="15" t="str">
        <f>"700"</f>
        <v>700</v>
      </c>
      <c r="G10" s="2">
        <v>92.8</v>
      </c>
      <c r="H10" s="2" t="s">
        <v>12</v>
      </c>
      <c r="I10" s="2" t="s">
        <v>13</v>
      </c>
      <c r="J10" s="2" t="s">
        <v>14</v>
      </c>
      <c r="K10" s="3">
        <v>43102.532638888886</v>
      </c>
      <c r="L10" s="3">
        <v>43102.732638888891</v>
      </c>
      <c r="M10" s="8">
        <v>43102</v>
      </c>
      <c r="N10" s="13"/>
    </row>
    <row r="11" spans="1:14" x14ac:dyDescent="0.15">
      <c r="A11" s="5">
        <v>1800002318000020</v>
      </c>
      <c r="B11" s="2" t="s">
        <v>34</v>
      </c>
      <c r="C11" s="2" t="s">
        <v>35</v>
      </c>
      <c r="D11" s="2" t="s">
        <v>139</v>
      </c>
      <c r="E11" s="2" t="s">
        <v>11</v>
      </c>
      <c r="F11" s="15" t="str">
        <f>"400"</f>
        <v>400</v>
      </c>
      <c r="G11" s="2">
        <v>115.24</v>
      </c>
      <c r="H11" s="2" t="s">
        <v>12</v>
      </c>
      <c r="I11" s="2" t="s">
        <v>13</v>
      </c>
      <c r="J11" s="2" t="s">
        <v>14</v>
      </c>
      <c r="K11" s="3">
        <v>43102.532638888886</v>
      </c>
      <c r="L11" s="3">
        <v>43102.732638888891</v>
      </c>
      <c r="M11" s="8">
        <v>43102</v>
      </c>
      <c r="N11" s="13"/>
    </row>
    <row r="12" spans="1:14" x14ac:dyDescent="0.15">
      <c r="A12" s="5">
        <v>1800003018000030</v>
      </c>
      <c r="B12" s="2" t="s">
        <v>17</v>
      </c>
      <c r="C12" s="2" t="s">
        <v>18</v>
      </c>
      <c r="D12" s="2" t="s">
        <v>140</v>
      </c>
      <c r="E12" s="2" t="s">
        <v>11</v>
      </c>
      <c r="F12" s="15" t="str">
        <f>"600"</f>
        <v>600</v>
      </c>
      <c r="G12" s="2">
        <v>95.86</v>
      </c>
      <c r="H12" s="2" t="s">
        <v>12</v>
      </c>
      <c r="I12" s="2" t="s">
        <v>13</v>
      </c>
      <c r="J12" s="2" t="s">
        <v>36</v>
      </c>
      <c r="K12" s="3">
        <v>43102.676388888889</v>
      </c>
      <c r="L12" s="3">
        <v>43102.732638888891</v>
      </c>
      <c r="M12" s="8">
        <v>43102</v>
      </c>
      <c r="N12" s="13"/>
    </row>
    <row r="13" spans="1:14" x14ac:dyDescent="0.15">
      <c r="A13" s="5">
        <v>1800003118000030</v>
      </c>
      <c r="B13" s="2" t="s">
        <v>19</v>
      </c>
      <c r="C13" s="2" t="s">
        <v>20</v>
      </c>
      <c r="D13" s="2" t="s">
        <v>140</v>
      </c>
      <c r="E13" s="2" t="s">
        <v>11</v>
      </c>
      <c r="F13" s="15" t="str">
        <f>"7100"</f>
        <v>7100</v>
      </c>
      <c r="G13" s="2">
        <v>14.824999999999999</v>
      </c>
      <c r="H13" s="2" t="s">
        <v>12</v>
      </c>
      <c r="I13" s="2" t="s">
        <v>13</v>
      </c>
      <c r="J13" s="2" t="s">
        <v>36</v>
      </c>
      <c r="K13" s="3">
        <v>43102.676388888889</v>
      </c>
      <c r="L13" s="3">
        <v>43102.732638888891</v>
      </c>
      <c r="M13" s="8">
        <v>43102</v>
      </c>
      <c r="N13" s="13"/>
    </row>
    <row r="14" spans="1:14" x14ac:dyDescent="0.15">
      <c r="A14" s="5">
        <v>1800003218000030</v>
      </c>
      <c r="B14" s="2" t="s">
        <v>37</v>
      </c>
      <c r="C14" s="2" t="s">
        <v>38</v>
      </c>
      <c r="D14" s="2" t="s">
        <v>140</v>
      </c>
      <c r="E14" s="2" t="s">
        <v>11</v>
      </c>
      <c r="F14" s="15" t="str">
        <f>"2400"</f>
        <v>2400</v>
      </c>
      <c r="G14" s="2">
        <v>23.73</v>
      </c>
      <c r="H14" s="2" t="s">
        <v>12</v>
      </c>
      <c r="I14" s="2" t="s">
        <v>39</v>
      </c>
      <c r="J14" s="2" t="s">
        <v>36</v>
      </c>
      <c r="K14" s="3">
        <v>43102.676388888889</v>
      </c>
      <c r="L14" s="3">
        <v>43102.732638888891</v>
      </c>
      <c r="M14" s="8">
        <v>43102</v>
      </c>
      <c r="N14" s="13"/>
    </row>
    <row r="15" spans="1:14" x14ac:dyDescent="0.15">
      <c r="A15" s="5">
        <v>1800003318000030</v>
      </c>
      <c r="B15" s="2" t="s">
        <v>21</v>
      </c>
      <c r="C15" s="2" t="s">
        <v>22</v>
      </c>
      <c r="D15" s="2" t="s">
        <v>140</v>
      </c>
      <c r="E15" s="2" t="s">
        <v>11</v>
      </c>
      <c r="F15" s="15" t="str">
        <f>"1000"</f>
        <v>1000</v>
      </c>
      <c r="G15" s="2">
        <v>108.95</v>
      </c>
      <c r="H15" s="2" t="s">
        <v>12</v>
      </c>
      <c r="I15" s="2" t="s">
        <v>13</v>
      </c>
      <c r="J15" s="2" t="s">
        <v>36</v>
      </c>
      <c r="K15" s="3">
        <v>43102.676388888889</v>
      </c>
      <c r="L15" s="3">
        <v>43102.732638888891</v>
      </c>
      <c r="M15" s="8">
        <v>43102</v>
      </c>
      <c r="N15" s="13"/>
    </row>
    <row r="16" spans="1:14" x14ac:dyDescent="0.15">
      <c r="A16" s="5">
        <v>1800003618000030</v>
      </c>
      <c r="B16" s="2" t="s">
        <v>26</v>
      </c>
      <c r="C16" s="2" t="s">
        <v>27</v>
      </c>
      <c r="D16" s="2" t="s">
        <v>140</v>
      </c>
      <c r="E16" s="2" t="s">
        <v>11</v>
      </c>
      <c r="F16" s="15" t="str">
        <f>"1100"</f>
        <v>1100</v>
      </c>
      <c r="G16" s="2">
        <v>89.98</v>
      </c>
      <c r="H16" s="2" t="s">
        <v>12</v>
      </c>
      <c r="I16" s="2" t="s">
        <v>13</v>
      </c>
      <c r="J16" s="2" t="s">
        <v>36</v>
      </c>
      <c r="K16" s="3">
        <v>43102.676388888889</v>
      </c>
      <c r="L16" s="3">
        <v>43102.732638888891</v>
      </c>
      <c r="M16" s="8">
        <v>43102</v>
      </c>
      <c r="N16" s="13"/>
    </row>
    <row r="17" spans="1:14" x14ac:dyDescent="0.15">
      <c r="A17" s="5">
        <v>1800003718000030</v>
      </c>
      <c r="B17" s="2" t="s">
        <v>28</v>
      </c>
      <c r="C17" s="2" t="s">
        <v>29</v>
      </c>
      <c r="D17" s="2" t="s">
        <v>140</v>
      </c>
      <c r="E17" s="2" t="s">
        <v>11</v>
      </c>
      <c r="F17" s="15" t="str">
        <f>"300"</f>
        <v>300</v>
      </c>
      <c r="G17" s="2">
        <v>180.2</v>
      </c>
      <c r="H17" s="2" t="s">
        <v>12</v>
      </c>
      <c r="I17" s="2" t="s">
        <v>13</v>
      </c>
      <c r="J17" s="2" t="s">
        <v>36</v>
      </c>
      <c r="K17" s="3">
        <v>43102.676388888889</v>
      </c>
      <c r="L17" s="3">
        <v>43102.732638888891</v>
      </c>
      <c r="M17" s="8">
        <v>43102</v>
      </c>
      <c r="N17" s="13"/>
    </row>
    <row r="18" spans="1:14" x14ac:dyDescent="0.15">
      <c r="A18" s="5">
        <v>1800003818000030</v>
      </c>
      <c r="B18" s="2" t="s">
        <v>41</v>
      </c>
      <c r="C18" s="2" t="s">
        <v>42</v>
      </c>
      <c r="D18" s="2" t="s">
        <v>140</v>
      </c>
      <c r="E18" s="2" t="s">
        <v>11</v>
      </c>
      <c r="F18" s="15" t="str">
        <f>"15200"</f>
        <v>15200</v>
      </c>
      <c r="G18" s="2">
        <v>3.9089999999999998</v>
      </c>
      <c r="H18" s="2" t="s">
        <v>12</v>
      </c>
      <c r="I18" s="2" t="s">
        <v>43</v>
      </c>
      <c r="J18" s="2" t="s">
        <v>36</v>
      </c>
      <c r="K18" s="3">
        <v>43102.676388888889</v>
      </c>
      <c r="L18" s="3">
        <v>43102.728472222225</v>
      </c>
      <c r="M18" s="8">
        <v>43102</v>
      </c>
      <c r="N18" s="13"/>
    </row>
    <row r="19" spans="1:14" x14ac:dyDescent="0.15">
      <c r="A19" s="5">
        <v>1800003918000030</v>
      </c>
      <c r="B19" s="2" t="s">
        <v>32</v>
      </c>
      <c r="C19" s="2" t="s">
        <v>33</v>
      </c>
      <c r="D19" s="2" t="s">
        <v>140</v>
      </c>
      <c r="E19" s="2" t="s">
        <v>11</v>
      </c>
      <c r="F19" s="15" t="str">
        <f>"1700"</f>
        <v>1700</v>
      </c>
      <c r="G19" s="2">
        <v>92.8</v>
      </c>
      <c r="H19" s="2" t="s">
        <v>12</v>
      </c>
      <c r="I19" s="2" t="s">
        <v>13</v>
      </c>
      <c r="J19" s="2" t="s">
        <v>36</v>
      </c>
      <c r="K19" s="3">
        <v>43102.676388888889</v>
      </c>
      <c r="L19" s="3">
        <v>43102.732638888891</v>
      </c>
      <c r="M19" s="8">
        <v>43102</v>
      </c>
      <c r="N19" s="13"/>
    </row>
    <row r="20" spans="1:14" x14ac:dyDescent="0.15">
      <c r="A20" s="5">
        <v>1800004018000040</v>
      </c>
      <c r="B20" s="2" t="s">
        <v>34</v>
      </c>
      <c r="C20" s="2" t="s">
        <v>35</v>
      </c>
      <c r="D20" s="2" t="s">
        <v>140</v>
      </c>
      <c r="E20" s="2" t="s">
        <v>11</v>
      </c>
      <c r="F20" s="15" t="str">
        <f>"1400"</f>
        <v>1400</v>
      </c>
      <c r="G20" s="2">
        <v>115.24</v>
      </c>
      <c r="H20" s="2" t="s">
        <v>12</v>
      </c>
      <c r="I20" s="2" t="s">
        <v>13</v>
      </c>
      <c r="J20" s="2" t="s">
        <v>36</v>
      </c>
      <c r="K20" s="3">
        <v>43102.676388888889</v>
      </c>
      <c r="L20" s="3">
        <v>43102.732638888891</v>
      </c>
      <c r="M20" s="8">
        <v>43102</v>
      </c>
      <c r="N20" s="13"/>
    </row>
    <row r="21" spans="1:14" x14ac:dyDescent="0.15">
      <c r="A21" s="5">
        <v>1800004918000040</v>
      </c>
      <c r="B21" s="2" t="s">
        <v>44</v>
      </c>
      <c r="C21" s="2" t="s">
        <v>45</v>
      </c>
      <c r="D21" s="2" t="s">
        <v>141</v>
      </c>
      <c r="E21" s="2" t="s">
        <v>11</v>
      </c>
      <c r="F21" s="15" t="str">
        <f>"30000"</f>
        <v>30000</v>
      </c>
      <c r="G21" s="2">
        <v>2.6198000000000001</v>
      </c>
      <c r="H21" s="2" t="s">
        <v>12</v>
      </c>
      <c r="I21" s="2" t="s">
        <v>40</v>
      </c>
      <c r="J21" s="2" t="s">
        <v>46</v>
      </c>
      <c r="K21" s="3">
        <v>43103.418749999997</v>
      </c>
      <c r="L21" s="3">
        <v>43103.424305555556</v>
      </c>
      <c r="M21" s="8">
        <v>43103</v>
      </c>
      <c r="N21" s="13"/>
    </row>
    <row r="22" spans="1:14" x14ac:dyDescent="0.15">
      <c r="A22" s="5">
        <v>1800011718000110</v>
      </c>
      <c r="B22" s="2" t="s">
        <v>41</v>
      </c>
      <c r="C22" s="2" t="s">
        <v>42</v>
      </c>
      <c r="D22" s="2" t="s">
        <v>141</v>
      </c>
      <c r="E22" s="2" t="s">
        <v>47</v>
      </c>
      <c r="F22" s="15" t="str">
        <f>"20000"</f>
        <v>20000</v>
      </c>
      <c r="G22" s="2">
        <v>4.1005000000000003</v>
      </c>
      <c r="H22" s="2" t="s">
        <v>12</v>
      </c>
      <c r="I22" s="2" t="s">
        <v>43</v>
      </c>
      <c r="J22" s="2" t="s">
        <v>51</v>
      </c>
      <c r="K22" s="3">
        <v>43108.429166666669</v>
      </c>
      <c r="L22" s="3">
        <v>43108.441666666666</v>
      </c>
      <c r="M22" s="8">
        <v>43108</v>
      </c>
      <c r="N22" s="13"/>
    </row>
    <row r="23" spans="1:14" x14ac:dyDescent="0.15">
      <c r="A23" s="5">
        <v>1800017418000170</v>
      </c>
      <c r="B23" s="2" t="s">
        <v>32</v>
      </c>
      <c r="C23" s="2" t="s">
        <v>33</v>
      </c>
      <c r="D23" s="2" t="s">
        <v>141</v>
      </c>
      <c r="E23" s="2" t="s">
        <v>11</v>
      </c>
      <c r="F23" s="15" t="str">
        <f>"1000"</f>
        <v>1000</v>
      </c>
      <c r="G23" s="2">
        <v>95.41</v>
      </c>
      <c r="H23" s="2" t="s">
        <v>12</v>
      </c>
      <c r="I23" s="2" t="s">
        <v>13</v>
      </c>
      <c r="J23" s="2" t="s">
        <v>51</v>
      </c>
      <c r="K23" s="3">
        <v>43109.717361111114</v>
      </c>
      <c r="L23" s="3">
        <v>43109.732638888891</v>
      </c>
      <c r="M23" s="8">
        <v>43109</v>
      </c>
      <c r="N23" s="13"/>
    </row>
    <row r="24" spans="1:14" x14ac:dyDescent="0.15">
      <c r="A24" s="5">
        <v>1800017518000170</v>
      </c>
      <c r="B24" s="2" t="s">
        <v>58</v>
      </c>
      <c r="C24" s="2" t="s">
        <v>59</v>
      </c>
      <c r="D24" s="2" t="s">
        <v>141</v>
      </c>
      <c r="E24" s="2" t="s">
        <v>11</v>
      </c>
      <c r="F24" s="15" t="str">
        <f>"10000"</f>
        <v>10000</v>
      </c>
      <c r="G24" s="2">
        <v>8.3729999999999993</v>
      </c>
      <c r="H24" s="2" t="s">
        <v>12</v>
      </c>
      <c r="I24" s="2" t="s">
        <v>39</v>
      </c>
      <c r="J24" s="2" t="s">
        <v>51</v>
      </c>
      <c r="K24" s="3">
        <v>43109.717361111114</v>
      </c>
      <c r="L24" s="3">
        <v>43109.732638888891</v>
      </c>
      <c r="M24" s="8">
        <v>43109</v>
      </c>
      <c r="N24" s="13"/>
    </row>
    <row r="25" spans="1:14" x14ac:dyDescent="0.15">
      <c r="A25" s="5">
        <v>1800017618000170</v>
      </c>
      <c r="B25" s="2" t="s">
        <v>62</v>
      </c>
      <c r="C25" s="2" t="s">
        <v>63</v>
      </c>
      <c r="D25" s="2" t="s">
        <v>141</v>
      </c>
      <c r="E25" s="2" t="s">
        <v>47</v>
      </c>
      <c r="F25" s="15" t="str">
        <f>"100000"</f>
        <v>100000</v>
      </c>
      <c r="G25" s="2">
        <v>1.8069999999999999</v>
      </c>
      <c r="H25" s="2" t="s">
        <v>12</v>
      </c>
      <c r="I25" s="2" t="s">
        <v>39</v>
      </c>
      <c r="J25" s="2" t="s">
        <v>61</v>
      </c>
      <c r="K25" s="3">
        <v>43110.402083333334</v>
      </c>
      <c r="L25" s="3">
        <v>43110.404166666667</v>
      </c>
      <c r="M25" s="8">
        <v>43110</v>
      </c>
      <c r="N25" s="13"/>
    </row>
    <row r="26" spans="1:14" x14ac:dyDescent="0.15">
      <c r="A26" s="5">
        <v>1800019418000190</v>
      </c>
      <c r="B26" s="2" t="s">
        <v>15</v>
      </c>
      <c r="C26" s="2" t="s">
        <v>16</v>
      </c>
      <c r="D26" s="2" t="s">
        <v>142</v>
      </c>
      <c r="E26" s="2" t="s">
        <v>11</v>
      </c>
      <c r="F26" s="15" t="str">
        <f>"4600"</f>
        <v>4600</v>
      </c>
      <c r="G26" s="2">
        <v>74.150000000000006</v>
      </c>
      <c r="H26" s="2" t="s">
        <v>12</v>
      </c>
      <c r="I26" s="2" t="s">
        <v>13</v>
      </c>
      <c r="J26" s="2" t="s">
        <v>14</v>
      </c>
      <c r="K26" s="3">
        <v>43110.609722222223</v>
      </c>
      <c r="L26" s="3">
        <v>43110.732638888891</v>
      </c>
      <c r="M26" s="8">
        <v>43110</v>
      </c>
      <c r="N26" s="13"/>
    </row>
    <row r="27" spans="1:14" x14ac:dyDescent="0.15">
      <c r="A27" s="5">
        <v>1800019518000190</v>
      </c>
      <c r="B27" s="2" t="s">
        <v>19</v>
      </c>
      <c r="C27" s="2" t="s">
        <v>20</v>
      </c>
      <c r="D27" s="2" t="s">
        <v>142</v>
      </c>
      <c r="E27" s="2" t="s">
        <v>11</v>
      </c>
      <c r="F27" s="15" t="str">
        <f>"25500"</f>
        <v>25500</v>
      </c>
      <c r="G27" s="2">
        <v>14.74</v>
      </c>
      <c r="H27" s="2" t="s">
        <v>12</v>
      </c>
      <c r="I27" s="2" t="s">
        <v>13</v>
      </c>
      <c r="J27" s="2" t="s">
        <v>14</v>
      </c>
      <c r="K27" s="3">
        <v>43110.609722222223</v>
      </c>
      <c r="L27" s="3">
        <v>43110.732638888891</v>
      </c>
      <c r="M27" s="8">
        <v>43110</v>
      </c>
      <c r="N27" s="13"/>
    </row>
    <row r="28" spans="1:14" x14ac:dyDescent="0.15">
      <c r="A28" s="5">
        <v>1800019618000190</v>
      </c>
      <c r="B28" s="2" t="s">
        <v>37</v>
      </c>
      <c r="C28" s="2" t="s">
        <v>38</v>
      </c>
      <c r="D28" s="2" t="s">
        <v>142</v>
      </c>
      <c r="E28" s="2" t="s">
        <v>11</v>
      </c>
      <c r="F28" s="15" t="str">
        <f>"7500"</f>
        <v>7500</v>
      </c>
      <c r="G28" s="2">
        <v>23.7</v>
      </c>
      <c r="H28" s="2" t="s">
        <v>12</v>
      </c>
      <c r="I28" s="2" t="s">
        <v>39</v>
      </c>
      <c r="J28" s="2" t="s">
        <v>14</v>
      </c>
      <c r="K28" s="3">
        <v>43110.609722222223</v>
      </c>
      <c r="L28" s="3">
        <v>43110.732638888891</v>
      </c>
      <c r="M28" s="8">
        <v>43110</v>
      </c>
      <c r="N28" s="13"/>
    </row>
    <row r="29" spans="1:14" x14ac:dyDescent="0.15">
      <c r="A29" s="5">
        <v>1800019718000190</v>
      </c>
      <c r="B29" s="2" t="s">
        <v>56</v>
      </c>
      <c r="C29" s="2" t="s">
        <v>57</v>
      </c>
      <c r="D29" s="2" t="s">
        <v>142</v>
      </c>
      <c r="E29" s="2" t="s">
        <v>11</v>
      </c>
      <c r="F29" s="15" t="str">
        <f>"9000"</f>
        <v>9000</v>
      </c>
      <c r="G29" s="2">
        <v>19.59</v>
      </c>
      <c r="H29" s="2" t="s">
        <v>12</v>
      </c>
      <c r="I29" s="2" t="s">
        <v>39</v>
      </c>
      <c r="J29" s="2" t="s">
        <v>14</v>
      </c>
      <c r="K29" s="3">
        <v>43110.609722222223</v>
      </c>
      <c r="L29" s="3">
        <v>43110.732638888891</v>
      </c>
      <c r="M29" s="8">
        <v>43110</v>
      </c>
      <c r="N29" s="13"/>
    </row>
    <row r="30" spans="1:14" x14ac:dyDescent="0.15">
      <c r="A30" s="5">
        <v>1800019818000190</v>
      </c>
      <c r="B30" s="2" t="s">
        <v>21</v>
      </c>
      <c r="C30" s="2" t="s">
        <v>22</v>
      </c>
      <c r="D30" s="2" t="s">
        <v>142</v>
      </c>
      <c r="E30" s="2" t="s">
        <v>11</v>
      </c>
      <c r="F30" s="15" t="str">
        <f>"2300"</f>
        <v>2300</v>
      </c>
      <c r="G30" s="2">
        <v>112.7</v>
      </c>
      <c r="H30" s="2" t="s">
        <v>12</v>
      </c>
      <c r="I30" s="2" t="s">
        <v>13</v>
      </c>
      <c r="J30" s="2" t="s">
        <v>14</v>
      </c>
      <c r="K30" s="3">
        <v>43110.609722222223</v>
      </c>
      <c r="L30" s="3">
        <v>43110.732638888891</v>
      </c>
      <c r="M30" s="8">
        <v>43110</v>
      </c>
      <c r="N30" s="13"/>
    </row>
    <row r="31" spans="1:14" x14ac:dyDescent="0.15">
      <c r="A31" s="5">
        <v>1800019918000190</v>
      </c>
      <c r="B31" s="2" t="s">
        <v>23</v>
      </c>
      <c r="C31" s="2" t="s">
        <v>24</v>
      </c>
      <c r="D31" s="2" t="s">
        <v>142</v>
      </c>
      <c r="E31" s="2" t="s">
        <v>11</v>
      </c>
      <c r="F31" s="15" t="str">
        <f>"4700"</f>
        <v>4700</v>
      </c>
      <c r="G31" s="2">
        <v>88.75</v>
      </c>
      <c r="H31" s="2" t="s">
        <v>12</v>
      </c>
      <c r="I31" s="2" t="s">
        <v>25</v>
      </c>
      <c r="J31" s="2" t="s">
        <v>14</v>
      </c>
      <c r="K31" s="3">
        <v>43110.609722222223</v>
      </c>
      <c r="L31" s="3">
        <v>43110.729166666664</v>
      </c>
      <c r="M31" s="8">
        <v>43110</v>
      </c>
      <c r="N31" s="13"/>
    </row>
    <row r="32" spans="1:14" x14ac:dyDescent="0.15">
      <c r="A32" s="5">
        <v>1800020118000200</v>
      </c>
      <c r="B32" s="2" t="s">
        <v>26</v>
      </c>
      <c r="C32" s="2" t="s">
        <v>27</v>
      </c>
      <c r="D32" s="2" t="s">
        <v>142</v>
      </c>
      <c r="E32" s="2" t="s">
        <v>11</v>
      </c>
      <c r="F32" s="15" t="str">
        <f>"3700"</f>
        <v>3700</v>
      </c>
      <c r="G32" s="2">
        <v>92.7</v>
      </c>
      <c r="H32" s="2" t="s">
        <v>12</v>
      </c>
      <c r="I32" s="2" t="s">
        <v>13</v>
      </c>
      <c r="J32" s="2" t="s">
        <v>14</v>
      </c>
      <c r="K32" s="3">
        <v>43110.609722222223</v>
      </c>
      <c r="L32" s="3">
        <v>43110.732638888891</v>
      </c>
      <c r="M32" s="8">
        <v>43110</v>
      </c>
      <c r="N32" s="13"/>
    </row>
    <row r="33" spans="1:14" x14ac:dyDescent="0.15">
      <c r="A33" s="5">
        <v>1800020218000200</v>
      </c>
      <c r="B33" s="2" t="s">
        <v>28</v>
      </c>
      <c r="C33" s="2" t="s">
        <v>29</v>
      </c>
      <c r="D33" s="2" t="s">
        <v>142</v>
      </c>
      <c r="E33" s="2" t="s">
        <v>11</v>
      </c>
      <c r="F33" s="15" t="str">
        <f>"1400"</f>
        <v>1400</v>
      </c>
      <c r="G33" s="2">
        <v>185.95</v>
      </c>
      <c r="H33" s="2" t="s">
        <v>12</v>
      </c>
      <c r="I33" s="2" t="s">
        <v>13</v>
      </c>
      <c r="J33" s="2" t="s">
        <v>14</v>
      </c>
      <c r="K33" s="3">
        <v>43110.609722222223</v>
      </c>
      <c r="L33" s="3">
        <v>43110.732638888891</v>
      </c>
      <c r="M33" s="8">
        <v>43110</v>
      </c>
      <c r="N33" s="13"/>
    </row>
    <row r="34" spans="1:14" x14ac:dyDescent="0.15">
      <c r="A34" s="5">
        <v>1800020318000200</v>
      </c>
      <c r="B34" s="2" t="s">
        <v>41</v>
      </c>
      <c r="C34" s="2" t="s">
        <v>42</v>
      </c>
      <c r="D34" s="2" t="s">
        <v>142</v>
      </c>
      <c r="E34" s="2" t="s">
        <v>11</v>
      </c>
      <c r="F34" s="15" t="str">
        <f>"46000"</f>
        <v>46000</v>
      </c>
      <c r="G34" s="2">
        <v>4.0279999999999996</v>
      </c>
      <c r="H34" s="2" t="s">
        <v>12</v>
      </c>
      <c r="I34" s="2" t="s">
        <v>43</v>
      </c>
      <c r="J34" s="2" t="s">
        <v>14</v>
      </c>
      <c r="K34" s="3">
        <v>43110.609722222223</v>
      </c>
      <c r="L34" s="3">
        <v>43110.728472222225</v>
      </c>
      <c r="M34" s="8">
        <v>43110</v>
      </c>
      <c r="N34" s="13"/>
    </row>
    <row r="35" spans="1:14" x14ac:dyDescent="0.15">
      <c r="A35" s="5">
        <v>1800020418000200</v>
      </c>
      <c r="B35" s="2" t="s">
        <v>64</v>
      </c>
      <c r="C35" s="2" t="s">
        <v>65</v>
      </c>
      <c r="D35" s="2" t="s">
        <v>142</v>
      </c>
      <c r="E35" s="2" t="s">
        <v>11</v>
      </c>
      <c r="F35" s="15" t="str">
        <f>"80000"</f>
        <v>80000</v>
      </c>
      <c r="G35" s="2">
        <v>7.98</v>
      </c>
      <c r="H35" s="2" t="s">
        <v>12</v>
      </c>
      <c r="I35" s="2" t="s">
        <v>43</v>
      </c>
      <c r="J35" s="2" t="s">
        <v>14</v>
      </c>
      <c r="K35" s="3">
        <v>43110.61041666667</v>
      </c>
      <c r="L35" s="3">
        <v>43110.728472222225</v>
      </c>
      <c r="M35" s="8">
        <v>43110</v>
      </c>
      <c r="N35" s="13"/>
    </row>
    <row r="36" spans="1:14" x14ac:dyDescent="0.15">
      <c r="A36" s="5">
        <v>1800020518000200</v>
      </c>
      <c r="B36" s="2" t="s">
        <v>30</v>
      </c>
      <c r="C36" s="2" t="s">
        <v>31</v>
      </c>
      <c r="D36" s="2" t="s">
        <v>142</v>
      </c>
      <c r="E36" s="2" t="s">
        <v>11</v>
      </c>
      <c r="F36" s="15" t="str">
        <f>"13600"</f>
        <v>13600</v>
      </c>
      <c r="G36" s="2">
        <v>15.5</v>
      </c>
      <c r="H36" s="2" t="s">
        <v>12</v>
      </c>
      <c r="I36" s="2" t="s">
        <v>25</v>
      </c>
      <c r="J36" s="2" t="s">
        <v>14</v>
      </c>
      <c r="K36" s="3">
        <v>43110.61041666667</v>
      </c>
      <c r="L36" s="3">
        <v>43110.729166666664</v>
      </c>
      <c r="M36" s="8">
        <v>43110</v>
      </c>
      <c r="N36" s="13"/>
    </row>
    <row r="37" spans="1:14" x14ac:dyDescent="0.15">
      <c r="A37" s="5">
        <v>1800020718000200</v>
      </c>
      <c r="B37" s="2" t="s">
        <v>32</v>
      </c>
      <c r="C37" s="2" t="s">
        <v>33</v>
      </c>
      <c r="D37" s="2" t="s">
        <v>142</v>
      </c>
      <c r="E37" s="2" t="s">
        <v>11</v>
      </c>
      <c r="F37" s="15" t="str">
        <f>"6400"</f>
        <v>6400</v>
      </c>
      <c r="G37" s="2">
        <v>94.58</v>
      </c>
      <c r="H37" s="2" t="s">
        <v>12</v>
      </c>
      <c r="I37" s="2" t="s">
        <v>13</v>
      </c>
      <c r="J37" s="2" t="s">
        <v>14</v>
      </c>
      <c r="K37" s="3">
        <v>43110.61041666667</v>
      </c>
      <c r="L37" s="3">
        <v>43110.732638888891</v>
      </c>
      <c r="M37" s="8">
        <v>43110</v>
      </c>
      <c r="N37" s="13"/>
    </row>
    <row r="38" spans="1:14" x14ac:dyDescent="0.15">
      <c r="A38" s="5">
        <v>1800020818000200</v>
      </c>
      <c r="B38" s="2" t="s">
        <v>34</v>
      </c>
      <c r="C38" s="2" t="s">
        <v>35</v>
      </c>
      <c r="D38" s="2" t="s">
        <v>142</v>
      </c>
      <c r="E38" s="2" t="s">
        <v>11</v>
      </c>
      <c r="F38" s="15" t="str">
        <f>"3900"</f>
        <v>3900</v>
      </c>
      <c r="G38" s="2">
        <v>120.4</v>
      </c>
      <c r="H38" s="2" t="s">
        <v>12</v>
      </c>
      <c r="I38" s="2" t="s">
        <v>13</v>
      </c>
      <c r="J38" s="2" t="s">
        <v>14</v>
      </c>
      <c r="K38" s="3">
        <v>43110.61041666667</v>
      </c>
      <c r="L38" s="3">
        <v>43110.732638888891</v>
      </c>
      <c r="M38" s="8">
        <v>43110</v>
      </c>
      <c r="N38" s="13"/>
    </row>
    <row r="39" spans="1:14" x14ac:dyDescent="0.15">
      <c r="A39" s="5">
        <v>1800021118000210</v>
      </c>
      <c r="B39" s="2" t="s">
        <v>44</v>
      </c>
      <c r="C39" s="2" t="s">
        <v>45</v>
      </c>
      <c r="D39" s="2" t="s">
        <v>141</v>
      </c>
      <c r="E39" s="2" t="s">
        <v>47</v>
      </c>
      <c r="F39" s="15" t="str">
        <f>"30000"</f>
        <v>30000</v>
      </c>
      <c r="G39" s="2">
        <v>2.8319999999999999</v>
      </c>
      <c r="H39" s="2" t="s">
        <v>12</v>
      </c>
      <c r="I39" s="2" t="s">
        <v>40</v>
      </c>
      <c r="J39" s="2" t="s">
        <v>61</v>
      </c>
      <c r="K39" s="3">
        <v>43110.622916666667</v>
      </c>
      <c r="L39" s="3">
        <v>43110.629861111112</v>
      </c>
      <c r="M39" s="8">
        <v>43110</v>
      </c>
      <c r="N39" s="13"/>
    </row>
    <row r="40" spans="1:14" x14ac:dyDescent="0.15">
      <c r="A40" s="5">
        <v>1800021218000210</v>
      </c>
      <c r="B40" s="2" t="s">
        <v>62</v>
      </c>
      <c r="C40" s="2" t="s">
        <v>63</v>
      </c>
      <c r="D40" s="2" t="s">
        <v>141</v>
      </c>
      <c r="E40" s="2" t="s">
        <v>47</v>
      </c>
      <c r="F40" s="15" t="str">
        <f>"50000"</f>
        <v>50000</v>
      </c>
      <c r="G40" s="2">
        <v>1.8403</v>
      </c>
      <c r="H40" s="2" t="s">
        <v>12</v>
      </c>
      <c r="I40" s="2" t="s">
        <v>39</v>
      </c>
      <c r="J40" s="2" t="s">
        <v>66</v>
      </c>
      <c r="K40" s="3">
        <v>43110.622916666667</v>
      </c>
      <c r="L40" s="3">
        <v>43110.636805555558</v>
      </c>
      <c r="M40" s="8">
        <v>43110</v>
      </c>
      <c r="N40" s="13"/>
    </row>
    <row r="41" spans="1:14" x14ac:dyDescent="0.15">
      <c r="A41" s="5">
        <v>1800021418000210</v>
      </c>
      <c r="B41" s="2" t="s">
        <v>41</v>
      </c>
      <c r="C41" s="2" t="s">
        <v>42</v>
      </c>
      <c r="D41" s="2" t="s">
        <v>141</v>
      </c>
      <c r="E41" s="2" t="s">
        <v>11</v>
      </c>
      <c r="F41" s="15" t="str">
        <f>"20000"</f>
        <v>20000</v>
      </c>
      <c r="G41" s="2">
        <v>4.0279999999999996</v>
      </c>
      <c r="H41" s="2" t="s">
        <v>12</v>
      </c>
      <c r="I41" s="2" t="s">
        <v>43</v>
      </c>
      <c r="J41" s="2" t="s">
        <v>67</v>
      </c>
      <c r="K41" s="3">
        <v>43110.671527777777</v>
      </c>
      <c r="L41" s="3">
        <v>43110.728472222225</v>
      </c>
      <c r="M41" s="8">
        <v>43110</v>
      </c>
      <c r="N41" s="13"/>
    </row>
    <row r="42" spans="1:14" x14ac:dyDescent="0.15">
      <c r="A42" s="5">
        <v>1800024418000240</v>
      </c>
      <c r="B42" s="2" t="s">
        <v>44</v>
      </c>
      <c r="C42" s="2" t="s">
        <v>45</v>
      </c>
      <c r="D42" s="2" t="s">
        <v>141</v>
      </c>
      <c r="E42" s="2" t="s">
        <v>47</v>
      </c>
      <c r="F42" s="15" t="str">
        <f>"50000"</f>
        <v>50000</v>
      </c>
      <c r="G42" s="2">
        <v>2.9104000000000001</v>
      </c>
      <c r="H42" s="2" t="s">
        <v>12</v>
      </c>
      <c r="I42" s="2" t="s">
        <v>40</v>
      </c>
      <c r="J42" s="2" t="s">
        <v>66</v>
      </c>
      <c r="K42" s="3">
        <v>43112.628472222219</v>
      </c>
      <c r="L42" s="3">
        <v>43112.647916666669</v>
      </c>
      <c r="M42" s="8">
        <v>43112</v>
      </c>
      <c r="N42" s="13"/>
    </row>
    <row r="43" spans="1:14" x14ac:dyDescent="0.15">
      <c r="A43" s="5">
        <v>1800025718000250</v>
      </c>
      <c r="B43" s="2" t="s">
        <v>34</v>
      </c>
      <c r="C43" s="2" t="s">
        <v>35</v>
      </c>
      <c r="D43" s="2" t="s">
        <v>140</v>
      </c>
      <c r="E43" s="2" t="s">
        <v>47</v>
      </c>
      <c r="F43" s="15" t="str">
        <f>"2500"</f>
        <v>2500</v>
      </c>
      <c r="G43" s="2">
        <v>122.34480000000001</v>
      </c>
      <c r="H43" s="2" t="s">
        <v>12</v>
      </c>
      <c r="I43" s="2" t="s">
        <v>13</v>
      </c>
      <c r="J43" s="2" t="s">
        <v>52</v>
      </c>
      <c r="K43" s="3">
        <v>43112.70416666667</v>
      </c>
      <c r="L43" s="3">
        <v>43112.704861111109</v>
      </c>
      <c r="M43" s="8">
        <v>43112</v>
      </c>
      <c r="N43" s="13"/>
    </row>
    <row r="44" spans="1:14" x14ac:dyDescent="0.15">
      <c r="A44" s="5">
        <v>1800025818000250</v>
      </c>
      <c r="B44" s="2" t="s">
        <v>26</v>
      </c>
      <c r="C44" s="2" t="s">
        <v>27</v>
      </c>
      <c r="D44" s="2" t="s">
        <v>141</v>
      </c>
      <c r="E44" s="2" t="s">
        <v>11</v>
      </c>
      <c r="F44" s="15" t="str">
        <f>"800"</f>
        <v>800</v>
      </c>
      <c r="G44" s="2">
        <v>91.26</v>
      </c>
      <c r="H44" s="2" t="s">
        <v>12</v>
      </c>
      <c r="I44" s="2" t="s">
        <v>13</v>
      </c>
      <c r="J44" s="2" t="s">
        <v>50</v>
      </c>
      <c r="K44" s="3">
        <v>43112.717361111114</v>
      </c>
      <c r="L44" s="3">
        <v>43112.732638888891</v>
      </c>
      <c r="M44" s="8">
        <v>43112</v>
      </c>
      <c r="N44" s="13"/>
    </row>
    <row r="45" spans="1:14" x14ac:dyDescent="0.15">
      <c r="A45" s="5">
        <v>1800026618000260</v>
      </c>
      <c r="B45" s="2" t="s">
        <v>19</v>
      </c>
      <c r="C45" s="2" t="s">
        <v>20</v>
      </c>
      <c r="D45" s="2" t="s">
        <v>141</v>
      </c>
      <c r="E45" s="2" t="s">
        <v>11</v>
      </c>
      <c r="F45" s="15" t="str">
        <f>"18000"</f>
        <v>18000</v>
      </c>
      <c r="G45" s="2">
        <v>14.450100000000001</v>
      </c>
      <c r="H45" s="2" t="s">
        <v>12</v>
      </c>
      <c r="I45" s="2" t="s">
        <v>13</v>
      </c>
      <c r="J45" s="2" t="s">
        <v>52</v>
      </c>
      <c r="K45" s="3">
        <v>43115.448611111111</v>
      </c>
      <c r="L45" s="3">
        <v>43115.451388888891</v>
      </c>
      <c r="M45" s="8">
        <v>43115</v>
      </c>
      <c r="N45" s="13"/>
    </row>
    <row r="46" spans="1:14" x14ac:dyDescent="0.15">
      <c r="A46" s="5">
        <v>1800026718000260</v>
      </c>
      <c r="B46" s="2" t="s">
        <v>68</v>
      </c>
      <c r="C46" s="2" t="s">
        <v>69</v>
      </c>
      <c r="D46" s="2" t="s">
        <v>141</v>
      </c>
      <c r="E46" s="2" t="s">
        <v>11</v>
      </c>
      <c r="F46" s="15" t="str">
        <f>"1150"</f>
        <v>1150</v>
      </c>
      <c r="G46" s="2">
        <v>243.35</v>
      </c>
      <c r="H46" s="2" t="s">
        <v>48</v>
      </c>
      <c r="I46" s="2" t="s">
        <v>49</v>
      </c>
      <c r="J46" s="2" t="s">
        <v>52</v>
      </c>
      <c r="K46" s="3">
        <v>43115.448611111111</v>
      </c>
      <c r="L46" s="3">
        <v>43115.449305555558</v>
      </c>
      <c r="M46" s="8">
        <v>43115</v>
      </c>
      <c r="N46" s="13"/>
    </row>
    <row r="47" spans="1:14" x14ac:dyDescent="0.15">
      <c r="A47" s="5">
        <v>1800026818000260</v>
      </c>
      <c r="B47" s="2" t="s">
        <v>32</v>
      </c>
      <c r="C47" s="2" t="s">
        <v>33</v>
      </c>
      <c r="D47" s="2" t="s">
        <v>141</v>
      </c>
      <c r="E47" s="2" t="s">
        <v>11</v>
      </c>
      <c r="F47" s="15" t="str">
        <f>"2500"</f>
        <v>2500</v>
      </c>
      <c r="G47" s="2">
        <v>90.106899999999996</v>
      </c>
      <c r="H47" s="2" t="s">
        <v>12</v>
      </c>
      <c r="I47" s="2" t="s">
        <v>13</v>
      </c>
      <c r="J47" s="2" t="s">
        <v>50</v>
      </c>
      <c r="K47" s="3">
        <v>43115.448611111111</v>
      </c>
      <c r="L47" s="3">
        <v>43115.470833333333</v>
      </c>
      <c r="M47" s="8">
        <v>43115</v>
      </c>
      <c r="N47" s="13"/>
    </row>
    <row r="48" spans="1:14" x14ac:dyDescent="0.15">
      <c r="A48" s="5">
        <v>1800031418000310</v>
      </c>
      <c r="B48" s="2" t="s">
        <v>70</v>
      </c>
      <c r="C48" s="2" t="s">
        <v>71</v>
      </c>
      <c r="D48" s="2" t="s">
        <v>143</v>
      </c>
      <c r="E48" s="2" t="s">
        <v>11</v>
      </c>
      <c r="F48" s="15" t="str">
        <f>"300"</f>
        <v>300</v>
      </c>
      <c r="G48" s="2">
        <v>38.3566</v>
      </c>
      <c r="H48" s="2" t="s">
        <v>72</v>
      </c>
      <c r="I48" s="2" t="s">
        <v>73</v>
      </c>
      <c r="J48" s="2" t="s">
        <v>74</v>
      </c>
      <c r="K48" s="3">
        <v>43116.749305555553</v>
      </c>
      <c r="L48" s="3">
        <v>43116.916666666664</v>
      </c>
      <c r="M48" s="8">
        <v>43116</v>
      </c>
      <c r="N48" s="13"/>
    </row>
    <row r="49" spans="1:14" x14ac:dyDescent="0.15">
      <c r="A49" s="5">
        <v>1800031518000310</v>
      </c>
      <c r="B49" s="2" t="s">
        <v>75</v>
      </c>
      <c r="C49" s="2" t="s">
        <v>76</v>
      </c>
      <c r="D49" s="2" t="s">
        <v>143</v>
      </c>
      <c r="E49" s="2" t="s">
        <v>11</v>
      </c>
      <c r="F49" s="15" t="str">
        <f>"100"</f>
        <v>100</v>
      </c>
      <c r="G49" s="2">
        <v>95.502399999999994</v>
      </c>
      <c r="H49" s="2" t="s">
        <v>72</v>
      </c>
      <c r="I49" s="2" t="s">
        <v>73</v>
      </c>
      <c r="J49" s="2" t="s">
        <v>77</v>
      </c>
      <c r="K49" s="3">
        <v>43116.749305555553</v>
      </c>
      <c r="L49" s="3">
        <v>43116.791666666664</v>
      </c>
      <c r="M49" s="8">
        <v>43116</v>
      </c>
      <c r="N49" s="13"/>
    </row>
    <row r="50" spans="1:14" x14ac:dyDescent="0.15">
      <c r="A50" s="5">
        <v>1800032218000320</v>
      </c>
      <c r="B50" s="2" t="s">
        <v>44</v>
      </c>
      <c r="C50" s="2" t="s">
        <v>45</v>
      </c>
      <c r="D50" s="2" t="s">
        <v>141</v>
      </c>
      <c r="E50" s="2" t="s">
        <v>47</v>
      </c>
      <c r="F50" s="15" t="str">
        <f>"10000"</f>
        <v>10000</v>
      </c>
      <c r="G50" s="2">
        <v>2.9</v>
      </c>
      <c r="H50" s="2" t="s">
        <v>12</v>
      </c>
      <c r="I50" s="2" t="s">
        <v>40</v>
      </c>
      <c r="J50" s="2" t="s">
        <v>52</v>
      </c>
      <c r="K50" s="3">
        <v>43117.429861111108</v>
      </c>
      <c r="L50" s="3">
        <v>43117.430555555555</v>
      </c>
      <c r="M50" s="8">
        <v>43117</v>
      </c>
      <c r="N50" s="13"/>
    </row>
    <row r="51" spans="1:14" x14ac:dyDescent="0.15">
      <c r="A51" s="5">
        <v>1800033618000330</v>
      </c>
      <c r="B51" s="2" t="s">
        <v>68</v>
      </c>
      <c r="C51" s="2" t="s">
        <v>69</v>
      </c>
      <c r="D51" s="2" t="s">
        <v>141</v>
      </c>
      <c r="E51" s="2" t="s">
        <v>11</v>
      </c>
      <c r="F51" s="15" t="str">
        <f>"350"</f>
        <v>350</v>
      </c>
      <c r="G51" s="2">
        <v>233.35</v>
      </c>
      <c r="H51" s="2" t="s">
        <v>48</v>
      </c>
      <c r="I51" s="2" t="s">
        <v>49</v>
      </c>
      <c r="J51" s="2" t="s">
        <v>50</v>
      </c>
      <c r="K51" s="3">
        <v>43117.706250000003</v>
      </c>
      <c r="L51" s="3">
        <v>43117.729861111111</v>
      </c>
      <c r="M51" s="8">
        <v>43117</v>
      </c>
      <c r="N51" s="13"/>
    </row>
    <row r="52" spans="1:14" x14ac:dyDescent="0.15">
      <c r="A52" s="5">
        <v>1800036518000360</v>
      </c>
      <c r="B52" s="2" t="s">
        <v>44</v>
      </c>
      <c r="C52" s="2" t="s">
        <v>45</v>
      </c>
      <c r="D52" s="2" t="s">
        <v>141</v>
      </c>
      <c r="E52" s="2" t="s">
        <v>11</v>
      </c>
      <c r="F52" s="15" t="str">
        <f>"30000"</f>
        <v>30000</v>
      </c>
      <c r="G52" s="2">
        <v>2.85</v>
      </c>
      <c r="H52" s="2" t="s">
        <v>12</v>
      </c>
      <c r="I52" s="2" t="s">
        <v>40</v>
      </c>
      <c r="J52" s="2" t="s">
        <v>50</v>
      </c>
      <c r="K52" s="3">
        <v>43118.723611111112</v>
      </c>
      <c r="L52" s="3">
        <v>43118.732638888891</v>
      </c>
      <c r="M52" s="8">
        <v>43118</v>
      </c>
      <c r="N52" s="13"/>
    </row>
    <row r="53" spans="1:14" x14ac:dyDescent="0.15">
      <c r="A53" s="5">
        <v>1800036618000360</v>
      </c>
      <c r="B53" s="2" t="s">
        <v>21</v>
      </c>
      <c r="C53" s="2" t="s">
        <v>22</v>
      </c>
      <c r="D53" s="2" t="s">
        <v>141</v>
      </c>
      <c r="E53" s="2" t="s">
        <v>11</v>
      </c>
      <c r="F53" s="15" t="str">
        <f>"1000"</f>
        <v>1000</v>
      </c>
      <c r="G53" s="2">
        <v>112.6</v>
      </c>
      <c r="H53" s="2" t="s">
        <v>12</v>
      </c>
      <c r="I53" s="2" t="s">
        <v>13</v>
      </c>
      <c r="J53" s="2" t="s">
        <v>50</v>
      </c>
      <c r="K53" s="3">
        <v>43118.723611111112</v>
      </c>
      <c r="L53" s="3">
        <v>43118.732638888891</v>
      </c>
      <c r="M53" s="8">
        <v>43118</v>
      </c>
      <c r="N53" s="13"/>
    </row>
    <row r="54" spans="1:14" x14ac:dyDescent="0.15">
      <c r="A54" s="5">
        <v>1800036818000360</v>
      </c>
      <c r="B54" s="2" t="s">
        <v>41</v>
      </c>
      <c r="C54" s="2" t="s">
        <v>42</v>
      </c>
      <c r="D54" s="2" t="s">
        <v>141</v>
      </c>
      <c r="E54" s="2" t="s">
        <v>11</v>
      </c>
      <c r="F54" s="15" t="str">
        <f>"30000"</f>
        <v>30000</v>
      </c>
      <c r="G54" s="2">
        <v>3.964</v>
      </c>
      <c r="H54" s="2" t="s">
        <v>12</v>
      </c>
      <c r="I54" s="2" t="s">
        <v>43</v>
      </c>
      <c r="J54" s="2" t="s">
        <v>50</v>
      </c>
      <c r="K54" s="3">
        <v>43118.723611111112</v>
      </c>
      <c r="L54" s="3">
        <v>43118.728472222225</v>
      </c>
      <c r="M54" s="8">
        <v>43118</v>
      </c>
      <c r="N54" s="13"/>
    </row>
    <row r="55" spans="1:14" x14ac:dyDescent="0.15">
      <c r="A55" s="5">
        <v>1800037418000370</v>
      </c>
      <c r="B55" s="2" t="s">
        <v>19</v>
      </c>
      <c r="C55" s="2" t="s">
        <v>20</v>
      </c>
      <c r="D55" s="2" t="s">
        <v>142</v>
      </c>
      <c r="E55" s="2" t="s">
        <v>11</v>
      </c>
      <c r="F55" s="15" t="str">
        <f>"23700"</f>
        <v>23700</v>
      </c>
      <c r="G55" s="2">
        <v>14.490600000000001</v>
      </c>
      <c r="H55" s="2" t="s">
        <v>12</v>
      </c>
      <c r="I55" s="2" t="s">
        <v>13</v>
      </c>
      <c r="J55" s="2" t="s">
        <v>60</v>
      </c>
      <c r="K55" s="3">
        <v>43119.518750000003</v>
      </c>
      <c r="L55" s="3">
        <v>43119.663888888892</v>
      </c>
      <c r="M55" s="8">
        <v>43119</v>
      </c>
      <c r="N55" s="13"/>
    </row>
    <row r="56" spans="1:14" x14ac:dyDescent="0.15">
      <c r="A56" s="5">
        <v>1800037618000370</v>
      </c>
      <c r="B56" s="2" t="s">
        <v>19</v>
      </c>
      <c r="C56" s="2" t="s">
        <v>20</v>
      </c>
      <c r="D56" s="2" t="s">
        <v>143</v>
      </c>
      <c r="E56" s="2" t="s">
        <v>11</v>
      </c>
      <c r="F56" s="15" t="str">
        <f>"3000"</f>
        <v>3000</v>
      </c>
      <c r="G56" s="2">
        <v>14.490600000000001</v>
      </c>
      <c r="H56" s="2" t="s">
        <v>12</v>
      </c>
      <c r="I56" s="2" t="s">
        <v>13</v>
      </c>
      <c r="J56" s="2" t="s">
        <v>60</v>
      </c>
      <c r="K56" s="3">
        <v>43119.518750000003</v>
      </c>
      <c r="L56" s="3">
        <v>43119.663888888892</v>
      </c>
      <c r="M56" s="8">
        <v>43119</v>
      </c>
      <c r="N56" s="13"/>
    </row>
    <row r="57" spans="1:14" x14ac:dyDescent="0.15">
      <c r="A57" s="5">
        <v>1800037918000370</v>
      </c>
      <c r="B57" s="2" t="s">
        <v>19</v>
      </c>
      <c r="C57" s="2" t="s">
        <v>20</v>
      </c>
      <c r="D57" s="2" t="s">
        <v>144</v>
      </c>
      <c r="E57" s="2" t="s">
        <v>11</v>
      </c>
      <c r="F57" s="15" t="str">
        <f>"4210"</f>
        <v>4210</v>
      </c>
      <c r="G57" s="2">
        <v>14.490600000000001</v>
      </c>
      <c r="H57" s="2" t="s">
        <v>12</v>
      </c>
      <c r="I57" s="2" t="s">
        <v>13</v>
      </c>
      <c r="J57" s="2" t="s">
        <v>60</v>
      </c>
      <c r="K57" s="3">
        <v>43119.518750000003</v>
      </c>
      <c r="L57" s="3">
        <v>43119.663888888892</v>
      </c>
      <c r="M57" s="8">
        <v>43119</v>
      </c>
      <c r="N57" s="13"/>
    </row>
    <row r="58" spans="1:14" x14ac:dyDescent="0.15">
      <c r="A58" s="5">
        <v>1800038118000380</v>
      </c>
      <c r="B58" s="2" t="s">
        <v>19</v>
      </c>
      <c r="C58" s="2" t="s">
        <v>20</v>
      </c>
      <c r="D58" s="2" t="s">
        <v>145</v>
      </c>
      <c r="E58" s="2" t="s">
        <v>11</v>
      </c>
      <c r="F58" s="15" t="str">
        <f>"4050"</f>
        <v>4050</v>
      </c>
      <c r="G58" s="2">
        <v>14.490600000000001</v>
      </c>
      <c r="H58" s="2" t="s">
        <v>12</v>
      </c>
      <c r="I58" s="2" t="s">
        <v>13</v>
      </c>
      <c r="J58" s="2" t="s">
        <v>60</v>
      </c>
      <c r="K58" s="3">
        <v>43119.518750000003</v>
      </c>
      <c r="L58" s="3">
        <v>43119.663888888892</v>
      </c>
      <c r="M58" s="8">
        <v>43119</v>
      </c>
      <c r="N58" s="13"/>
    </row>
    <row r="59" spans="1:14" x14ac:dyDescent="0.15">
      <c r="A59" s="5">
        <v>1800038218000380</v>
      </c>
      <c r="B59" s="2" t="s">
        <v>19</v>
      </c>
      <c r="C59" s="2" t="s">
        <v>20</v>
      </c>
      <c r="D59" s="2" t="s">
        <v>146</v>
      </c>
      <c r="E59" s="2" t="s">
        <v>11</v>
      </c>
      <c r="F59" s="15" t="str">
        <f>"38400"</f>
        <v>38400</v>
      </c>
      <c r="G59" s="2">
        <v>14.490600000000001</v>
      </c>
      <c r="H59" s="2" t="s">
        <v>12</v>
      </c>
      <c r="I59" s="2" t="s">
        <v>13</v>
      </c>
      <c r="J59" s="2" t="s">
        <v>60</v>
      </c>
      <c r="K59" s="3">
        <v>43119.518750000003</v>
      </c>
      <c r="L59" s="3">
        <v>43119.663888888892</v>
      </c>
      <c r="M59" s="8">
        <v>43119</v>
      </c>
      <c r="N59" s="13"/>
    </row>
    <row r="60" spans="1:14" x14ac:dyDescent="0.15">
      <c r="A60" s="5">
        <v>1800038418000380</v>
      </c>
      <c r="B60" s="2" t="s">
        <v>19</v>
      </c>
      <c r="C60" s="2" t="s">
        <v>20</v>
      </c>
      <c r="D60" s="2" t="s">
        <v>140</v>
      </c>
      <c r="E60" s="2" t="s">
        <v>11</v>
      </c>
      <c r="F60" s="15" t="str">
        <f>"32300"</f>
        <v>32300</v>
      </c>
      <c r="G60" s="2">
        <v>14.490600000000001</v>
      </c>
      <c r="H60" s="2" t="s">
        <v>12</v>
      </c>
      <c r="I60" s="2" t="s">
        <v>13</v>
      </c>
      <c r="J60" s="2" t="s">
        <v>60</v>
      </c>
      <c r="K60" s="3">
        <v>43119.518750000003</v>
      </c>
      <c r="L60" s="3">
        <v>43119.663888888892</v>
      </c>
      <c r="M60" s="8">
        <v>43119</v>
      </c>
      <c r="N60" s="13"/>
    </row>
    <row r="61" spans="1:14" x14ac:dyDescent="0.15">
      <c r="A61" s="5">
        <v>1800038518000380</v>
      </c>
      <c r="B61" s="2" t="s">
        <v>19</v>
      </c>
      <c r="C61" s="2" t="s">
        <v>20</v>
      </c>
      <c r="D61" s="2" t="s">
        <v>139</v>
      </c>
      <c r="E61" s="2" t="s">
        <v>11</v>
      </c>
      <c r="F61" s="15" t="str">
        <f>"37600"</f>
        <v>37600</v>
      </c>
      <c r="G61" s="2">
        <v>14.490600000000001</v>
      </c>
      <c r="H61" s="2" t="s">
        <v>12</v>
      </c>
      <c r="I61" s="2" t="s">
        <v>13</v>
      </c>
      <c r="J61" s="2" t="s">
        <v>60</v>
      </c>
      <c r="K61" s="3">
        <v>43119.518750000003</v>
      </c>
      <c r="L61" s="3">
        <v>43119.663888888892</v>
      </c>
      <c r="M61" s="8">
        <v>43119</v>
      </c>
      <c r="N61" s="13"/>
    </row>
    <row r="62" spans="1:14" x14ac:dyDescent="0.15">
      <c r="A62" s="5">
        <v>1800041718000410</v>
      </c>
      <c r="B62" s="2" t="s">
        <v>78</v>
      </c>
      <c r="C62" s="2" t="s">
        <v>79</v>
      </c>
      <c r="D62" s="2" t="s">
        <v>143</v>
      </c>
      <c r="E62" s="2" t="s">
        <v>47</v>
      </c>
      <c r="F62" s="15" t="str">
        <f>"900"</f>
        <v>900</v>
      </c>
      <c r="G62" s="2">
        <v>180.99510000000001</v>
      </c>
      <c r="H62" s="2" t="s">
        <v>72</v>
      </c>
      <c r="I62" s="2" t="s">
        <v>73</v>
      </c>
      <c r="J62" s="2" t="s">
        <v>74</v>
      </c>
      <c r="K62" s="3">
        <v>43119.757638888892</v>
      </c>
      <c r="L62" s="3">
        <v>43119.775694444441</v>
      </c>
      <c r="M62" s="8">
        <v>43119</v>
      </c>
      <c r="N62" s="13"/>
    </row>
    <row r="63" spans="1:14" x14ac:dyDescent="0.15">
      <c r="A63" s="5">
        <v>1800043518000430</v>
      </c>
      <c r="B63" s="2" t="s">
        <v>80</v>
      </c>
      <c r="C63" s="2" t="s">
        <v>81</v>
      </c>
      <c r="D63" s="2" t="s">
        <v>143</v>
      </c>
      <c r="E63" s="2" t="s">
        <v>11</v>
      </c>
      <c r="F63" s="15" t="str">
        <f>"2000"</f>
        <v>2000</v>
      </c>
      <c r="G63" s="2">
        <v>75.63</v>
      </c>
      <c r="H63" s="2" t="s">
        <v>72</v>
      </c>
      <c r="I63" s="2" t="s">
        <v>73</v>
      </c>
      <c r="J63" s="2" t="s">
        <v>77</v>
      </c>
      <c r="K63" s="3">
        <v>43122.694444444445</v>
      </c>
      <c r="L63" s="3">
        <v>43122.700694444444</v>
      </c>
      <c r="M63" s="8">
        <v>43122</v>
      </c>
      <c r="N63" s="13"/>
    </row>
    <row r="64" spans="1:14" x14ac:dyDescent="0.15">
      <c r="A64" s="5">
        <v>1800043818000430</v>
      </c>
      <c r="B64" s="2" t="s">
        <v>62</v>
      </c>
      <c r="C64" s="2" t="s">
        <v>63</v>
      </c>
      <c r="D64" s="2" t="s">
        <v>141</v>
      </c>
      <c r="E64" s="2" t="s">
        <v>47</v>
      </c>
      <c r="F64" s="15" t="str">
        <f>"50000"</f>
        <v>50000</v>
      </c>
      <c r="G64" s="2">
        <v>1.9105000000000001</v>
      </c>
      <c r="H64" s="2" t="s">
        <v>12</v>
      </c>
      <c r="I64" s="2" t="s">
        <v>39</v>
      </c>
      <c r="J64" s="2" t="s">
        <v>50</v>
      </c>
      <c r="K64" s="3">
        <v>43122.730555555558</v>
      </c>
      <c r="L64" s="3">
        <v>43122.732638888891</v>
      </c>
      <c r="M64" s="8">
        <v>43122</v>
      </c>
      <c r="N64" s="13"/>
    </row>
    <row r="65" spans="1:14" x14ac:dyDescent="0.15">
      <c r="A65" s="5">
        <v>1800045518000450</v>
      </c>
      <c r="B65" s="2" t="s">
        <v>44</v>
      </c>
      <c r="C65" s="2" t="s">
        <v>45</v>
      </c>
      <c r="D65" s="2" t="s">
        <v>141</v>
      </c>
      <c r="E65" s="2" t="s">
        <v>47</v>
      </c>
      <c r="F65" s="15" t="str">
        <f>"50000"</f>
        <v>50000</v>
      </c>
      <c r="G65" s="2">
        <v>3.03</v>
      </c>
      <c r="H65" s="2" t="s">
        <v>12</v>
      </c>
      <c r="I65" s="2" t="s">
        <v>40</v>
      </c>
      <c r="J65" s="2" t="s">
        <v>46</v>
      </c>
      <c r="K65" s="3">
        <v>43123.603472222225</v>
      </c>
      <c r="L65" s="3">
        <v>43123.732638888891</v>
      </c>
      <c r="M65" s="8">
        <v>43123</v>
      </c>
      <c r="N65" s="13"/>
    </row>
    <row r="66" spans="1:14" x14ac:dyDescent="0.15">
      <c r="A66" s="5">
        <v>1800045618000450</v>
      </c>
      <c r="B66" s="2" t="s">
        <v>19</v>
      </c>
      <c r="C66" s="2" t="s">
        <v>20</v>
      </c>
      <c r="D66" s="2" t="s">
        <v>141</v>
      </c>
      <c r="E66" s="2" t="s">
        <v>47</v>
      </c>
      <c r="F66" s="15" t="str">
        <f>"5000"</f>
        <v>5000</v>
      </c>
      <c r="G66" s="2">
        <v>14.824999999999999</v>
      </c>
      <c r="H66" s="2" t="s">
        <v>12</v>
      </c>
      <c r="I66" s="2" t="s">
        <v>13</v>
      </c>
      <c r="J66" s="2" t="s">
        <v>46</v>
      </c>
      <c r="K66" s="3">
        <v>43123.603472222225</v>
      </c>
      <c r="L66" s="3">
        <v>43123.732638888891</v>
      </c>
      <c r="M66" s="8">
        <v>43123</v>
      </c>
      <c r="N66" s="13"/>
    </row>
    <row r="67" spans="1:14" x14ac:dyDescent="0.15">
      <c r="A67" s="5">
        <v>1800045718000450</v>
      </c>
      <c r="B67" s="2" t="s">
        <v>58</v>
      </c>
      <c r="C67" s="2" t="s">
        <v>59</v>
      </c>
      <c r="D67" s="2" t="s">
        <v>141</v>
      </c>
      <c r="E67" s="2" t="s">
        <v>47</v>
      </c>
      <c r="F67" s="15" t="str">
        <f>"5000"</f>
        <v>5000</v>
      </c>
      <c r="G67" s="2">
        <v>8.4730000000000008</v>
      </c>
      <c r="H67" s="2" t="s">
        <v>12</v>
      </c>
      <c r="I67" s="2" t="s">
        <v>39</v>
      </c>
      <c r="J67" s="2" t="s">
        <v>46</v>
      </c>
      <c r="K67" s="3">
        <v>43123.603472222225</v>
      </c>
      <c r="L67" s="3">
        <v>43123.732638888891</v>
      </c>
      <c r="M67" s="8">
        <v>43123</v>
      </c>
      <c r="N67" s="13"/>
    </row>
    <row r="68" spans="1:14" x14ac:dyDescent="0.15">
      <c r="A68" s="5">
        <v>1800047118000470</v>
      </c>
      <c r="B68" s="2" t="s">
        <v>44</v>
      </c>
      <c r="C68" s="2" t="s">
        <v>45</v>
      </c>
      <c r="D68" s="2" t="s">
        <v>141</v>
      </c>
      <c r="E68" s="2" t="s">
        <v>47</v>
      </c>
      <c r="F68" s="15" t="str">
        <f>"59200"</f>
        <v>59200</v>
      </c>
      <c r="G68" s="2">
        <v>3.145</v>
      </c>
      <c r="H68" s="2" t="s">
        <v>12</v>
      </c>
      <c r="I68" s="2" t="s">
        <v>40</v>
      </c>
      <c r="J68" s="2" t="s">
        <v>66</v>
      </c>
      <c r="K68" s="3">
        <v>43124.534722222219</v>
      </c>
      <c r="L68" s="3">
        <v>43124.537499999999</v>
      </c>
      <c r="M68" s="8">
        <v>43124</v>
      </c>
      <c r="N68" s="13"/>
    </row>
    <row r="69" spans="1:14" x14ac:dyDescent="0.15">
      <c r="A69" s="5">
        <v>1800049218000490</v>
      </c>
      <c r="B69" s="2" t="s">
        <v>62</v>
      </c>
      <c r="C69" s="2" t="s">
        <v>63</v>
      </c>
      <c r="D69" s="2" t="s">
        <v>141</v>
      </c>
      <c r="E69" s="2" t="s">
        <v>47</v>
      </c>
      <c r="F69" s="15" t="str">
        <f>"50000"</f>
        <v>50000</v>
      </c>
      <c r="G69" s="2">
        <v>1.9004000000000001</v>
      </c>
      <c r="H69" s="2" t="s">
        <v>12</v>
      </c>
      <c r="I69" s="2" t="s">
        <v>39</v>
      </c>
      <c r="J69" s="2" t="s">
        <v>14</v>
      </c>
      <c r="K69" s="3">
        <v>43125.475694444445</v>
      </c>
      <c r="L69" s="3">
        <v>43125.477777777778</v>
      </c>
      <c r="M69" s="8">
        <v>43125</v>
      </c>
      <c r="N69" s="13"/>
    </row>
    <row r="70" spans="1:14" x14ac:dyDescent="0.15">
      <c r="A70" s="5">
        <v>1800052718000520</v>
      </c>
      <c r="B70" s="2" t="s">
        <v>44</v>
      </c>
      <c r="C70" s="2" t="s">
        <v>45</v>
      </c>
      <c r="D70" s="2" t="s">
        <v>141</v>
      </c>
      <c r="E70" s="2" t="s">
        <v>47</v>
      </c>
      <c r="F70" s="15" t="str">
        <f>"20800"</f>
        <v>20800</v>
      </c>
      <c r="G70" s="2">
        <v>3.1602000000000001</v>
      </c>
      <c r="H70" s="2" t="s">
        <v>12</v>
      </c>
      <c r="I70" s="2" t="s">
        <v>40</v>
      </c>
      <c r="J70" s="2" t="s">
        <v>52</v>
      </c>
      <c r="K70" s="3">
        <v>43129.416666666664</v>
      </c>
      <c r="L70" s="3">
        <v>43129.420138888891</v>
      </c>
      <c r="M70" s="8">
        <v>43129</v>
      </c>
      <c r="N70" s="13"/>
    </row>
    <row r="71" spans="1:14" x14ac:dyDescent="0.15">
      <c r="A71" s="5">
        <v>1800054918000540</v>
      </c>
      <c r="B71" s="2" t="s">
        <v>41</v>
      </c>
      <c r="C71" s="2" t="s">
        <v>42</v>
      </c>
      <c r="D71" s="2" t="s">
        <v>141</v>
      </c>
      <c r="E71" s="2" t="s">
        <v>47</v>
      </c>
      <c r="F71" s="15" t="str">
        <f>"30000"</f>
        <v>30000</v>
      </c>
      <c r="G71" s="2">
        <v>3.9950000000000001</v>
      </c>
      <c r="H71" s="2" t="s">
        <v>12</v>
      </c>
      <c r="I71" s="2" t="s">
        <v>43</v>
      </c>
      <c r="J71" s="2" t="s">
        <v>67</v>
      </c>
      <c r="K71" s="3">
        <v>43129.706944444442</v>
      </c>
      <c r="L71" s="3">
        <v>43129.728472222225</v>
      </c>
      <c r="M71" s="8">
        <v>43129</v>
      </c>
      <c r="N71" s="13"/>
    </row>
    <row r="72" spans="1:14" x14ac:dyDescent="0.15">
      <c r="A72" s="5">
        <v>1800059518000590</v>
      </c>
      <c r="B72" s="2" t="s">
        <v>82</v>
      </c>
      <c r="C72" s="2" t="s">
        <v>83</v>
      </c>
      <c r="D72" s="2" t="s">
        <v>141</v>
      </c>
      <c r="E72" s="2" t="s">
        <v>11</v>
      </c>
      <c r="F72" s="15" t="str">
        <f>"265000"</f>
        <v>265000</v>
      </c>
      <c r="G72" s="2">
        <v>18.054400000000001</v>
      </c>
      <c r="H72" s="2" t="s">
        <v>48</v>
      </c>
      <c r="I72" s="2" t="s">
        <v>49</v>
      </c>
      <c r="J72" s="2" t="s">
        <v>66</v>
      </c>
      <c r="K72" s="3">
        <v>43131.677083333336</v>
      </c>
      <c r="L72" s="3">
        <v>43131.729861111111</v>
      </c>
      <c r="M72" s="8">
        <v>43131</v>
      </c>
      <c r="N72" s="13"/>
    </row>
    <row r="73" spans="1:14" x14ac:dyDescent="0.15">
      <c r="A73" s="5">
        <v>1800059918000590</v>
      </c>
      <c r="B73" s="2" t="s">
        <v>41</v>
      </c>
      <c r="C73" s="2" t="s">
        <v>42</v>
      </c>
      <c r="D73" s="2" t="s">
        <v>140</v>
      </c>
      <c r="E73" s="2" t="s">
        <v>11</v>
      </c>
      <c r="F73" s="15" t="str">
        <f>"10000"</f>
        <v>10000</v>
      </c>
      <c r="G73" s="2">
        <v>3.8769999999999998</v>
      </c>
      <c r="H73" s="2" t="s">
        <v>12</v>
      </c>
      <c r="I73" s="2" t="s">
        <v>43</v>
      </c>
      <c r="J73" s="2" t="s">
        <v>46</v>
      </c>
      <c r="K73" s="3">
        <v>43131.702777777777</v>
      </c>
      <c r="L73" s="3">
        <v>43131.728472222225</v>
      </c>
      <c r="M73" s="8">
        <v>43131</v>
      </c>
      <c r="N73" s="13"/>
    </row>
    <row r="74" spans="1:14" x14ac:dyDescent="0.15">
      <c r="A74" s="5">
        <v>1800060718000600</v>
      </c>
      <c r="B74" s="2" t="s">
        <v>41</v>
      </c>
      <c r="C74" s="2" t="s">
        <v>42</v>
      </c>
      <c r="D74" s="2" t="s">
        <v>141</v>
      </c>
      <c r="E74" s="2" t="s">
        <v>47</v>
      </c>
      <c r="F74" s="15" t="str">
        <f>"20000"</f>
        <v>20000</v>
      </c>
      <c r="G74" s="2">
        <v>4.0144000000000002</v>
      </c>
      <c r="H74" s="2" t="s">
        <v>12</v>
      </c>
      <c r="I74" s="2" t="s">
        <v>43</v>
      </c>
      <c r="J74" s="2" t="s">
        <v>14</v>
      </c>
      <c r="K74" s="3">
        <v>43132.386111111111</v>
      </c>
      <c r="L74" s="3">
        <v>43132.386805555558</v>
      </c>
      <c r="M74" s="8">
        <v>43132</v>
      </c>
      <c r="N74" s="13"/>
    </row>
    <row r="75" spans="1:14" x14ac:dyDescent="0.15">
      <c r="A75" s="5">
        <v>1800062318000620</v>
      </c>
      <c r="B75" s="2" t="s">
        <v>41</v>
      </c>
      <c r="C75" s="2" t="s">
        <v>42</v>
      </c>
      <c r="D75" s="2" t="s">
        <v>141</v>
      </c>
      <c r="E75" s="2" t="s">
        <v>47</v>
      </c>
      <c r="F75" s="15" t="str">
        <f>"20000"</f>
        <v>20000</v>
      </c>
      <c r="G75" s="2">
        <v>4.1984000000000004</v>
      </c>
      <c r="H75" s="2" t="s">
        <v>12</v>
      </c>
      <c r="I75" s="2" t="s">
        <v>43</v>
      </c>
      <c r="J75" s="2" t="s">
        <v>14</v>
      </c>
      <c r="K75" s="3">
        <v>43132.477777777778</v>
      </c>
      <c r="L75" s="3">
        <v>43132.481944444444</v>
      </c>
      <c r="M75" s="8">
        <v>43132</v>
      </c>
      <c r="N75" s="13"/>
    </row>
    <row r="76" spans="1:14" x14ac:dyDescent="0.15">
      <c r="A76" s="5">
        <v>1800062518000620</v>
      </c>
      <c r="B76" s="2" t="s">
        <v>41</v>
      </c>
      <c r="C76" s="2" t="s">
        <v>42</v>
      </c>
      <c r="D76" s="2" t="s">
        <v>141</v>
      </c>
      <c r="E76" s="2" t="s">
        <v>47</v>
      </c>
      <c r="F76" s="15" t="str">
        <f>"15000"</f>
        <v>15000</v>
      </c>
      <c r="G76" s="2">
        <v>4.2720000000000002</v>
      </c>
      <c r="H76" s="2" t="s">
        <v>12</v>
      </c>
      <c r="I76" s="2" t="s">
        <v>43</v>
      </c>
      <c r="J76" s="2" t="s">
        <v>14</v>
      </c>
      <c r="K76" s="3">
        <v>43132.633333333331</v>
      </c>
      <c r="L76" s="3">
        <v>43132.635416666664</v>
      </c>
      <c r="M76" s="8">
        <v>43132</v>
      </c>
      <c r="N76" s="13"/>
    </row>
    <row r="77" spans="1:14" x14ac:dyDescent="0.15">
      <c r="A77" s="5">
        <v>1800062818000620</v>
      </c>
      <c r="B77" s="2" t="s">
        <v>17</v>
      </c>
      <c r="C77" s="2" t="s">
        <v>18</v>
      </c>
      <c r="D77" s="2" t="s">
        <v>140</v>
      </c>
      <c r="E77" s="2" t="s">
        <v>11</v>
      </c>
      <c r="F77" s="15" t="str">
        <f>"1300"</f>
        <v>1300</v>
      </c>
      <c r="G77" s="2">
        <v>103.35</v>
      </c>
      <c r="H77" s="2" t="s">
        <v>12</v>
      </c>
      <c r="I77" s="2" t="s">
        <v>13</v>
      </c>
      <c r="J77" s="2" t="s">
        <v>50</v>
      </c>
      <c r="K77" s="3">
        <v>43132.650694444441</v>
      </c>
      <c r="L77" s="3">
        <v>43132.732638888891</v>
      </c>
      <c r="M77" s="8">
        <v>43132</v>
      </c>
      <c r="N77" s="13"/>
    </row>
    <row r="78" spans="1:14" x14ac:dyDescent="0.15">
      <c r="A78" s="5">
        <v>1800062918000620</v>
      </c>
      <c r="B78" s="2" t="s">
        <v>19</v>
      </c>
      <c r="C78" s="2" t="s">
        <v>20</v>
      </c>
      <c r="D78" s="2" t="s">
        <v>140</v>
      </c>
      <c r="E78" s="2" t="s">
        <v>11</v>
      </c>
      <c r="F78" s="15" t="str">
        <f>"15100"</f>
        <v>15100</v>
      </c>
      <c r="G78" s="2">
        <v>13.955</v>
      </c>
      <c r="H78" s="2" t="s">
        <v>12</v>
      </c>
      <c r="I78" s="2" t="s">
        <v>13</v>
      </c>
      <c r="J78" s="2" t="s">
        <v>50</v>
      </c>
      <c r="K78" s="3">
        <v>43132.650694444441</v>
      </c>
      <c r="L78" s="3">
        <v>43132.732638888891</v>
      </c>
      <c r="M78" s="8">
        <v>43132</v>
      </c>
      <c r="N78" s="13"/>
    </row>
    <row r="79" spans="1:14" x14ac:dyDescent="0.15">
      <c r="A79" s="5">
        <v>1800063018000630</v>
      </c>
      <c r="B79" s="2" t="s">
        <v>37</v>
      </c>
      <c r="C79" s="2" t="s">
        <v>38</v>
      </c>
      <c r="D79" s="2" t="s">
        <v>140</v>
      </c>
      <c r="E79" s="2" t="s">
        <v>11</v>
      </c>
      <c r="F79" s="15" t="str">
        <f>"4600"</f>
        <v>4600</v>
      </c>
      <c r="G79" s="2">
        <v>22.15</v>
      </c>
      <c r="H79" s="2" t="s">
        <v>12</v>
      </c>
      <c r="I79" s="2" t="s">
        <v>39</v>
      </c>
      <c r="J79" s="2" t="s">
        <v>50</v>
      </c>
      <c r="K79" s="3">
        <v>43132.650694444441</v>
      </c>
      <c r="L79" s="3">
        <v>43132.732638888891</v>
      </c>
      <c r="M79" s="8">
        <v>43132</v>
      </c>
      <c r="N79" s="13"/>
    </row>
    <row r="80" spans="1:14" x14ac:dyDescent="0.15">
      <c r="A80" s="5">
        <v>1800063318000630</v>
      </c>
      <c r="B80" s="2" t="s">
        <v>26</v>
      </c>
      <c r="C80" s="2" t="s">
        <v>27</v>
      </c>
      <c r="D80" s="2" t="s">
        <v>140</v>
      </c>
      <c r="E80" s="2" t="s">
        <v>11</v>
      </c>
      <c r="F80" s="15" t="str">
        <f>"2200"</f>
        <v>2200</v>
      </c>
      <c r="G80" s="2">
        <v>86.36</v>
      </c>
      <c r="H80" s="2" t="s">
        <v>12</v>
      </c>
      <c r="I80" s="2" t="s">
        <v>13</v>
      </c>
      <c r="J80" s="2" t="s">
        <v>50</v>
      </c>
      <c r="K80" s="3">
        <v>43132.650694444441</v>
      </c>
      <c r="L80" s="3">
        <v>43132.732638888891</v>
      </c>
      <c r="M80" s="8">
        <v>43132</v>
      </c>
      <c r="N80" s="13"/>
    </row>
    <row r="81" spans="1:14" x14ac:dyDescent="0.15">
      <c r="A81" s="5">
        <v>1800063418000630</v>
      </c>
      <c r="B81" s="2" t="s">
        <v>28</v>
      </c>
      <c r="C81" s="2" t="s">
        <v>29</v>
      </c>
      <c r="D81" s="2" t="s">
        <v>140</v>
      </c>
      <c r="E81" s="2" t="s">
        <v>11</v>
      </c>
      <c r="F81" s="15" t="str">
        <f>"600"</f>
        <v>600</v>
      </c>
      <c r="G81" s="2">
        <v>189.2</v>
      </c>
      <c r="H81" s="2" t="s">
        <v>12</v>
      </c>
      <c r="I81" s="2" t="s">
        <v>13</v>
      </c>
      <c r="J81" s="2" t="s">
        <v>50</v>
      </c>
      <c r="K81" s="3">
        <v>43132.650694444441</v>
      </c>
      <c r="L81" s="3">
        <v>43132.732638888891</v>
      </c>
      <c r="M81" s="8">
        <v>43132</v>
      </c>
      <c r="N81" s="13"/>
    </row>
    <row r="82" spans="1:14" x14ac:dyDescent="0.15">
      <c r="A82" s="5">
        <v>1800063518000630</v>
      </c>
      <c r="B82" s="2" t="s">
        <v>32</v>
      </c>
      <c r="C82" s="2" t="s">
        <v>33</v>
      </c>
      <c r="D82" s="2" t="s">
        <v>140</v>
      </c>
      <c r="E82" s="2" t="s">
        <v>11</v>
      </c>
      <c r="F82" s="15" t="str">
        <f>"3300"</f>
        <v>3300</v>
      </c>
      <c r="G82" s="2">
        <v>89.79</v>
      </c>
      <c r="H82" s="2" t="s">
        <v>12</v>
      </c>
      <c r="I82" s="2" t="s">
        <v>13</v>
      </c>
      <c r="J82" s="2" t="s">
        <v>50</v>
      </c>
      <c r="K82" s="3">
        <v>43132.650694444441</v>
      </c>
      <c r="L82" s="3">
        <v>43132.732638888891</v>
      </c>
      <c r="M82" s="8">
        <v>43132</v>
      </c>
      <c r="N82" s="13"/>
    </row>
    <row r="83" spans="1:14" x14ac:dyDescent="0.15">
      <c r="A83" s="5">
        <v>1800063618000630</v>
      </c>
      <c r="B83" s="2" t="s">
        <v>34</v>
      </c>
      <c r="C83" s="2" t="s">
        <v>35</v>
      </c>
      <c r="D83" s="2" t="s">
        <v>140</v>
      </c>
      <c r="E83" s="2" t="s">
        <v>11</v>
      </c>
      <c r="F83" s="15" t="str">
        <f>"2600"</f>
        <v>2600</v>
      </c>
      <c r="G83" s="2">
        <v>116.7</v>
      </c>
      <c r="H83" s="2" t="s">
        <v>12</v>
      </c>
      <c r="I83" s="2" t="s">
        <v>13</v>
      </c>
      <c r="J83" s="2" t="s">
        <v>50</v>
      </c>
      <c r="K83" s="3">
        <v>43132.650694444441</v>
      </c>
      <c r="L83" s="3">
        <v>43132.732638888891</v>
      </c>
      <c r="M83" s="8">
        <v>43132</v>
      </c>
      <c r="N83" s="13"/>
    </row>
    <row r="84" spans="1:14" x14ac:dyDescent="0.15">
      <c r="A84" s="5">
        <v>1800063718000630</v>
      </c>
      <c r="B84" s="2" t="s">
        <v>41</v>
      </c>
      <c r="C84" s="2" t="s">
        <v>42</v>
      </c>
      <c r="D84" s="2" t="s">
        <v>141</v>
      </c>
      <c r="E84" s="2" t="s">
        <v>47</v>
      </c>
      <c r="F84" s="15" t="str">
        <f>"20000"</f>
        <v>20000</v>
      </c>
      <c r="G84" s="2">
        <v>4.4010999999999996</v>
      </c>
      <c r="H84" s="2" t="s">
        <v>12</v>
      </c>
      <c r="I84" s="2" t="s">
        <v>43</v>
      </c>
      <c r="J84" s="2" t="s">
        <v>52</v>
      </c>
      <c r="K84" s="3">
        <v>43132.671527777777</v>
      </c>
      <c r="L84" s="3">
        <v>43132.673611111109</v>
      </c>
      <c r="M84" s="8">
        <v>43132</v>
      </c>
      <c r="N84" s="13"/>
    </row>
    <row r="85" spans="1:14" x14ac:dyDescent="0.15">
      <c r="A85" s="5">
        <v>1800064618000640</v>
      </c>
      <c r="B85" s="2" t="s">
        <v>41</v>
      </c>
      <c r="C85" s="2" t="s">
        <v>42</v>
      </c>
      <c r="D85" s="2" t="s">
        <v>141</v>
      </c>
      <c r="E85" s="2" t="s">
        <v>47</v>
      </c>
      <c r="F85" s="15" t="str">
        <f>"15000"</f>
        <v>15000</v>
      </c>
      <c r="G85" s="2">
        <v>4.3935000000000004</v>
      </c>
      <c r="H85" s="2" t="s">
        <v>12</v>
      </c>
      <c r="I85" s="2" t="s">
        <v>43</v>
      </c>
      <c r="J85" s="2" t="s">
        <v>46</v>
      </c>
      <c r="K85" s="3">
        <v>43133.379166666666</v>
      </c>
      <c r="L85" s="3">
        <v>43133.384027777778</v>
      </c>
      <c r="M85" s="8">
        <v>43133</v>
      </c>
      <c r="N85" s="13"/>
    </row>
    <row r="86" spans="1:14" x14ac:dyDescent="0.15">
      <c r="A86" s="5">
        <v>1800067018000670</v>
      </c>
      <c r="B86" s="2" t="s">
        <v>26</v>
      </c>
      <c r="C86" s="2" t="s">
        <v>27</v>
      </c>
      <c r="D86" s="2" t="s">
        <v>141</v>
      </c>
      <c r="E86" s="2" t="s">
        <v>11</v>
      </c>
      <c r="F86" s="15" t="str">
        <f>"2200"</f>
        <v>2200</v>
      </c>
      <c r="G86" s="2">
        <v>85.78</v>
      </c>
      <c r="H86" s="2" t="s">
        <v>12</v>
      </c>
      <c r="I86" s="2" t="s">
        <v>13</v>
      </c>
      <c r="J86" s="2" t="s">
        <v>50</v>
      </c>
      <c r="K86" s="3">
        <v>43133.729166666664</v>
      </c>
      <c r="L86" s="3">
        <v>43133.732638888891</v>
      </c>
      <c r="M86" s="8">
        <v>43133</v>
      </c>
      <c r="N86" s="13"/>
    </row>
    <row r="87" spans="1:14" x14ac:dyDescent="0.15">
      <c r="A87" s="5">
        <v>1800067318000670</v>
      </c>
      <c r="B87" s="2" t="s">
        <v>41</v>
      </c>
      <c r="C87" s="2" t="s">
        <v>42</v>
      </c>
      <c r="D87" s="2" t="s">
        <v>141</v>
      </c>
      <c r="E87" s="2" t="s">
        <v>47</v>
      </c>
      <c r="F87" s="15" t="str">
        <f>"30000"</f>
        <v>30000</v>
      </c>
      <c r="G87" s="2">
        <v>4.3983999999999996</v>
      </c>
      <c r="H87" s="2" t="s">
        <v>12</v>
      </c>
      <c r="I87" s="2" t="s">
        <v>43</v>
      </c>
      <c r="J87" s="2" t="s">
        <v>14</v>
      </c>
      <c r="K87" s="3">
        <v>43136.425000000003</v>
      </c>
      <c r="L87" s="3">
        <v>43136.427083333336</v>
      </c>
      <c r="M87" s="8">
        <v>43136</v>
      </c>
      <c r="N87" s="13"/>
    </row>
    <row r="88" spans="1:14" x14ac:dyDescent="0.15">
      <c r="A88" s="5">
        <v>1800067518000670</v>
      </c>
      <c r="B88" s="2" t="s">
        <v>44</v>
      </c>
      <c r="C88" s="2" t="s">
        <v>45</v>
      </c>
      <c r="D88" s="2" t="s">
        <v>141</v>
      </c>
      <c r="E88" s="2" t="s">
        <v>11</v>
      </c>
      <c r="F88" s="15" t="str">
        <f>"30000"</f>
        <v>30000</v>
      </c>
      <c r="G88" s="2">
        <v>2.8959999999999999</v>
      </c>
      <c r="H88" s="2" t="s">
        <v>12</v>
      </c>
      <c r="I88" s="2" t="s">
        <v>40</v>
      </c>
      <c r="J88" s="2" t="s">
        <v>51</v>
      </c>
      <c r="K88" s="3">
        <v>43136.727777777778</v>
      </c>
      <c r="L88" s="3">
        <v>43136.732638888891</v>
      </c>
      <c r="M88" s="8">
        <v>43136</v>
      </c>
      <c r="N88" s="13"/>
    </row>
    <row r="89" spans="1:14" x14ac:dyDescent="0.15">
      <c r="A89" s="5">
        <v>1800068518000680</v>
      </c>
      <c r="B89" s="2" t="s">
        <v>41</v>
      </c>
      <c r="C89" s="2" t="s">
        <v>42</v>
      </c>
      <c r="D89" s="2" t="s">
        <v>141</v>
      </c>
      <c r="E89" s="2" t="s">
        <v>47</v>
      </c>
      <c r="F89" s="15" t="str">
        <f>"30000"</f>
        <v>30000</v>
      </c>
      <c r="G89" s="2">
        <v>4.4024000000000001</v>
      </c>
      <c r="H89" s="2" t="s">
        <v>12</v>
      </c>
      <c r="I89" s="2" t="s">
        <v>43</v>
      </c>
      <c r="J89" s="2" t="s">
        <v>84</v>
      </c>
      <c r="K89" s="3">
        <v>43137.619444444441</v>
      </c>
      <c r="L89" s="3">
        <v>43137.629861111112</v>
      </c>
      <c r="M89" s="8">
        <v>43137</v>
      </c>
      <c r="N89" s="13"/>
    </row>
    <row r="90" spans="1:14" x14ac:dyDescent="0.15">
      <c r="A90" s="18">
        <v>1800070918000700</v>
      </c>
      <c r="B90" s="19" t="s">
        <v>41</v>
      </c>
      <c r="C90" s="19" t="s">
        <v>42</v>
      </c>
      <c r="D90" s="19" t="s">
        <v>141</v>
      </c>
      <c r="E90" s="19" t="s">
        <v>47</v>
      </c>
      <c r="F90" s="20" t="str">
        <f>"10000"</f>
        <v>10000</v>
      </c>
      <c r="G90" s="19">
        <v>4.4775</v>
      </c>
      <c r="H90" s="19" t="s">
        <v>12</v>
      </c>
      <c r="I90" s="19" t="s">
        <v>43</v>
      </c>
      <c r="J90" s="19" t="s">
        <v>52</v>
      </c>
      <c r="K90" s="21">
        <v>43138.42291666667</v>
      </c>
      <c r="L90" s="21">
        <v>43138.429861111108</v>
      </c>
      <c r="M90" s="22">
        <v>43138</v>
      </c>
      <c r="N90" s="13" t="s">
        <v>148</v>
      </c>
    </row>
    <row r="91" spans="1:14" x14ac:dyDescent="0.15">
      <c r="A91" s="5">
        <v>1800071018000710</v>
      </c>
      <c r="B91" s="2" t="s">
        <v>44</v>
      </c>
      <c r="C91" s="2" t="s">
        <v>45</v>
      </c>
      <c r="D91" s="2" t="s">
        <v>141</v>
      </c>
      <c r="E91" s="2" t="s">
        <v>47</v>
      </c>
      <c r="F91" s="15" t="str">
        <f>"50000"</f>
        <v>50000</v>
      </c>
      <c r="G91" s="2">
        <v>3.0367000000000002</v>
      </c>
      <c r="H91" s="2" t="s">
        <v>12</v>
      </c>
      <c r="I91" s="2" t="s">
        <v>40</v>
      </c>
      <c r="J91" s="2" t="s">
        <v>14</v>
      </c>
      <c r="K91" s="3">
        <v>43138.591666666667</v>
      </c>
      <c r="L91" s="3">
        <v>43138.597916666666</v>
      </c>
      <c r="M91" s="8">
        <v>43138</v>
      </c>
      <c r="N91" s="13"/>
    </row>
    <row r="92" spans="1:14" x14ac:dyDescent="0.15">
      <c r="A92" s="5">
        <v>1800072318000720</v>
      </c>
      <c r="B92" s="2" t="s">
        <v>44</v>
      </c>
      <c r="C92" s="2" t="s">
        <v>45</v>
      </c>
      <c r="D92" s="2" t="s">
        <v>141</v>
      </c>
      <c r="E92" s="2" t="s">
        <v>47</v>
      </c>
      <c r="F92" s="15" t="str">
        <f>"50000"</f>
        <v>50000</v>
      </c>
      <c r="G92" s="2">
        <v>3.1869999999999998</v>
      </c>
      <c r="H92" s="2" t="s">
        <v>12</v>
      </c>
      <c r="I92" s="2" t="s">
        <v>40</v>
      </c>
      <c r="J92" s="2" t="s">
        <v>14</v>
      </c>
      <c r="K92" s="3">
        <v>43139.388888888891</v>
      </c>
      <c r="L92" s="3">
        <v>43139.390972222223</v>
      </c>
      <c r="M92" s="8">
        <v>43139</v>
      </c>
      <c r="N92" s="13"/>
    </row>
    <row r="93" spans="1:14" x14ac:dyDescent="0.15">
      <c r="A93" s="5">
        <v>1800077118000770</v>
      </c>
      <c r="B93" s="2" t="s">
        <v>82</v>
      </c>
      <c r="C93" s="2" t="s">
        <v>83</v>
      </c>
      <c r="D93" s="2" t="s">
        <v>141</v>
      </c>
      <c r="E93" s="2" t="s">
        <v>11</v>
      </c>
      <c r="F93" s="15" t="str">
        <f>"5000"</f>
        <v>5000</v>
      </c>
      <c r="G93" s="2">
        <v>16.425000000000001</v>
      </c>
      <c r="H93" s="2" t="s">
        <v>48</v>
      </c>
      <c r="I93" s="2" t="s">
        <v>49</v>
      </c>
      <c r="J93" s="2" t="s">
        <v>51</v>
      </c>
      <c r="K93" s="3">
        <v>43139.727777777778</v>
      </c>
      <c r="L93" s="3">
        <v>43139.729861111111</v>
      </c>
      <c r="M93" s="8">
        <v>43139</v>
      </c>
      <c r="N93" s="13"/>
    </row>
    <row r="94" spans="1:14" x14ac:dyDescent="0.15">
      <c r="A94" s="5">
        <v>1800082318000820</v>
      </c>
      <c r="B94" s="2" t="s">
        <v>54</v>
      </c>
      <c r="C94" s="2" t="s">
        <v>55</v>
      </c>
      <c r="D94" s="2" t="s">
        <v>145</v>
      </c>
      <c r="E94" s="2" t="s">
        <v>11</v>
      </c>
      <c r="F94" s="15" t="str">
        <f>"24300"</f>
        <v>24300</v>
      </c>
      <c r="G94" s="2">
        <v>5.4829999999999997</v>
      </c>
      <c r="H94" s="2" t="s">
        <v>12</v>
      </c>
      <c r="I94" s="2" t="s">
        <v>39</v>
      </c>
      <c r="J94" s="2" t="s">
        <v>50</v>
      </c>
      <c r="K94" s="3">
        <v>43140.59097222222</v>
      </c>
      <c r="L94" s="3">
        <v>43140.732638888891</v>
      </c>
      <c r="M94" s="8">
        <v>43140</v>
      </c>
      <c r="N94" s="13"/>
    </row>
    <row r="95" spans="1:14" x14ac:dyDescent="0.15">
      <c r="A95" s="5">
        <v>1800082618000820</v>
      </c>
      <c r="B95" s="2" t="s">
        <v>15</v>
      </c>
      <c r="C95" s="2" t="s">
        <v>16</v>
      </c>
      <c r="D95" s="2" t="s">
        <v>145</v>
      </c>
      <c r="E95" s="2" t="s">
        <v>11</v>
      </c>
      <c r="F95" s="15" t="str">
        <f>"1600"</f>
        <v>1600</v>
      </c>
      <c r="G95" s="2">
        <v>70.13</v>
      </c>
      <c r="H95" s="2" t="s">
        <v>12</v>
      </c>
      <c r="I95" s="2" t="s">
        <v>13</v>
      </c>
      <c r="J95" s="2" t="s">
        <v>50</v>
      </c>
      <c r="K95" s="3">
        <v>43140.59097222222</v>
      </c>
      <c r="L95" s="3">
        <v>43140.732638888891</v>
      </c>
      <c r="M95" s="8">
        <v>43140</v>
      </c>
      <c r="N95" s="13"/>
    </row>
    <row r="96" spans="1:14" x14ac:dyDescent="0.15">
      <c r="A96" s="5">
        <v>1800082718000820</v>
      </c>
      <c r="B96" s="2" t="s">
        <v>17</v>
      </c>
      <c r="C96" s="2" t="s">
        <v>18</v>
      </c>
      <c r="D96" s="2" t="s">
        <v>145</v>
      </c>
      <c r="E96" s="2" t="s">
        <v>11</v>
      </c>
      <c r="F96" s="15" t="str">
        <f>"850"</f>
        <v>850</v>
      </c>
      <c r="G96" s="2">
        <v>102.5</v>
      </c>
      <c r="H96" s="2" t="s">
        <v>12</v>
      </c>
      <c r="I96" s="2" t="s">
        <v>13</v>
      </c>
      <c r="J96" s="2" t="s">
        <v>50</v>
      </c>
      <c r="K96" s="3">
        <v>43140.59097222222</v>
      </c>
      <c r="L96" s="3">
        <v>43140.732638888891</v>
      </c>
      <c r="M96" s="8">
        <v>43140</v>
      </c>
      <c r="N96" s="13"/>
    </row>
    <row r="97" spans="1:14" x14ac:dyDescent="0.15">
      <c r="A97" s="5">
        <v>1800082818000820</v>
      </c>
      <c r="B97" s="2" t="s">
        <v>19</v>
      </c>
      <c r="C97" s="2" t="s">
        <v>20</v>
      </c>
      <c r="D97" s="2" t="s">
        <v>145</v>
      </c>
      <c r="E97" s="2" t="s">
        <v>11</v>
      </c>
      <c r="F97" s="15" t="str">
        <f>"9700"</f>
        <v>9700</v>
      </c>
      <c r="G97" s="2">
        <v>12.96</v>
      </c>
      <c r="H97" s="2" t="s">
        <v>12</v>
      </c>
      <c r="I97" s="2" t="s">
        <v>13</v>
      </c>
      <c r="J97" s="2" t="s">
        <v>50</v>
      </c>
      <c r="K97" s="3">
        <v>43140.59097222222</v>
      </c>
      <c r="L97" s="3">
        <v>43140.732638888891</v>
      </c>
      <c r="M97" s="8">
        <v>43140</v>
      </c>
      <c r="N97" s="13"/>
    </row>
    <row r="98" spans="1:14" x14ac:dyDescent="0.15">
      <c r="A98" s="5">
        <v>1800082918000820</v>
      </c>
      <c r="B98" s="2" t="s">
        <v>37</v>
      </c>
      <c r="C98" s="2" t="s">
        <v>38</v>
      </c>
      <c r="D98" s="2" t="s">
        <v>145</v>
      </c>
      <c r="E98" s="2" t="s">
        <v>11</v>
      </c>
      <c r="F98" s="15" t="str">
        <f>"2700"</f>
        <v>2700</v>
      </c>
      <c r="G98" s="2">
        <v>20.28</v>
      </c>
      <c r="H98" s="2" t="s">
        <v>12</v>
      </c>
      <c r="I98" s="2" t="s">
        <v>39</v>
      </c>
      <c r="J98" s="2" t="s">
        <v>50</v>
      </c>
      <c r="K98" s="3">
        <v>43140.59097222222</v>
      </c>
      <c r="L98" s="3">
        <v>43140.732638888891</v>
      </c>
      <c r="M98" s="8">
        <v>43140</v>
      </c>
      <c r="N98" s="13"/>
    </row>
    <row r="99" spans="1:14" x14ac:dyDescent="0.15">
      <c r="A99" s="5">
        <v>1800083018000830</v>
      </c>
      <c r="B99" s="2" t="s">
        <v>56</v>
      </c>
      <c r="C99" s="2" t="s">
        <v>57</v>
      </c>
      <c r="D99" s="2" t="s">
        <v>145</v>
      </c>
      <c r="E99" s="2" t="s">
        <v>11</v>
      </c>
      <c r="F99" s="15" t="str">
        <f>"3150"</f>
        <v>3150</v>
      </c>
      <c r="G99" s="2">
        <v>17.12</v>
      </c>
      <c r="H99" s="2" t="s">
        <v>12</v>
      </c>
      <c r="I99" s="2" t="s">
        <v>39</v>
      </c>
      <c r="J99" s="2" t="s">
        <v>50</v>
      </c>
      <c r="K99" s="3">
        <v>43140.59097222222</v>
      </c>
      <c r="L99" s="3">
        <v>43140.732638888891</v>
      </c>
      <c r="M99" s="8">
        <v>43140</v>
      </c>
      <c r="N99" s="13"/>
    </row>
    <row r="100" spans="1:14" x14ac:dyDescent="0.15">
      <c r="A100" s="5">
        <v>1800083118000830</v>
      </c>
      <c r="B100" s="2" t="s">
        <v>21</v>
      </c>
      <c r="C100" s="2" t="s">
        <v>22</v>
      </c>
      <c r="D100" s="2" t="s">
        <v>145</v>
      </c>
      <c r="E100" s="2" t="s">
        <v>11</v>
      </c>
      <c r="F100" s="15" t="str">
        <f>"900"</f>
        <v>900</v>
      </c>
      <c r="G100" s="2">
        <v>104.3</v>
      </c>
      <c r="H100" s="2" t="s">
        <v>12</v>
      </c>
      <c r="I100" s="2" t="s">
        <v>13</v>
      </c>
      <c r="J100" s="2" t="s">
        <v>50</v>
      </c>
      <c r="K100" s="3">
        <v>43140.59097222222</v>
      </c>
      <c r="L100" s="3">
        <v>43140.732638888891</v>
      </c>
      <c r="M100" s="8">
        <v>43140</v>
      </c>
      <c r="N100" s="13"/>
    </row>
    <row r="101" spans="1:14" x14ac:dyDescent="0.15">
      <c r="A101" s="5">
        <v>1800083318000830</v>
      </c>
      <c r="B101" s="2" t="s">
        <v>23</v>
      </c>
      <c r="C101" s="2" t="s">
        <v>24</v>
      </c>
      <c r="D101" s="2" t="s">
        <v>145</v>
      </c>
      <c r="E101" s="2" t="s">
        <v>11</v>
      </c>
      <c r="F101" s="15" t="str">
        <f>"1200"</f>
        <v>1200</v>
      </c>
      <c r="G101" s="2" t="str">
        <f>"84"</f>
        <v>84</v>
      </c>
      <c r="H101" s="2" t="s">
        <v>12</v>
      </c>
      <c r="I101" s="2" t="s">
        <v>25</v>
      </c>
      <c r="J101" s="2" t="s">
        <v>50</v>
      </c>
      <c r="K101" s="3">
        <v>43140.59097222222</v>
      </c>
      <c r="L101" s="3">
        <v>43140.729166666664</v>
      </c>
      <c r="M101" s="8">
        <v>43140</v>
      </c>
      <c r="N101" s="13"/>
    </row>
    <row r="102" spans="1:14" x14ac:dyDescent="0.15">
      <c r="A102" s="5">
        <v>1800083518000830</v>
      </c>
      <c r="B102" s="2" t="s">
        <v>26</v>
      </c>
      <c r="C102" s="2" t="s">
        <v>27</v>
      </c>
      <c r="D102" s="2" t="s">
        <v>145</v>
      </c>
      <c r="E102" s="2" t="s">
        <v>11</v>
      </c>
      <c r="F102" s="15" t="str">
        <f>"1400"</f>
        <v>1400</v>
      </c>
      <c r="G102" s="2">
        <v>81.099999999999994</v>
      </c>
      <c r="H102" s="2" t="s">
        <v>12</v>
      </c>
      <c r="I102" s="2" t="s">
        <v>13</v>
      </c>
      <c r="J102" s="2" t="s">
        <v>50</v>
      </c>
      <c r="K102" s="3">
        <v>43140.59097222222</v>
      </c>
      <c r="L102" s="3">
        <v>43140.732638888891</v>
      </c>
      <c r="M102" s="8">
        <v>43140</v>
      </c>
      <c r="N102" s="13"/>
    </row>
    <row r="103" spans="1:14" x14ac:dyDescent="0.15">
      <c r="A103" s="5">
        <v>1800083618000830</v>
      </c>
      <c r="B103" s="2" t="s">
        <v>28</v>
      </c>
      <c r="C103" s="2" t="s">
        <v>29</v>
      </c>
      <c r="D103" s="2" t="s">
        <v>145</v>
      </c>
      <c r="E103" s="2" t="s">
        <v>11</v>
      </c>
      <c r="F103" s="15" t="str">
        <f>"500"</f>
        <v>500</v>
      </c>
      <c r="G103" s="2">
        <v>177.45</v>
      </c>
      <c r="H103" s="2" t="s">
        <v>12</v>
      </c>
      <c r="I103" s="2" t="s">
        <v>13</v>
      </c>
      <c r="J103" s="2" t="s">
        <v>50</v>
      </c>
      <c r="K103" s="3">
        <v>43140.59097222222</v>
      </c>
      <c r="L103" s="3">
        <v>43140.732638888891</v>
      </c>
      <c r="M103" s="8">
        <v>43140</v>
      </c>
      <c r="N103" s="13"/>
    </row>
    <row r="104" spans="1:14" x14ac:dyDescent="0.15">
      <c r="A104" s="5">
        <v>1800083718000830</v>
      </c>
      <c r="B104" s="2" t="s">
        <v>41</v>
      </c>
      <c r="C104" s="2" t="s">
        <v>42</v>
      </c>
      <c r="D104" s="2" t="s">
        <v>145</v>
      </c>
      <c r="E104" s="2" t="s">
        <v>11</v>
      </c>
      <c r="F104" s="15" t="str">
        <f>"17600"</f>
        <v>17600</v>
      </c>
      <c r="G104" s="2">
        <v>4.3810000000000002</v>
      </c>
      <c r="H104" s="2" t="s">
        <v>12</v>
      </c>
      <c r="I104" s="2" t="s">
        <v>43</v>
      </c>
      <c r="J104" s="2" t="s">
        <v>50</v>
      </c>
      <c r="K104" s="3">
        <v>43140.59097222222</v>
      </c>
      <c r="L104" s="3">
        <v>43140.728472222225</v>
      </c>
      <c r="M104" s="8">
        <v>43140</v>
      </c>
      <c r="N104" s="13"/>
    </row>
    <row r="105" spans="1:14" x14ac:dyDescent="0.15">
      <c r="A105" s="5">
        <v>1800083818000830</v>
      </c>
      <c r="B105" s="2" t="s">
        <v>30</v>
      </c>
      <c r="C105" s="2" t="s">
        <v>31</v>
      </c>
      <c r="D105" s="2" t="s">
        <v>145</v>
      </c>
      <c r="E105" s="2" t="s">
        <v>11</v>
      </c>
      <c r="F105" s="15" t="str">
        <f>"4200"</f>
        <v>4200</v>
      </c>
      <c r="G105" s="2">
        <v>15.695</v>
      </c>
      <c r="H105" s="2" t="s">
        <v>12</v>
      </c>
      <c r="I105" s="2" t="s">
        <v>25</v>
      </c>
      <c r="J105" s="2" t="s">
        <v>50</v>
      </c>
      <c r="K105" s="3">
        <v>43140.59097222222</v>
      </c>
      <c r="L105" s="3">
        <v>43140.729166666664</v>
      </c>
      <c r="M105" s="8">
        <v>43140</v>
      </c>
      <c r="N105" s="13"/>
    </row>
    <row r="106" spans="1:14" x14ac:dyDescent="0.15">
      <c r="A106" s="23" t="s">
        <v>150</v>
      </c>
      <c r="B106" s="24" t="s">
        <v>41</v>
      </c>
      <c r="C106" s="24" t="s">
        <v>42</v>
      </c>
      <c r="D106" s="24" t="s">
        <v>144</v>
      </c>
      <c r="E106" s="24" t="s">
        <v>11</v>
      </c>
      <c r="F106" s="25" t="str">
        <f>"10000"</f>
        <v>10000</v>
      </c>
      <c r="G106" s="24">
        <v>4.4775</v>
      </c>
      <c r="H106" s="24" t="s">
        <v>12</v>
      </c>
      <c r="I106" s="24" t="s">
        <v>43</v>
      </c>
      <c r="J106" s="24" t="s">
        <v>52</v>
      </c>
      <c r="K106" s="26">
        <v>43138.42291666667</v>
      </c>
      <c r="L106" s="26">
        <v>43138.429861111108</v>
      </c>
      <c r="M106" s="27">
        <v>43138</v>
      </c>
      <c r="N106" s="13" t="s">
        <v>148</v>
      </c>
    </row>
    <row r="107" spans="1:14" x14ac:dyDescent="0.15">
      <c r="A107" s="5">
        <v>1800084018000840</v>
      </c>
      <c r="B107" s="2" t="s">
        <v>32</v>
      </c>
      <c r="C107" s="2" t="s">
        <v>33</v>
      </c>
      <c r="D107" s="2" t="s">
        <v>145</v>
      </c>
      <c r="E107" s="2" t="s">
        <v>11</v>
      </c>
      <c r="F107" s="15" t="str">
        <f>"2200"</f>
        <v>2200</v>
      </c>
      <c r="G107" s="2">
        <v>82.86</v>
      </c>
      <c r="H107" s="2" t="s">
        <v>12</v>
      </c>
      <c r="I107" s="2" t="s">
        <v>13</v>
      </c>
      <c r="J107" s="2" t="s">
        <v>50</v>
      </c>
      <c r="K107" s="3">
        <v>43140.59097222222</v>
      </c>
      <c r="L107" s="3">
        <v>43140.732638888891</v>
      </c>
      <c r="M107" s="8">
        <v>43140</v>
      </c>
      <c r="N107" s="13"/>
    </row>
    <row r="108" spans="1:14" x14ac:dyDescent="0.15">
      <c r="A108" s="5">
        <v>1800084118000840</v>
      </c>
      <c r="B108" s="2" t="s">
        <v>34</v>
      </c>
      <c r="C108" s="2" t="s">
        <v>35</v>
      </c>
      <c r="D108" s="2" t="s">
        <v>145</v>
      </c>
      <c r="E108" s="2" t="s">
        <v>11</v>
      </c>
      <c r="F108" s="15" t="str">
        <f>"1340"</f>
        <v>1340</v>
      </c>
      <c r="G108" s="2">
        <v>107.02</v>
      </c>
      <c r="H108" s="2" t="s">
        <v>12</v>
      </c>
      <c r="I108" s="2" t="s">
        <v>13</v>
      </c>
      <c r="J108" s="2" t="s">
        <v>50</v>
      </c>
      <c r="K108" s="3">
        <v>43140.59097222222</v>
      </c>
      <c r="L108" s="3">
        <v>43140.732638888891</v>
      </c>
      <c r="M108" s="8">
        <v>43140</v>
      </c>
      <c r="N108" s="13"/>
    </row>
    <row r="109" spans="1:14" x14ac:dyDescent="0.15">
      <c r="A109" s="5">
        <v>1800084718000840</v>
      </c>
      <c r="B109" s="2" t="s">
        <v>19</v>
      </c>
      <c r="C109" s="2" t="s">
        <v>20</v>
      </c>
      <c r="D109" s="2" t="s">
        <v>141</v>
      </c>
      <c r="E109" s="2" t="s">
        <v>11</v>
      </c>
      <c r="F109" s="15" t="str">
        <f>"7000"</f>
        <v>7000</v>
      </c>
      <c r="G109" s="2">
        <v>12.96</v>
      </c>
      <c r="H109" s="2" t="s">
        <v>12</v>
      </c>
      <c r="I109" s="2" t="s">
        <v>13</v>
      </c>
      <c r="J109" s="2" t="s">
        <v>14</v>
      </c>
      <c r="K109" s="3">
        <v>43140.727777777778</v>
      </c>
      <c r="L109" s="3">
        <v>43140.732638888891</v>
      </c>
      <c r="M109" s="8">
        <v>43140</v>
      </c>
      <c r="N109" s="13"/>
    </row>
    <row r="110" spans="1:14" x14ac:dyDescent="0.15">
      <c r="A110" s="5">
        <v>1800087918000870</v>
      </c>
      <c r="B110" s="2" t="s">
        <v>58</v>
      </c>
      <c r="C110" s="2" t="s">
        <v>59</v>
      </c>
      <c r="D110" s="2" t="s">
        <v>141</v>
      </c>
      <c r="E110" s="2" t="s">
        <v>11</v>
      </c>
      <c r="F110" s="15" t="str">
        <f>"5000"</f>
        <v>5000</v>
      </c>
      <c r="G110" s="2">
        <v>7.5970000000000004</v>
      </c>
      <c r="H110" s="2" t="s">
        <v>12</v>
      </c>
      <c r="I110" s="2" t="s">
        <v>39</v>
      </c>
      <c r="J110" s="2" t="s">
        <v>50</v>
      </c>
      <c r="K110" s="3">
        <v>43143.727083333331</v>
      </c>
      <c r="L110" s="3">
        <v>43143.732638888891</v>
      </c>
      <c r="M110" s="8">
        <v>43143</v>
      </c>
      <c r="N110" s="13"/>
    </row>
    <row r="111" spans="1:14" x14ac:dyDescent="0.15">
      <c r="A111" s="5">
        <v>1800092218000920</v>
      </c>
      <c r="B111" s="2" t="s">
        <v>58</v>
      </c>
      <c r="C111" s="2" t="s">
        <v>59</v>
      </c>
      <c r="D111" s="2" t="s">
        <v>141</v>
      </c>
      <c r="E111" s="2" t="s">
        <v>11</v>
      </c>
      <c r="F111" s="15" t="str">
        <f>"10000"</f>
        <v>10000</v>
      </c>
      <c r="G111" s="2">
        <v>7.4740000000000002</v>
      </c>
      <c r="H111" s="2" t="s">
        <v>12</v>
      </c>
      <c r="I111" s="2" t="s">
        <v>39</v>
      </c>
      <c r="J111" s="2" t="s">
        <v>50</v>
      </c>
      <c r="K111" s="3">
        <v>43145.724999999999</v>
      </c>
      <c r="L111" s="3">
        <v>43145.732638888891</v>
      </c>
      <c r="M111" s="8">
        <v>43145</v>
      </c>
      <c r="N111" s="13"/>
    </row>
    <row r="112" spans="1:14" x14ac:dyDescent="0.15">
      <c r="A112" s="5">
        <v>1800095818000950</v>
      </c>
      <c r="B112" s="2" t="s">
        <v>80</v>
      </c>
      <c r="C112" s="2" t="s">
        <v>81</v>
      </c>
      <c r="D112" s="2" t="s">
        <v>143</v>
      </c>
      <c r="E112" s="2" t="s">
        <v>11</v>
      </c>
      <c r="F112" s="15" t="str">
        <f>"1000"</f>
        <v>1000</v>
      </c>
      <c r="G112" s="2">
        <v>71.48</v>
      </c>
      <c r="H112" s="2" t="s">
        <v>72</v>
      </c>
      <c r="I112" s="2" t="s">
        <v>73</v>
      </c>
      <c r="J112" s="2" t="s">
        <v>36</v>
      </c>
      <c r="K112" s="3">
        <v>43146.695833333331</v>
      </c>
      <c r="L112" s="3">
        <v>43146.729861111111</v>
      </c>
      <c r="M112" s="8">
        <v>43146</v>
      </c>
      <c r="N112" s="13"/>
    </row>
    <row r="113" spans="1:14" x14ac:dyDescent="0.15">
      <c r="A113" s="5">
        <v>1800095918000950</v>
      </c>
      <c r="B113" s="2" t="s">
        <v>44</v>
      </c>
      <c r="C113" s="2" t="s">
        <v>45</v>
      </c>
      <c r="D113" s="2" t="s">
        <v>141</v>
      </c>
      <c r="E113" s="2" t="s">
        <v>11</v>
      </c>
      <c r="F113" s="15" t="str">
        <f>"50000"</f>
        <v>50000</v>
      </c>
      <c r="G113" s="2">
        <v>2.97</v>
      </c>
      <c r="H113" s="2" t="s">
        <v>12</v>
      </c>
      <c r="I113" s="2" t="s">
        <v>40</v>
      </c>
      <c r="J113" s="2" t="s">
        <v>14</v>
      </c>
      <c r="K113" s="3">
        <v>43146.715277777781</v>
      </c>
      <c r="L113" s="3">
        <v>43146.732638888891</v>
      </c>
      <c r="M113" s="8">
        <v>43146</v>
      </c>
      <c r="N113" s="13"/>
    </row>
    <row r="114" spans="1:14" x14ac:dyDescent="0.15">
      <c r="A114" s="5">
        <v>1800096018000960</v>
      </c>
      <c r="B114" s="2" t="s">
        <v>19</v>
      </c>
      <c r="C114" s="2" t="s">
        <v>20</v>
      </c>
      <c r="D114" s="2" t="s">
        <v>141</v>
      </c>
      <c r="E114" s="2" t="s">
        <v>11</v>
      </c>
      <c r="F114" s="15" t="str">
        <f>"10000"</f>
        <v>10000</v>
      </c>
      <c r="G114" s="2">
        <v>13.02</v>
      </c>
      <c r="H114" s="2" t="s">
        <v>12</v>
      </c>
      <c r="I114" s="2" t="s">
        <v>13</v>
      </c>
      <c r="J114" s="2" t="s">
        <v>14</v>
      </c>
      <c r="K114" s="3">
        <v>43146.715277777781</v>
      </c>
      <c r="L114" s="3">
        <v>43146.732638888891</v>
      </c>
      <c r="M114" s="8">
        <v>43146</v>
      </c>
      <c r="N114" s="13"/>
    </row>
    <row r="115" spans="1:14" x14ac:dyDescent="0.15">
      <c r="A115" s="5">
        <v>1800096118000960</v>
      </c>
      <c r="B115" s="2" t="s">
        <v>58</v>
      </c>
      <c r="C115" s="2" t="s">
        <v>59</v>
      </c>
      <c r="D115" s="2" t="s">
        <v>141</v>
      </c>
      <c r="E115" s="2" t="s">
        <v>11</v>
      </c>
      <c r="F115" s="15" t="str">
        <f>"20000"</f>
        <v>20000</v>
      </c>
      <c r="G115" s="2">
        <v>7.4889999999999999</v>
      </c>
      <c r="H115" s="2" t="s">
        <v>12</v>
      </c>
      <c r="I115" s="2" t="s">
        <v>39</v>
      </c>
      <c r="J115" s="2" t="s">
        <v>14</v>
      </c>
      <c r="K115" s="3">
        <v>43146.715277777781</v>
      </c>
      <c r="L115" s="3">
        <v>43146.732638888891</v>
      </c>
      <c r="M115" s="8">
        <v>43146</v>
      </c>
      <c r="N115" s="13"/>
    </row>
    <row r="116" spans="1:14" x14ac:dyDescent="0.15">
      <c r="A116" s="5">
        <v>1800098118000980</v>
      </c>
      <c r="B116" s="2" t="s">
        <v>54</v>
      </c>
      <c r="C116" s="2" t="s">
        <v>55</v>
      </c>
      <c r="D116" s="2" t="s">
        <v>144</v>
      </c>
      <c r="E116" s="2" t="s">
        <v>11</v>
      </c>
      <c r="F116" s="15" t="str">
        <f>"22300"</f>
        <v>22300</v>
      </c>
      <c r="G116" s="2">
        <v>5.6150000000000002</v>
      </c>
      <c r="H116" s="2" t="s">
        <v>12</v>
      </c>
      <c r="I116" s="2" t="s">
        <v>39</v>
      </c>
      <c r="J116" s="2" t="s">
        <v>52</v>
      </c>
      <c r="K116" s="3">
        <v>43147.578472222223</v>
      </c>
      <c r="L116" s="3">
        <v>43147.732638888891</v>
      </c>
      <c r="M116" s="8">
        <v>43147</v>
      </c>
      <c r="N116" s="13"/>
    </row>
    <row r="117" spans="1:14" x14ac:dyDescent="0.15">
      <c r="A117" s="5">
        <v>1800098418000980</v>
      </c>
      <c r="B117" s="2" t="s">
        <v>15</v>
      </c>
      <c r="C117" s="2" t="s">
        <v>16</v>
      </c>
      <c r="D117" s="2" t="s">
        <v>144</v>
      </c>
      <c r="E117" s="2" t="s">
        <v>11</v>
      </c>
      <c r="F117" s="15" t="str">
        <f>"1440"</f>
        <v>1440</v>
      </c>
      <c r="G117" s="2">
        <v>72.5</v>
      </c>
      <c r="H117" s="2" t="s">
        <v>12</v>
      </c>
      <c r="I117" s="2" t="s">
        <v>13</v>
      </c>
      <c r="J117" s="2" t="s">
        <v>52</v>
      </c>
      <c r="K117" s="3">
        <v>43147.578472222223</v>
      </c>
      <c r="L117" s="3">
        <v>43147.732638888891</v>
      </c>
      <c r="M117" s="8">
        <v>43147</v>
      </c>
      <c r="N117" s="13"/>
    </row>
    <row r="118" spans="1:14" x14ac:dyDescent="0.15">
      <c r="A118" s="5">
        <v>1800098518000980</v>
      </c>
      <c r="B118" s="2" t="s">
        <v>17</v>
      </c>
      <c r="C118" s="2" t="s">
        <v>18</v>
      </c>
      <c r="D118" s="2" t="s">
        <v>144</v>
      </c>
      <c r="E118" s="2" t="s">
        <v>11</v>
      </c>
      <c r="F118" s="15" t="str">
        <f>"720"</f>
        <v>720</v>
      </c>
      <c r="G118" s="2">
        <v>105.85</v>
      </c>
      <c r="H118" s="2" t="s">
        <v>12</v>
      </c>
      <c r="I118" s="2" t="s">
        <v>13</v>
      </c>
      <c r="J118" s="2" t="s">
        <v>52</v>
      </c>
      <c r="K118" s="3">
        <v>43147.578472222223</v>
      </c>
      <c r="L118" s="3">
        <v>43147.732638888891</v>
      </c>
      <c r="M118" s="8">
        <v>43147</v>
      </c>
      <c r="N118" s="13"/>
    </row>
    <row r="119" spans="1:14" x14ac:dyDescent="0.15">
      <c r="A119" s="5">
        <v>1800098618000980</v>
      </c>
      <c r="B119" s="2" t="s">
        <v>19</v>
      </c>
      <c r="C119" s="2" t="s">
        <v>20</v>
      </c>
      <c r="D119" s="2" t="s">
        <v>144</v>
      </c>
      <c r="E119" s="2" t="s">
        <v>11</v>
      </c>
      <c r="F119" s="15" t="str">
        <f>"8800"</f>
        <v>8800</v>
      </c>
      <c r="G119" s="2">
        <v>13.16</v>
      </c>
      <c r="H119" s="2" t="s">
        <v>12</v>
      </c>
      <c r="I119" s="2" t="s">
        <v>13</v>
      </c>
      <c r="J119" s="2" t="s">
        <v>52</v>
      </c>
      <c r="K119" s="3">
        <v>43147.578472222223</v>
      </c>
      <c r="L119" s="3">
        <v>43147.732638888891</v>
      </c>
      <c r="M119" s="8">
        <v>43147</v>
      </c>
      <c r="N119" s="13"/>
    </row>
    <row r="120" spans="1:14" x14ac:dyDescent="0.15">
      <c r="A120" s="5">
        <v>1800098718000980</v>
      </c>
      <c r="B120" s="2" t="s">
        <v>37</v>
      </c>
      <c r="C120" s="2" t="s">
        <v>38</v>
      </c>
      <c r="D120" s="2" t="s">
        <v>144</v>
      </c>
      <c r="E120" s="2" t="s">
        <v>11</v>
      </c>
      <c r="F120" s="15" t="str">
        <f>"2630"</f>
        <v>2630</v>
      </c>
      <c r="G120" s="2">
        <v>20.63</v>
      </c>
      <c r="H120" s="2" t="s">
        <v>12</v>
      </c>
      <c r="I120" s="2" t="s">
        <v>39</v>
      </c>
      <c r="J120" s="2" t="s">
        <v>52</v>
      </c>
      <c r="K120" s="3">
        <v>43147.578472222223</v>
      </c>
      <c r="L120" s="3">
        <v>43147.732638888891</v>
      </c>
      <c r="M120" s="8">
        <v>43147</v>
      </c>
      <c r="N120" s="13"/>
    </row>
    <row r="121" spans="1:14" x14ac:dyDescent="0.15">
      <c r="A121" s="5">
        <v>1800098818000980</v>
      </c>
      <c r="B121" s="2" t="s">
        <v>56</v>
      </c>
      <c r="C121" s="2" t="s">
        <v>57</v>
      </c>
      <c r="D121" s="2" t="s">
        <v>144</v>
      </c>
      <c r="E121" s="2" t="s">
        <v>11</v>
      </c>
      <c r="F121" s="15" t="str">
        <f>"3010"</f>
        <v>3010</v>
      </c>
      <c r="G121" s="2">
        <v>17.63</v>
      </c>
      <c r="H121" s="2" t="s">
        <v>12</v>
      </c>
      <c r="I121" s="2" t="s">
        <v>39</v>
      </c>
      <c r="J121" s="2" t="s">
        <v>52</v>
      </c>
      <c r="K121" s="3">
        <v>43147.578472222223</v>
      </c>
      <c r="L121" s="3">
        <v>43147.732638888891</v>
      </c>
      <c r="M121" s="8">
        <v>43147</v>
      </c>
      <c r="N121" s="13"/>
    </row>
    <row r="122" spans="1:14" x14ac:dyDescent="0.15">
      <c r="A122" s="5">
        <v>1800098918000980</v>
      </c>
      <c r="B122" s="2" t="s">
        <v>21</v>
      </c>
      <c r="C122" s="2" t="s">
        <v>22</v>
      </c>
      <c r="D122" s="2" t="s">
        <v>144</v>
      </c>
      <c r="E122" s="2" t="s">
        <v>11</v>
      </c>
      <c r="F122" s="15" t="str">
        <f>"800"</f>
        <v>800</v>
      </c>
      <c r="G122" s="2">
        <v>108.4</v>
      </c>
      <c r="H122" s="2" t="s">
        <v>12</v>
      </c>
      <c r="I122" s="2" t="s">
        <v>13</v>
      </c>
      <c r="J122" s="2" t="s">
        <v>52</v>
      </c>
      <c r="K122" s="3">
        <v>43147.578472222223</v>
      </c>
      <c r="L122" s="3">
        <v>43147.732638888891</v>
      </c>
      <c r="M122" s="8">
        <v>43147</v>
      </c>
      <c r="N122" s="13"/>
    </row>
    <row r="123" spans="1:14" x14ac:dyDescent="0.15">
      <c r="A123" s="5">
        <v>1800099118000990</v>
      </c>
      <c r="B123" s="2" t="s">
        <v>23</v>
      </c>
      <c r="C123" s="2" t="s">
        <v>24</v>
      </c>
      <c r="D123" s="2" t="s">
        <v>144</v>
      </c>
      <c r="E123" s="2" t="s">
        <v>11</v>
      </c>
      <c r="F123" s="15" t="str">
        <f>"1050"</f>
        <v>1050</v>
      </c>
      <c r="G123" s="2">
        <v>86.5</v>
      </c>
      <c r="H123" s="2" t="s">
        <v>12</v>
      </c>
      <c r="I123" s="2" t="s">
        <v>25</v>
      </c>
      <c r="J123" s="2" t="s">
        <v>52</v>
      </c>
      <c r="K123" s="3">
        <v>43147.578472222223</v>
      </c>
      <c r="L123" s="3">
        <v>43147.729166666664</v>
      </c>
      <c r="M123" s="8">
        <v>43147</v>
      </c>
      <c r="N123" s="13"/>
    </row>
    <row r="124" spans="1:14" x14ac:dyDescent="0.15">
      <c r="A124" s="5">
        <v>1800099318000990</v>
      </c>
      <c r="B124" s="2" t="s">
        <v>26</v>
      </c>
      <c r="C124" s="2" t="s">
        <v>27</v>
      </c>
      <c r="D124" s="2" t="s">
        <v>144</v>
      </c>
      <c r="E124" s="2" t="s">
        <v>11</v>
      </c>
      <c r="F124" s="15" t="str">
        <f>"1290"</f>
        <v>1290</v>
      </c>
      <c r="G124" s="2">
        <v>83.52</v>
      </c>
      <c r="H124" s="2" t="s">
        <v>12</v>
      </c>
      <c r="I124" s="2" t="s">
        <v>13</v>
      </c>
      <c r="J124" s="2" t="s">
        <v>52</v>
      </c>
      <c r="K124" s="3">
        <v>43147.578472222223</v>
      </c>
      <c r="L124" s="3">
        <v>43147.732638888891</v>
      </c>
      <c r="M124" s="8">
        <v>43147</v>
      </c>
      <c r="N124" s="13"/>
    </row>
    <row r="125" spans="1:14" x14ac:dyDescent="0.15">
      <c r="A125" s="5">
        <v>1800099418000990</v>
      </c>
      <c r="B125" s="2" t="s">
        <v>28</v>
      </c>
      <c r="C125" s="2" t="s">
        <v>29</v>
      </c>
      <c r="D125" s="2" t="s">
        <v>144</v>
      </c>
      <c r="E125" s="2" t="s">
        <v>11</v>
      </c>
      <c r="F125" s="15" t="str">
        <f>"470"</f>
        <v>470</v>
      </c>
      <c r="G125" s="2">
        <v>182.1</v>
      </c>
      <c r="H125" s="2" t="s">
        <v>12</v>
      </c>
      <c r="I125" s="2" t="s">
        <v>13</v>
      </c>
      <c r="J125" s="2" t="s">
        <v>52</v>
      </c>
      <c r="K125" s="3">
        <v>43147.578472222223</v>
      </c>
      <c r="L125" s="3">
        <v>43147.732638888891</v>
      </c>
      <c r="M125" s="8">
        <v>43147</v>
      </c>
      <c r="N125" s="13"/>
    </row>
    <row r="126" spans="1:14" x14ac:dyDescent="0.15">
      <c r="A126" s="5">
        <v>1800099518000990</v>
      </c>
      <c r="B126" s="2" t="s">
        <v>41</v>
      </c>
      <c r="C126" s="2" t="s">
        <v>42</v>
      </c>
      <c r="D126" s="2" t="s">
        <v>144</v>
      </c>
      <c r="E126" s="2" t="s">
        <v>11</v>
      </c>
      <c r="F126" s="15" t="str">
        <f>"16500"</f>
        <v>16500</v>
      </c>
      <c r="G126" s="2">
        <v>4.6580000000000004</v>
      </c>
      <c r="H126" s="2" t="s">
        <v>12</v>
      </c>
      <c r="I126" s="2" t="s">
        <v>43</v>
      </c>
      <c r="J126" s="2" t="s">
        <v>52</v>
      </c>
      <c r="K126" s="3">
        <v>43147.578472222223</v>
      </c>
      <c r="L126" s="3">
        <v>43147.728472222225</v>
      </c>
      <c r="M126" s="8">
        <v>43147</v>
      </c>
      <c r="N126" s="13"/>
    </row>
    <row r="127" spans="1:14" x14ac:dyDescent="0.15">
      <c r="A127" s="5">
        <v>1800099618000990</v>
      </c>
      <c r="B127" s="2" t="s">
        <v>30</v>
      </c>
      <c r="C127" s="2" t="s">
        <v>31</v>
      </c>
      <c r="D127" s="2" t="s">
        <v>144</v>
      </c>
      <c r="E127" s="2" t="s">
        <v>11</v>
      </c>
      <c r="F127" s="15" t="str">
        <f>"3780"</f>
        <v>3780</v>
      </c>
      <c r="G127" s="2">
        <v>16.77</v>
      </c>
      <c r="H127" s="2" t="s">
        <v>12</v>
      </c>
      <c r="I127" s="2" t="s">
        <v>25</v>
      </c>
      <c r="J127" s="2" t="s">
        <v>52</v>
      </c>
      <c r="K127" s="3">
        <v>43147.578472222223</v>
      </c>
      <c r="L127" s="3">
        <v>43147.729166666664</v>
      </c>
      <c r="M127" s="8">
        <v>43147</v>
      </c>
      <c r="N127" s="13"/>
    </row>
    <row r="128" spans="1:14" x14ac:dyDescent="0.15">
      <c r="A128" s="5">
        <v>1800099818000990</v>
      </c>
      <c r="B128" s="2" t="s">
        <v>32</v>
      </c>
      <c r="C128" s="2" t="s">
        <v>33</v>
      </c>
      <c r="D128" s="2" t="s">
        <v>144</v>
      </c>
      <c r="E128" s="2" t="s">
        <v>11</v>
      </c>
      <c r="F128" s="15" t="str">
        <f>"2010"</f>
        <v>2010</v>
      </c>
      <c r="G128" s="2">
        <v>84.31</v>
      </c>
      <c r="H128" s="2" t="s">
        <v>12</v>
      </c>
      <c r="I128" s="2" t="s">
        <v>13</v>
      </c>
      <c r="J128" s="2" t="s">
        <v>52</v>
      </c>
      <c r="K128" s="3">
        <v>43147.578472222223</v>
      </c>
      <c r="L128" s="3">
        <v>43147.732638888891</v>
      </c>
      <c r="M128" s="8">
        <v>43147</v>
      </c>
      <c r="N128" s="13"/>
    </row>
    <row r="129" spans="1:14" x14ac:dyDescent="0.15">
      <c r="A129" s="5">
        <v>1800099918000990</v>
      </c>
      <c r="B129" s="2" t="s">
        <v>34</v>
      </c>
      <c r="C129" s="2" t="s">
        <v>35</v>
      </c>
      <c r="D129" s="2" t="s">
        <v>144</v>
      </c>
      <c r="E129" s="2" t="s">
        <v>11</v>
      </c>
      <c r="F129" s="15" t="str">
        <f>"1200"</f>
        <v>1200</v>
      </c>
      <c r="G129" s="2">
        <v>111.18</v>
      </c>
      <c r="H129" s="2" t="s">
        <v>12</v>
      </c>
      <c r="I129" s="2" t="s">
        <v>13</v>
      </c>
      <c r="J129" s="2" t="s">
        <v>52</v>
      </c>
      <c r="K129" s="3">
        <v>43147.578472222223</v>
      </c>
      <c r="L129" s="3">
        <v>43147.732638888891</v>
      </c>
      <c r="M129" s="8">
        <v>43147</v>
      </c>
      <c r="N129" s="13"/>
    </row>
    <row r="130" spans="1:14" x14ac:dyDescent="0.15">
      <c r="A130" s="5">
        <v>1800105818001050</v>
      </c>
      <c r="B130" s="2" t="s">
        <v>21</v>
      </c>
      <c r="C130" s="2" t="s">
        <v>22</v>
      </c>
      <c r="D130" s="2" t="s">
        <v>141</v>
      </c>
      <c r="E130" s="2" t="s">
        <v>47</v>
      </c>
      <c r="F130" s="15" t="str">
        <f>"1500"</f>
        <v>1500</v>
      </c>
      <c r="G130" s="2">
        <v>109.72450000000001</v>
      </c>
      <c r="H130" s="2" t="s">
        <v>12</v>
      </c>
      <c r="I130" s="2" t="s">
        <v>13</v>
      </c>
      <c r="J130" s="2" t="s">
        <v>60</v>
      </c>
      <c r="K130" s="3">
        <v>43154.415277777778</v>
      </c>
      <c r="L130" s="3">
        <v>43154.425000000003</v>
      </c>
      <c r="M130" s="8">
        <v>43154</v>
      </c>
      <c r="N130" s="13"/>
    </row>
    <row r="131" spans="1:14" x14ac:dyDescent="0.15">
      <c r="A131" s="5">
        <v>1800106318001060</v>
      </c>
      <c r="B131" s="2" t="s">
        <v>62</v>
      </c>
      <c r="C131" s="2" t="s">
        <v>63</v>
      </c>
      <c r="D131" s="2" t="s">
        <v>141</v>
      </c>
      <c r="E131" s="2" t="s">
        <v>11</v>
      </c>
      <c r="F131" s="15" t="str">
        <f>"20000"</f>
        <v>20000</v>
      </c>
      <c r="G131" s="2">
        <v>1.7450000000000001</v>
      </c>
      <c r="H131" s="2" t="s">
        <v>12</v>
      </c>
      <c r="I131" s="2" t="s">
        <v>39</v>
      </c>
      <c r="J131" s="2" t="s">
        <v>50</v>
      </c>
      <c r="K131" s="3">
        <v>43154.722916666666</v>
      </c>
      <c r="L131" s="3">
        <v>43154.732638888891</v>
      </c>
      <c r="M131" s="8">
        <v>43154</v>
      </c>
      <c r="N131" s="13"/>
    </row>
    <row r="132" spans="1:14" x14ac:dyDescent="0.15">
      <c r="A132" s="5">
        <v>1800106418001060</v>
      </c>
      <c r="B132" s="2" t="s">
        <v>41</v>
      </c>
      <c r="C132" s="2" t="s">
        <v>42</v>
      </c>
      <c r="D132" s="2" t="s">
        <v>141</v>
      </c>
      <c r="E132" s="2" t="s">
        <v>47</v>
      </c>
      <c r="F132" s="15" t="str">
        <f>"30000"</f>
        <v>30000</v>
      </c>
      <c r="G132" s="2">
        <v>4.8171999999999997</v>
      </c>
      <c r="H132" s="2" t="s">
        <v>12</v>
      </c>
      <c r="I132" s="2" t="s">
        <v>43</v>
      </c>
      <c r="J132" s="2" t="s">
        <v>52</v>
      </c>
      <c r="K132" s="3">
        <v>43157.380555555559</v>
      </c>
      <c r="L132" s="3">
        <v>43157.384027777778</v>
      </c>
      <c r="M132" s="8">
        <v>43157</v>
      </c>
      <c r="N132" s="13"/>
    </row>
    <row r="133" spans="1:14" x14ac:dyDescent="0.15">
      <c r="A133" s="5">
        <v>1800106518001060</v>
      </c>
      <c r="B133" s="2" t="s">
        <v>44</v>
      </c>
      <c r="C133" s="2" t="s">
        <v>45</v>
      </c>
      <c r="D133" s="2" t="s">
        <v>141</v>
      </c>
      <c r="E133" s="2" t="s">
        <v>47</v>
      </c>
      <c r="F133" s="15" t="str">
        <f>"50000"</f>
        <v>50000</v>
      </c>
      <c r="G133" s="2">
        <v>3.1511</v>
      </c>
      <c r="H133" s="2" t="s">
        <v>12</v>
      </c>
      <c r="I133" s="2" t="s">
        <v>40</v>
      </c>
      <c r="J133" s="2" t="s">
        <v>50</v>
      </c>
      <c r="K133" s="3">
        <v>43157.384027777778</v>
      </c>
      <c r="L133" s="3">
        <v>43157.399305555555</v>
      </c>
      <c r="M133" s="8">
        <v>43157</v>
      </c>
      <c r="N133" s="13"/>
    </row>
    <row r="134" spans="1:14" x14ac:dyDescent="0.15">
      <c r="A134" s="5">
        <v>1800106618001060</v>
      </c>
      <c r="B134" s="2" t="s">
        <v>58</v>
      </c>
      <c r="C134" s="2" t="s">
        <v>59</v>
      </c>
      <c r="D134" s="2" t="s">
        <v>141</v>
      </c>
      <c r="E134" s="2" t="s">
        <v>47</v>
      </c>
      <c r="F134" s="15" t="str">
        <f>"20000"</f>
        <v>20000</v>
      </c>
      <c r="G134" s="2">
        <v>8.0974000000000004</v>
      </c>
      <c r="H134" s="2" t="s">
        <v>12</v>
      </c>
      <c r="I134" s="2" t="s">
        <v>39</v>
      </c>
      <c r="J134" s="2" t="s">
        <v>52</v>
      </c>
      <c r="K134" s="3">
        <v>43157.395138888889</v>
      </c>
      <c r="L134" s="3">
        <v>43157.4</v>
      </c>
      <c r="M134" s="8">
        <v>43157</v>
      </c>
      <c r="N134" s="13"/>
    </row>
    <row r="135" spans="1:14" x14ac:dyDescent="0.15">
      <c r="A135" s="5">
        <v>1800106718001060</v>
      </c>
      <c r="B135" s="2" t="s">
        <v>62</v>
      </c>
      <c r="C135" s="2" t="s">
        <v>63</v>
      </c>
      <c r="D135" s="2" t="s">
        <v>141</v>
      </c>
      <c r="E135" s="2" t="s">
        <v>11</v>
      </c>
      <c r="F135" s="15" t="str">
        <f>"80000"</f>
        <v>80000</v>
      </c>
      <c r="G135" s="2">
        <v>1.738</v>
      </c>
      <c r="H135" s="2" t="s">
        <v>12</v>
      </c>
      <c r="I135" s="2" t="s">
        <v>39</v>
      </c>
      <c r="J135" s="2" t="s">
        <v>51</v>
      </c>
      <c r="K135" s="3">
        <v>43157.724999999999</v>
      </c>
      <c r="L135" s="3">
        <v>43157.732638888891</v>
      </c>
      <c r="M135" s="8">
        <v>43157</v>
      </c>
      <c r="N135" s="13"/>
    </row>
    <row r="136" spans="1:14" x14ac:dyDescent="0.15">
      <c r="A136" s="5">
        <v>1800107118001070</v>
      </c>
      <c r="B136" s="2" t="s">
        <v>21</v>
      </c>
      <c r="C136" s="2" t="s">
        <v>22</v>
      </c>
      <c r="D136" s="2" t="s">
        <v>141</v>
      </c>
      <c r="E136" s="2" t="s">
        <v>11</v>
      </c>
      <c r="F136" s="15" t="str">
        <f>"500"</f>
        <v>500</v>
      </c>
      <c r="G136" s="2">
        <v>109.05</v>
      </c>
      <c r="H136" s="2" t="s">
        <v>12</v>
      </c>
      <c r="I136" s="2" t="s">
        <v>13</v>
      </c>
      <c r="J136" s="2" t="s">
        <v>50</v>
      </c>
      <c r="K136" s="3">
        <v>43158.710416666669</v>
      </c>
      <c r="L136" s="3">
        <v>43158.732638888891</v>
      </c>
      <c r="M136" s="8">
        <v>43158</v>
      </c>
      <c r="N136" s="13"/>
    </row>
    <row r="137" spans="1:14" x14ac:dyDescent="0.15">
      <c r="A137" s="5">
        <v>1800107818001070</v>
      </c>
      <c r="B137" s="2" t="s">
        <v>26</v>
      </c>
      <c r="C137" s="2" t="s">
        <v>27</v>
      </c>
      <c r="D137" s="2" t="s">
        <v>141</v>
      </c>
      <c r="E137" s="2" t="s">
        <v>11</v>
      </c>
      <c r="F137" s="15" t="str">
        <f>"1000"</f>
        <v>1000</v>
      </c>
      <c r="G137" s="2">
        <v>82.22</v>
      </c>
      <c r="H137" s="2" t="s">
        <v>12</v>
      </c>
      <c r="I137" s="2" t="s">
        <v>13</v>
      </c>
      <c r="J137" s="2" t="s">
        <v>52</v>
      </c>
      <c r="K137" s="3">
        <v>43159.718055555553</v>
      </c>
      <c r="L137" s="3">
        <v>43159.732638888891</v>
      </c>
      <c r="M137" s="8">
        <v>43159</v>
      </c>
      <c r="N137" s="13"/>
    </row>
    <row r="138" spans="1:14" x14ac:dyDescent="0.15">
      <c r="A138" s="5">
        <v>1800107918001070</v>
      </c>
      <c r="B138" s="2" t="s">
        <v>68</v>
      </c>
      <c r="C138" s="2" t="s">
        <v>69</v>
      </c>
      <c r="D138" s="2" t="s">
        <v>141</v>
      </c>
      <c r="E138" s="2" t="s">
        <v>11</v>
      </c>
      <c r="F138" s="15" t="str">
        <f>"500"</f>
        <v>500</v>
      </c>
      <c r="G138" s="2">
        <v>219.3</v>
      </c>
      <c r="H138" s="2" t="s">
        <v>48</v>
      </c>
      <c r="I138" s="2" t="s">
        <v>49</v>
      </c>
      <c r="J138" s="2" t="s">
        <v>52</v>
      </c>
      <c r="K138" s="3">
        <v>43159.718055555553</v>
      </c>
      <c r="L138" s="3">
        <v>43159.729166666664</v>
      </c>
      <c r="M138" s="8">
        <v>43159</v>
      </c>
      <c r="N138" s="13"/>
    </row>
    <row r="139" spans="1:14" x14ac:dyDescent="0.15">
      <c r="A139" s="5">
        <v>1700847617008470</v>
      </c>
      <c r="B139" s="2" t="s">
        <v>54</v>
      </c>
      <c r="C139" s="2" t="s">
        <v>55</v>
      </c>
      <c r="D139" s="2" t="s">
        <v>139</v>
      </c>
      <c r="E139" s="2" t="s">
        <v>11</v>
      </c>
      <c r="F139" s="15" t="str">
        <f>"7800"</f>
        <v>7800</v>
      </c>
      <c r="G139" s="2">
        <v>5.4790000000000001</v>
      </c>
      <c r="H139" s="2" t="s">
        <v>12</v>
      </c>
      <c r="I139" s="2" t="s">
        <v>39</v>
      </c>
      <c r="J139" s="2" t="s">
        <v>50</v>
      </c>
      <c r="K139" s="3">
        <v>43098.643750000003</v>
      </c>
      <c r="L139" s="3">
        <v>43098.732638888891</v>
      </c>
      <c r="M139" s="8">
        <v>43098</v>
      </c>
      <c r="N139" s="13"/>
    </row>
    <row r="140" spans="1:14" x14ac:dyDescent="0.15">
      <c r="A140" s="5">
        <v>1700847717008470</v>
      </c>
      <c r="B140" s="2" t="s">
        <v>37</v>
      </c>
      <c r="C140" s="2" t="s">
        <v>38</v>
      </c>
      <c r="D140" s="2" t="s">
        <v>139</v>
      </c>
      <c r="E140" s="2" t="s">
        <v>11</v>
      </c>
      <c r="F140" s="15" t="str">
        <f>"900"</f>
        <v>900</v>
      </c>
      <c r="G140" s="2">
        <v>23.87</v>
      </c>
      <c r="H140" s="2" t="s">
        <v>12</v>
      </c>
      <c r="I140" s="2" t="s">
        <v>39</v>
      </c>
      <c r="J140" s="2" t="s">
        <v>50</v>
      </c>
      <c r="K140" s="3">
        <v>43098.643750000003</v>
      </c>
      <c r="L140" s="3">
        <v>43098.732638888891</v>
      </c>
      <c r="M140" s="8">
        <v>43098</v>
      </c>
      <c r="N140" s="13"/>
    </row>
    <row r="141" spans="1:14" x14ac:dyDescent="0.15">
      <c r="A141" s="5">
        <v>1700847817008470</v>
      </c>
      <c r="B141" s="2" t="s">
        <v>56</v>
      </c>
      <c r="C141" s="2" t="s">
        <v>57</v>
      </c>
      <c r="D141" s="2" t="s">
        <v>139</v>
      </c>
      <c r="E141" s="2" t="s">
        <v>11</v>
      </c>
      <c r="F141" s="15" t="str">
        <f>"1000"</f>
        <v>1000</v>
      </c>
      <c r="G141" s="2">
        <v>18.925000000000001</v>
      </c>
      <c r="H141" s="2" t="s">
        <v>12</v>
      </c>
      <c r="I141" s="2" t="s">
        <v>39</v>
      </c>
      <c r="J141" s="2" t="s">
        <v>50</v>
      </c>
      <c r="K141" s="3">
        <v>43098.643750000003</v>
      </c>
      <c r="L141" s="3">
        <v>43098.732638888891</v>
      </c>
      <c r="M141" s="8">
        <v>43098</v>
      </c>
      <c r="N141" s="13"/>
    </row>
    <row r="142" spans="1:14" x14ac:dyDescent="0.15">
      <c r="A142" s="5">
        <v>1700848117008480</v>
      </c>
      <c r="B142" s="2" t="s">
        <v>41</v>
      </c>
      <c r="C142" s="2" t="s">
        <v>42</v>
      </c>
      <c r="D142" s="2" t="s">
        <v>139</v>
      </c>
      <c r="E142" s="2" t="s">
        <v>11</v>
      </c>
      <c r="F142" s="15" t="str">
        <f>"5600"</f>
        <v>5600</v>
      </c>
      <c r="G142" s="2">
        <v>3.8940000000000001</v>
      </c>
      <c r="H142" s="2" t="s">
        <v>12</v>
      </c>
      <c r="I142" s="2" t="s">
        <v>43</v>
      </c>
      <c r="J142" s="2" t="s">
        <v>50</v>
      </c>
      <c r="K142" s="3">
        <v>43098.643750000003</v>
      </c>
      <c r="L142" s="3">
        <v>43098.728472222225</v>
      </c>
      <c r="M142" s="8">
        <v>43098</v>
      </c>
      <c r="N142" s="13"/>
    </row>
    <row r="143" spans="1:14" x14ac:dyDescent="0.15">
      <c r="A143" s="5">
        <v>1700848317008480</v>
      </c>
      <c r="B143" s="2" t="s">
        <v>68</v>
      </c>
      <c r="C143" s="2" t="s">
        <v>69</v>
      </c>
      <c r="D143" s="2" t="s">
        <v>141</v>
      </c>
      <c r="E143" s="2" t="s">
        <v>47</v>
      </c>
      <c r="F143" s="15" t="str">
        <f>"500"</f>
        <v>500</v>
      </c>
      <c r="G143" s="2">
        <v>246.5</v>
      </c>
      <c r="H143" s="2" t="s">
        <v>48</v>
      </c>
      <c r="I143" s="2" t="s">
        <v>49</v>
      </c>
      <c r="J143" s="2" t="s">
        <v>52</v>
      </c>
      <c r="K143" s="3">
        <v>43098.709027777775</v>
      </c>
      <c r="L143" s="3">
        <v>43098.729861111111</v>
      </c>
      <c r="M143" s="8">
        <v>43098</v>
      </c>
      <c r="N143" s="13"/>
    </row>
    <row r="144" spans="1:14" x14ac:dyDescent="0.15">
      <c r="A144" s="5">
        <v>1800109818001090</v>
      </c>
      <c r="B144" s="2" t="s">
        <v>21</v>
      </c>
      <c r="C144" s="2" t="s">
        <v>22</v>
      </c>
      <c r="D144" s="2" t="s">
        <v>141</v>
      </c>
      <c r="E144" s="2" t="s">
        <v>11</v>
      </c>
      <c r="F144" s="15" t="str">
        <f>"1000"</f>
        <v>1000</v>
      </c>
      <c r="G144" s="2">
        <v>108.6</v>
      </c>
      <c r="H144" s="2" t="s">
        <v>12</v>
      </c>
      <c r="I144" s="2" t="s">
        <v>13</v>
      </c>
      <c r="J144" s="2" t="s">
        <v>14</v>
      </c>
      <c r="K144" s="3">
        <v>43160.723611111112</v>
      </c>
      <c r="L144" s="3">
        <v>43160.732638888891</v>
      </c>
      <c r="M144" s="8">
        <v>43160</v>
      </c>
      <c r="N144" s="13"/>
    </row>
    <row r="145" spans="1:14" x14ac:dyDescent="0.15">
      <c r="A145" s="5">
        <v>1800109918001090</v>
      </c>
      <c r="B145" s="2" t="s">
        <v>26</v>
      </c>
      <c r="C145" s="2" t="s">
        <v>27</v>
      </c>
      <c r="D145" s="2" t="s">
        <v>141</v>
      </c>
      <c r="E145" s="2" t="s">
        <v>11</v>
      </c>
      <c r="F145" s="15" t="str">
        <f>"1000"</f>
        <v>1000</v>
      </c>
      <c r="G145" s="2">
        <v>79.38</v>
      </c>
      <c r="H145" s="2" t="s">
        <v>12</v>
      </c>
      <c r="I145" s="2" t="s">
        <v>13</v>
      </c>
      <c r="J145" s="2" t="s">
        <v>14</v>
      </c>
      <c r="K145" s="3">
        <v>43160.723611111112</v>
      </c>
      <c r="L145" s="3">
        <v>43160.732638888891</v>
      </c>
      <c r="M145" s="8">
        <v>43160</v>
      </c>
      <c r="N145" s="13"/>
    </row>
    <row r="146" spans="1:14" x14ac:dyDescent="0.15">
      <c r="A146" s="5">
        <v>1800110618001100</v>
      </c>
      <c r="B146" s="2" t="s">
        <v>34</v>
      </c>
      <c r="C146" s="2" t="s">
        <v>35</v>
      </c>
      <c r="D146" s="2" t="s">
        <v>140</v>
      </c>
      <c r="E146" s="2" t="s">
        <v>11</v>
      </c>
      <c r="F146" s="15" t="str">
        <f>"1000"</f>
        <v>1000</v>
      </c>
      <c r="G146" s="2">
        <v>102.98</v>
      </c>
      <c r="H146" s="2" t="s">
        <v>12</v>
      </c>
      <c r="I146" s="2" t="s">
        <v>13</v>
      </c>
      <c r="J146" s="2" t="s">
        <v>50</v>
      </c>
      <c r="K146" s="3">
        <v>43161.719444444447</v>
      </c>
      <c r="L146" s="3">
        <v>43161.732638888891</v>
      </c>
      <c r="M146" s="8">
        <v>43161</v>
      </c>
      <c r="N146" s="13"/>
    </row>
    <row r="147" spans="1:14" x14ac:dyDescent="0.15">
      <c r="A147" s="5">
        <v>1800111818001110</v>
      </c>
      <c r="B147" s="2" t="s">
        <v>44</v>
      </c>
      <c r="C147" s="2" t="s">
        <v>45</v>
      </c>
      <c r="D147" s="2" t="s">
        <v>141</v>
      </c>
      <c r="E147" s="2" t="s">
        <v>11</v>
      </c>
      <c r="F147" s="15" t="str">
        <f>"30000"</f>
        <v>30000</v>
      </c>
      <c r="G147" s="2">
        <v>2.9180999999999999</v>
      </c>
      <c r="H147" s="2" t="s">
        <v>12</v>
      </c>
      <c r="I147" s="2" t="s">
        <v>40</v>
      </c>
      <c r="J147" s="2" t="s">
        <v>14</v>
      </c>
      <c r="K147" s="3">
        <v>43164.402083333334</v>
      </c>
      <c r="L147" s="3">
        <v>43164.405555555553</v>
      </c>
      <c r="M147" s="8">
        <v>43164</v>
      </c>
      <c r="N147" s="13"/>
    </row>
    <row r="148" spans="1:14" x14ac:dyDescent="0.15">
      <c r="A148" s="5">
        <v>1800111918001110</v>
      </c>
      <c r="B148" s="2" t="s">
        <v>41</v>
      </c>
      <c r="C148" s="2" t="s">
        <v>42</v>
      </c>
      <c r="D148" s="2" t="s">
        <v>141</v>
      </c>
      <c r="E148" s="2" t="s">
        <v>47</v>
      </c>
      <c r="F148" s="15" t="str">
        <f>"30000"</f>
        <v>30000</v>
      </c>
      <c r="G148" s="2">
        <v>4.7012</v>
      </c>
      <c r="H148" s="2" t="s">
        <v>12</v>
      </c>
      <c r="I148" s="2" t="s">
        <v>43</v>
      </c>
      <c r="J148" s="2" t="s">
        <v>53</v>
      </c>
      <c r="K148" s="3">
        <v>43164.404166666667</v>
      </c>
      <c r="L148" s="3">
        <v>43164.411805555559</v>
      </c>
      <c r="M148" s="8">
        <v>43164</v>
      </c>
      <c r="N148" s="13"/>
    </row>
    <row r="149" spans="1:14" x14ac:dyDescent="0.15">
      <c r="A149" s="5">
        <v>1800113718001130</v>
      </c>
      <c r="B149" s="2" t="s">
        <v>68</v>
      </c>
      <c r="C149" s="2" t="s">
        <v>69</v>
      </c>
      <c r="D149" s="2" t="s">
        <v>141</v>
      </c>
      <c r="E149" s="2" t="s">
        <v>47</v>
      </c>
      <c r="F149" s="15" t="str">
        <f>"1000"</f>
        <v>1000</v>
      </c>
      <c r="G149" s="2">
        <v>226.77860000000001</v>
      </c>
      <c r="H149" s="2" t="s">
        <v>48</v>
      </c>
      <c r="I149" s="2" t="s">
        <v>49</v>
      </c>
      <c r="J149" s="2" t="s">
        <v>14</v>
      </c>
      <c r="K149" s="3">
        <v>43165.461805555555</v>
      </c>
      <c r="L149" s="3">
        <v>43165.467361111114</v>
      </c>
      <c r="M149" s="8">
        <v>43165</v>
      </c>
      <c r="N149" s="13"/>
    </row>
    <row r="150" spans="1:14" x14ac:dyDescent="0.15">
      <c r="A150" s="5">
        <v>1800119218001190</v>
      </c>
      <c r="B150" s="2" t="s">
        <v>62</v>
      </c>
      <c r="C150" s="2" t="s">
        <v>63</v>
      </c>
      <c r="D150" s="2" t="s">
        <v>141</v>
      </c>
      <c r="E150" s="2" t="s">
        <v>11</v>
      </c>
      <c r="F150" s="15" t="str">
        <f>"50000"</f>
        <v>50000</v>
      </c>
      <c r="G150" s="2">
        <v>1.67</v>
      </c>
      <c r="H150" s="2" t="s">
        <v>12</v>
      </c>
      <c r="I150" s="2" t="s">
        <v>39</v>
      </c>
      <c r="J150" s="2" t="s">
        <v>50</v>
      </c>
      <c r="K150" s="3">
        <v>43167.709722222222</v>
      </c>
      <c r="L150" s="3">
        <v>43167.732638888891</v>
      </c>
      <c r="M150" s="8">
        <v>43167</v>
      </c>
      <c r="N150" s="13"/>
    </row>
    <row r="151" spans="1:14" x14ac:dyDescent="0.15">
      <c r="A151" s="5">
        <v>1800121818001210</v>
      </c>
      <c r="B151" s="2" t="s">
        <v>21</v>
      </c>
      <c r="C151" s="2" t="s">
        <v>22</v>
      </c>
      <c r="D151" s="2" t="s">
        <v>141</v>
      </c>
      <c r="E151" s="2" t="s">
        <v>47</v>
      </c>
      <c r="F151" s="15" t="str">
        <f>"1000"</f>
        <v>1000</v>
      </c>
      <c r="G151" s="2">
        <v>112.0119</v>
      </c>
      <c r="H151" s="2" t="s">
        <v>12</v>
      </c>
      <c r="I151" s="2" t="s">
        <v>13</v>
      </c>
      <c r="J151" s="2" t="s">
        <v>46</v>
      </c>
      <c r="K151" s="3">
        <v>43168.488194444442</v>
      </c>
      <c r="L151" s="3">
        <v>43168.491666666669</v>
      </c>
      <c r="M151" s="8">
        <v>43168</v>
      </c>
      <c r="N151" s="13"/>
    </row>
    <row r="152" spans="1:14" x14ac:dyDescent="0.15">
      <c r="A152" s="5">
        <v>1800121918001210</v>
      </c>
      <c r="B152" s="2" t="s">
        <v>32</v>
      </c>
      <c r="C152" s="2" t="s">
        <v>33</v>
      </c>
      <c r="D152" s="2" t="s">
        <v>141</v>
      </c>
      <c r="E152" s="2" t="s">
        <v>47</v>
      </c>
      <c r="F152" s="15" t="str">
        <f>"500"</f>
        <v>500</v>
      </c>
      <c r="G152" s="2">
        <v>87.875200000000007</v>
      </c>
      <c r="H152" s="2" t="s">
        <v>12</v>
      </c>
      <c r="I152" s="2" t="s">
        <v>13</v>
      </c>
      <c r="J152" s="2" t="s">
        <v>46</v>
      </c>
      <c r="K152" s="3">
        <v>43168.488194444442</v>
      </c>
      <c r="L152" s="3">
        <v>43168.493055555555</v>
      </c>
      <c r="M152" s="8">
        <v>43168</v>
      </c>
      <c r="N152" s="13"/>
    </row>
    <row r="153" spans="1:14" x14ac:dyDescent="0.15">
      <c r="A153" s="5">
        <v>1800124118001240</v>
      </c>
      <c r="B153" s="2" t="s">
        <v>58</v>
      </c>
      <c r="C153" s="2" t="s">
        <v>59</v>
      </c>
      <c r="D153" s="2" t="s">
        <v>141</v>
      </c>
      <c r="E153" s="2" t="s">
        <v>47</v>
      </c>
      <c r="F153" s="15" t="str">
        <f>"20000"</f>
        <v>20000</v>
      </c>
      <c r="G153" s="2">
        <v>8.1850000000000005</v>
      </c>
      <c r="H153" s="2" t="s">
        <v>12</v>
      </c>
      <c r="I153" s="2" t="s">
        <v>39</v>
      </c>
      <c r="J153" s="2" t="s">
        <v>52</v>
      </c>
      <c r="K153" s="3">
        <v>43171.664583333331</v>
      </c>
      <c r="L153" s="3">
        <v>43171.732638888891</v>
      </c>
      <c r="M153" s="8">
        <v>43171</v>
      </c>
      <c r="N153" s="13"/>
    </row>
    <row r="154" spans="1:14" x14ac:dyDescent="0.15">
      <c r="A154" s="5">
        <v>1800130818001300</v>
      </c>
      <c r="B154" s="2" t="s">
        <v>68</v>
      </c>
      <c r="C154" s="2" t="s">
        <v>69</v>
      </c>
      <c r="D154" s="2" t="s">
        <v>141</v>
      </c>
      <c r="E154" s="2" t="s">
        <v>11</v>
      </c>
      <c r="F154" s="15" t="str">
        <f>"500"</f>
        <v>500</v>
      </c>
      <c r="G154" s="2">
        <v>220.05</v>
      </c>
      <c r="H154" s="2" t="s">
        <v>48</v>
      </c>
      <c r="I154" s="2" t="s">
        <v>49</v>
      </c>
      <c r="J154" s="2" t="s">
        <v>52</v>
      </c>
      <c r="K154" s="3">
        <v>43175.720833333333</v>
      </c>
      <c r="L154" s="3">
        <v>43175.729166666664</v>
      </c>
      <c r="M154" s="8">
        <v>43175</v>
      </c>
      <c r="N154" s="13"/>
    </row>
    <row r="155" spans="1:14" x14ac:dyDescent="0.15">
      <c r="A155" s="5">
        <v>1800140418001400</v>
      </c>
      <c r="B155" s="2" t="s">
        <v>41</v>
      </c>
      <c r="C155" s="2" t="s">
        <v>42</v>
      </c>
      <c r="D155" s="2" t="s">
        <v>141</v>
      </c>
      <c r="E155" s="2" t="s">
        <v>11</v>
      </c>
      <c r="F155" s="15" t="str">
        <f>"10000"</f>
        <v>10000</v>
      </c>
      <c r="G155" s="2">
        <v>4.5244999999999997</v>
      </c>
      <c r="H155" s="2" t="s">
        <v>12</v>
      </c>
      <c r="I155" s="2" t="s">
        <v>43</v>
      </c>
      <c r="J155" s="2" t="s">
        <v>46</v>
      </c>
      <c r="K155" s="3">
        <v>43181.488888888889</v>
      </c>
      <c r="L155" s="3">
        <v>43181.495138888888</v>
      </c>
      <c r="M155" s="8">
        <v>43181</v>
      </c>
      <c r="N155" s="13"/>
    </row>
    <row r="156" spans="1:14" x14ac:dyDescent="0.15">
      <c r="A156" s="5">
        <v>1800144918001440</v>
      </c>
      <c r="B156" s="2" t="s">
        <v>82</v>
      </c>
      <c r="C156" s="2" t="s">
        <v>83</v>
      </c>
      <c r="D156" s="2" t="s">
        <v>141</v>
      </c>
      <c r="E156" s="2" t="s">
        <v>11</v>
      </c>
      <c r="F156" s="15" t="str">
        <f>"5000"</f>
        <v>5000</v>
      </c>
      <c r="G156" s="2">
        <v>16.3</v>
      </c>
      <c r="H156" s="2" t="s">
        <v>48</v>
      </c>
      <c r="I156" s="2" t="s">
        <v>49</v>
      </c>
      <c r="J156" s="2" t="s">
        <v>14</v>
      </c>
      <c r="K156" s="3">
        <v>43181.727083333331</v>
      </c>
      <c r="L156" s="3">
        <v>43181.729166666664</v>
      </c>
      <c r="M156" s="8">
        <v>43181</v>
      </c>
      <c r="N156" s="13"/>
    </row>
    <row r="157" spans="1:14" x14ac:dyDescent="0.15">
      <c r="A157" s="5">
        <v>1800145318001450</v>
      </c>
      <c r="B157" s="2" t="s">
        <v>44</v>
      </c>
      <c r="C157" s="2" t="s">
        <v>45</v>
      </c>
      <c r="D157" s="2" t="s">
        <v>141</v>
      </c>
      <c r="E157" s="2" t="s">
        <v>11</v>
      </c>
      <c r="F157" s="15" t="str">
        <f>"4000"</f>
        <v>4000</v>
      </c>
      <c r="G157" s="2">
        <v>2.8389000000000002</v>
      </c>
      <c r="H157" s="2" t="s">
        <v>12</v>
      </c>
      <c r="I157" s="2" t="s">
        <v>40</v>
      </c>
      <c r="J157" s="2" t="s">
        <v>52</v>
      </c>
      <c r="K157" s="3">
        <v>43182.459722222222</v>
      </c>
      <c r="L157" s="3">
        <v>43182.461805555555</v>
      </c>
      <c r="M157" s="8">
        <v>43182</v>
      </c>
      <c r="N157" s="13"/>
    </row>
    <row r="158" spans="1:14" x14ac:dyDescent="0.15">
      <c r="A158" s="5">
        <v>1800154218001540</v>
      </c>
      <c r="B158" s="2" t="s">
        <v>56</v>
      </c>
      <c r="C158" s="2" t="s">
        <v>57</v>
      </c>
      <c r="D158" s="2" t="s">
        <v>142</v>
      </c>
      <c r="E158" s="2" t="s">
        <v>11</v>
      </c>
      <c r="F158" s="15" t="str">
        <f>"22566"</f>
        <v>22566</v>
      </c>
      <c r="G158" s="2">
        <v>16.699400000000001</v>
      </c>
      <c r="H158" s="2" t="s">
        <v>12</v>
      </c>
      <c r="I158" s="2" t="s">
        <v>39</v>
      </c>
      <c r="J158" s="2" t="s">
        <v>85</v>
      </c>
      <c r="K158" s="3">
        <v>43187.679861111108</v>
      </c>
      <c r="L158" s="4">
        <v>43187</v>
      </c>
      <c r="M158" s="8">
        <v>43187</v>
      </c>
      <c r="N158" s="13"/>
    </row>
    <row r="159" spans="1:14" x14ac:dyDescent="0.15">
      <c r="A159" s="5">
        <v>1800154418001540</v>
      </c>
      <c r="B159" s="2" t="s">
        <v>56</v>
      </c>
      <c r="C159" s="2" t="s">
        <v>57</v>
      </c>
      <c r="D159" s="2" t="s">
        <v>143</v>
      </c>
      <c r="E159" s="2" t="s">
        <v>11</v>
      </c>
      <c r="F159" s="15" t="str">
        <f>"2857"</f>
        <v>2857</v>
      </c>
      <c r="G159" s="2">
        <v>16.699400000000001</v>
      </c>
      <c r="H159" s="2" t="s">
        <v>12</v>
      </c>
      <c r="I159" s="2" t="s">
        <v>39</v>
      </c>
      <c r="J159" s="2" t="s">
        <v>85</v>
      </c>
      <c r="K159" s="3">
        <v>43187.679861111108</v>
      </c>
      <c r="L159" s="4">
        <v>43187</v>
      </c>
      <c r="M159" s="8">
        <v>43187</v>
      </c>
      <c r="N159" s="13"/>
    </row>
    <row r="160" spans="1:14" x14ac:dyDescent="0.15">
      <c r="A160" s="5">
        <v>1800154518001540</v>
      </c>
      <c r="B160" s="2" t="s">
        <v>56</v>
      </c>
      <c r="C160" s="2" t="s">
        <v>57</v>
      </c>
      <c r="D160" s="2" t="s">
        <v>144</v>
      </c>
      <c r="E160" s="2" t="s">
        <v>11</v>
      </c>
      <c r="F160" s="15" t="str">
        <f>"4558"</f>
        <v>4558</v>
      </c>
      <c r="G160" s="2">
        <v>16.699400000000001</v>
      </c>
      <c r="H160" s="2" t="s">
        <v>12</v>
      </c>
      <c r="I160" s="2" t="s">
        <v>39</v>
      </c>
      <c r="J160" s="2" t="s">
        <v>85</v>
      </c>
      <c r="K160" s="3">
        <v>43187.679861111108</v>
      </c>
      <c r="L160" s="4">
        <v>43187</v>
      </c>
      <c r="M160" s="8">
        <v>43187</v>
      </c>
      <c r="N160" s="13"/>
    </row>
    <row r="161" spans="1:14" x14ac:dyDescent="0.15">
      <c r="A161" s="5">
        <v>1800154718001540</v>
      </c>
      <c r="B161" s="2" t="s">
        <v>56</v>
      </c>
      <c r="C161" s="2" t="s">
        <v>57</v>
      </c>
      <c r="D161" s="2" t="s">
        <v>145</v>
      </c>
      <c r="E161" s="2" t="s">
        <v>11</v>
      </c>
      <c r="F161" s="15" t="str">
        <f>"4418"</f>
        <v>4418</v>
      </c>
      <c r="G161" s="2">
        <v>16.699400000000001</v>
      </c>
      <c r="H161" s="2" t="s">
        <v>12</v>
      </c>
      <c r="I161" s="2" t="s">
        <v>39</v>
      </c>
      <c r="J161" s="2" t="s">
        <v>85</v>
      </c>
      <c r="K161" s="3">
        <v>43187.679861111108</v>
      </c>
      <c r="L161" s="4">
        <v>43187</v>
      </c>
      <c r="M161" s="8">
        <v>43187</v>
      </c>
      <c r="N161" s="13"/>
    </row>
    <row r="162" spans="1:14" x14ac:dyDescent="0.15">
      <c r="A162" s="5">
        <v>1800154818001540</v>
      </c>
      <c r="B162" s="2" t="s">
        <v>56</v>
      </c>
      <c r="C162" s="2" t="s">
        <v>57</v>
      </c>
      <c r="D162" s="2" t="s">
        <v>146</v>
      </c>
      <c r="E162" s="2" t="s">
        <v>11</v>
      </c>
      <c r="F162" s="15" t="str">
        <f>"34845"</f>
        <v>34845</v>
      </c>
      <c r="G162" s="2">
        <v>16.699400000000001</v>
      </c>
      <c r="H162" s="2" t="s">
        <v>12</v>
      </c>
      <c r="I162" s="2" t="s">
        <v>39</v>
      </c>
      <c r="J162" s="2" t="s">
        <v>85</v>
      </c>
      <c r="K162" s="3">
        <v>43187.679861111108</v>
      </c>
      <c r="L162" s="4">
        <v>43187</v>
      </c>
      <c r="M162" s="8">
        <v>43187</v>
      </c>
      <c r="N162" s="13"/>
    </row>
    <row r="163" spans="1:14" x14ac:dyDescent="0.15">
      <c r="A163" s="5">
        <v>1800155018001550</v>
      </c>
      <c r="B163" s="2" t="s">
        <v>56</v>
      </c>
      <c r="C163" s="2" t="s">
        <v>57</v>
      </c>
      <c r="D163" s="2" t="s">
        <v>139</v>
      </c>
      <c r="E163" s="2" t="s">
        <v>11</v>
      </c>
      <c r="F163" s="15" t="str">
        <f>"34148"</f>
        <v>34148</v>
      </c>
      <c r="G163" s="2">
        <v>16.699400000000001</v>
      </c>
      <c r="H163" s="2" t="s">
        <v>12</v>
      </c>
      <c r="I163" s="2" t="s">
        <v>39</v>
      </c>
      <c r="J163" s="2" t="s">
        <v>85</v>
      </c>
      <c r="K163" s="3">
        <v>43187.679861111108</v>
      </c>
      <c r="L163" s="4">
        <v>43187</v>
      </c>
      <c r="M163" s="8">
        <v>43187</v>
      </c>
      <c r="N163" s="13"/>
    </row>
    <row r="164" spans="1:14" x14ac:dyDescent="0.15">
      <c r="A164" s="5">
        <v>1800155518001550</v>
      </c>
      <c r="B164" s="2" t="s">
        <v>54</v>
      </c>
      <c r="C164" s="2" t="s">
        <v>55</v>
      </c>
      <c r="D164" s="2" t="s">
        <v>143</v>
      </c>
      <c r="E164" s="2" t="s">
        <v>11</v>
      </c>
      <c r="F164" s="15" t="str">
        <f>"6900"</f>
        <v>6900</v>
      </c>
      <c r="G164" s="2">
        <v>5.2093999999999996</v>
      </c>
      <c r="H164" s="2" t="s">
        <v>12</v>
      </c>
      <c r="I164" s="2" t="s">
        <v>39</v>
      </c>
      <c r="J164" s="2" t="s">
        <v>46</v>
      </c>
      <c r="K164" s="3">
        <v>43187.684027777781</v>
      </c>
      <c r="L164" s="3">
        <v>43187.732638888891</v>
      </c>
      <c r="M164" s="8">
        <v>43187</v>
      </c>
      <c r="N164" s="13"/>
    </row>
    <row r="165" spans="1:14" x14ac:dyDescent="0.15">
      <c r="A165" s="5">
        <v>1800155618001550</v>
      </c>
      <c r="B165" s="2" t="s">
        <v>54</v>
      </c>
      <c r="C165" s="2" t="s">
        <v>55</v>
      </c>
      <c r="D165" s="2" t="s">
        <v>144</v>
      </c>
      <c r="E165" s="2" t="s">
        <v>11</v>
      </c>
      <c r="F165" s="15" t="str">
        <f>"10120"</f>
        <v>10120</v>
      </c>
      <c r="G165" s="2">
        <v>5.2093999999999996</v>
      </c>
      <c r="H165" s="2" t="s">
        <v>12</v>
      </c>
      <c r="I165" s="2" t="s">
        <v>39</v>
      </c>
      <c r="J165" s="2" t="s">
        <v>46</v>
      </c>
      <c r="K165" s="3">
        <v>43187.684027777781</v>
      </c>
      <c r="L165" s="3">
        <v>43187.732638888891</v>
      </c>
      <c r="M165" s="8">
        <v>43187</v>
      </c>
      <c r="N165" s="13"/>
    </row>
    <row r="166" spans="1:14" x14ac:dyDescent="0.15">
      <c r="A166" s="5">
        <v>1800155818001550</v>
      </c>
      <c r="B166" s="2" t="s">
        <v>54</v>
      </c>
      <c r="C166" s="2" t="s">
        <v>55</v>
      </c>
      <c r="D166" s="2" t="s">
        <v>145</v>
      </c>
      <c r="E166" s="2" t="s">
        <v>11</v>
      </c>
      <c r="F166" s="15" t="str">
        <f>"9860"</f>
        <v>9860</v>
      </c>
      <c r="G166" s="2">
        <v>5.2093999999999996</v>
      </c>
      <c r="H166" s="2" t="s">
        <v>12</v>
      </c>
      <c r="I166" s="2" t="s">
        <v>39</v>
      </c>
      <c r="J166" s="2" t="s">
        <v>46</v>
      </c>
      <c r="K166" s="3">
        <v>43187.684027777781</v>
      </c>
      <c r="L166" s="3">
        <v>43187.732638888891</v>
      </c>
      <c r="M166" s="8">
        <v>43187</v>
      </c>
      <c r="N166" s="13"/>
    </row>
    <row r="167" spans="1:14" x14ac:dyDescent="0.15">
      <c r="A167" s="5">
        <v>1800155918001550</v>
      </c>
      <c r="B167" s="2" t="s">
        <v>54</v>
      </c>
      <c r="C167" s="2" t="s">
        <v>55</v>
      </c>
      <c r="D167" s="2" t="s">
        <v>146</v>
      </c>
      <c r="E167" s="2" t="s">
        <v>11</v>
      </c>
      <c r="F167" s="15" t="str">
        <f>"78100"</f>
        <v>78100</v>
      </c>
      <c r="G167" s="2">
        <v>5.2093999999999996</v>
      </c>
      <c r="H167" s="2" t="s">
        <v>12</v>
      </c>
      <c r="I167" s="2" t="s">
        <v>39</v>
      </c>
      <c r="J167" s="2" t="s">
        <v>46</v>
      </c>
      <c r="K167" s="3">
        <v>43187.684027777781</v>
      </c>
      <c r="L167" s="3">
        <v>43187.732638888891</v>
      </c>
      <c r="M167" s="8">
        <v>43187</v>
      </c>
      <c r="N167" s="13"/>
    </row>
    <row r="168" spans="1:14" x14ac:dyDescent="0.15">
      <c r="A168" s="5">
        <v>1800156118001560</v>
      </c>
      <c r="B168" s="2" t="s">
        <v>54</v>
      </c>
      <c r="C168" s="2" t="s">
        <v>55</v>
      </c>
      <c r="D168" s="2" t="s">
        <v>139</v>
      </c>
      <c r="E168" s="2" t="s">
        <v>11</v>
      </c>
      <c r="F168" s="15" t="str">
        <f>"77600"</f>
        <v>77600</v>
      </c>
      <c r="G168" s="2">
        <v>5.2093999999999996</v>
      </c>
      <c r="H168" s="2" t="s">
        <v>12</v>
      </c>
      <c r="I168" s="2" t="s">
        <v>39</v>
      </c>
      <c r="J168" s="2" t="s">
        <v>46</v>
      </c>
      <c r="K168" s="3">
        <v>43187.684027777781</v>
      </c>
      <c r="L168" s="3">
        <v>43187.732638888891</v>
      </c>
      <c r="M168" s="8">
        <v>43187</v>
      </c>
      <c r="N168" s="13"/>
    </row>
    <row r="169" spans="1:14" x14ac:dyDescent="0.15">
      <c r="A169" s="5">
        <v>1800157818001570</v>
      </c>
      <c r="B169" s="2" t="s">
        <v>82</v>
      </c>
      <c r="C169" s="2" t="s">
        <v>83</v>
      </c>
      <c r="D169" s="2" t="s">
        <v>141</v>
      </c>
      <c r="E169" s="2" t="s">
        <v>11</v>
      </c>
      <c r="F169" s="15" t="str">
        <f>"15000"</f>
        <v>15000</v>
      </c>
      <c r="G169" s="2">
        <v>15.984999999999999</v>
      </c>
      <c r="H169" s="2" t="s">
        <v>48</v>
      </c>
      <c r="I169" s="2" t="s">
        <v>49</v>
      </c>
      <c r="J169" s="2" t="s">
        <v>50</v>
      </c>
      <c r="K169" s="3">
        <v>43187.727083333331</v>
      </c>
      <c r="L169" s="3">
        <v>43187.729166666664</v>
      </c>
      <c r="M169" s="8">
        <v>43187</v>
      </c>
      <c r="N169" s="13"/>
    </row>
    <row r="170" spans="1:14" x14ac:dyDescent="0.15">
      <c r="A170" s="5">
        <v>1800157918001570</v>
      </c>
      <c r="B170" s="2" t="s">
        <v>56</v>
      </c>
      <c r="C170" s="2" t="s">
        <v>57</v>
      </c>
      <c r="D170" s="2" t="s">
        <v>142</v>
      </c>
      <c r="E170" s="2" t="s">
        <v>11</v>
      </c>
      <c r="F170" s="15" t="str">
        <f>"9814"</f>
        <v>9814</v>
      </c>
      <c r="G170" s="2">
        <v>16.923400000000001</v>
      </c>
      <c r="H170" s="2" t="s">
        <v>12</v>
      </c>
      <c r="I170" s="2" t="s">
        <v>39</v>
      </c>
      <c r="J170" s="2" t="s">
        <v>85</v>
      </c>
      <c r="K170" s="3">
        <v>43187.679861111108</v>
      </c>
      <c r="L170" s="3">
        <v>43188.707638888889</v>
      </c>
      <c r="M170" s="8">
        <v>43187</v>
      </c>
      <c r="N170" s="13"/>
    </row>
    <row r="171" spans="1:14" x14ac:dyDescent="0.15">
      <c r="A171" s="5">
        <v>1800158118001580</v>
      </c>
      <c r="B171" s="2" t="s">
        <v>56</v>
      </c>
      <c r="C171" s="2" t="s">
        <v>57</v>
      </c>
      <c r="D171" s="2" t="s">
        <v>143</v>
      </c>
      <c r="E171" s="2" t="s">
        <v>11</v>
      </c>
      <c r="F171" s="15" t="str">
        <f>"1243"</f>
        <v>1243</v>
      </c>
      <c r="G171" s="2">
        <v>16.923400000000001</v>
      </c>
      <c r="H171" s="2" t="s">
        <v>12</v>
      </c>
      <c r="I171" s="2" t="s">
        <v>39</v>
      </c>
      <c r="J171" s="2" t="s">
        <v>85</v>
      </c>
      <c r="K171" s="3">
        <v>43187.679861111108</v>
      </c>
      <c r="L171" s="3">
        <v>43188.707638888889</v>
      </c>
      <c r="M171" s="8">
        <v>43187</v>
      </c>
      <c r="N171" s="13"/>
    </row>
    <row r="172" spans="1:14" x14ac:dyDescent="0.15">
      <c r="A172" s="5">
        <v>1800158218001580</v>
      </c>
      <c r="B172" s="2" t="s">
        <v>56</v>
      </c>
      <c r="C172" s="2" t="s">
        <v>57</v>
      </c>
      <c r="D172" s="2" t="s">
        <v>144</v>
      </c>
      <c r="E172" s="2" t="s">
        <v>11</v>
      </c>
      <c r="F172" s="15" t="str">
        <f>"1982"</f>
        <v>1982</v>
      </c>
      <c r="G172" s="2">
        <v>16.923400000000001</v>
      </c>
      <c r="H172" s="2" t="s">
        <v>12</v>
      </c>
      <c r="I172" s="2" t="s">
        <v>39</v>
      </c>
      <c r="J172" s="2" t="s">
        <v>85</v>
      </c>
      <c r="K172" s="3">
        <v>43187.679861111108</v>
      </c>
      <c r="L172" s="3">
        <v>43188.707638888889</v>
      </c>
      <c r="M172" s="8">
        <v>43187</v>
      </c>
      <c r="N172" s="13"/>
    </row>
    <row r="173" spans="1:14" x14ac:dyDescent="0.15">
      <c r="A173" s="5">
        <v>1800158418001580</v>
      </c>
      <c r="B173" s="2" t="s">
        <v>56</v>
      </c>
      <c r="C173" s="2" t="s">
        <v>57</v>
      </c>
      <c r="D173" s="2" t="s">
        <v>145</v>
      </c>
      <c r="E173" s="2" t="s">
        <v>11</v>
      </c>
      <c r="F173" s="15" t="str">
        <f>"1922"</f>
        <v>1922</v>
      </c>
      <c r="G173" s="2">
        <v>16.923400000000001</v>
      </c>
      <c r="H173" s="2" t="s">
        <v>12</v>
      </c>
      <c r="I173" s="2" t="s">
        <v>39</v>
      </c>
      <c r="J173" s="2" t="s">
        <v>85</v>
      </c>
      <c r="K173" s="3">
        <v>43187.679861111108</v>
      </c>
      <c r="L173" s="3">
        <v>43188.707638888889</v>
      </c>
      <c r="M173" s="8">
        <v>43187</v>
      </c>
      <c r="N173" s="13"/>
    </row>
    <row r="174" spans="1:14" x14ac:dyDescent="0.15">
      <c r="A174" s="5">
        <v>1800158518001580</v>
      </c>
      <c r="B174" s="2" t="s">
        <v>56</v>
      </c>
      <c r="C174" s="2" t="s">
        <v>57</v>
      </c>
      <c r="D174" s="2" t="s">
        <v>146</v>
      </c>
      <c r="E174" s="2" t="s">
        <v>11</v>
      </c>
      <c r="F174" s="15" t="str">
        <f>"15155"</f>
        <v>15155</v>
      </c>
      <c r="G174" s="2">
        <v>16.923400000000001</v>
      </c>
      <c r="H174" s="2" t="s">
        <v>12</v>
      </c>
      <c r="I174" s="2" t="s">
        <v>39</v>
      </c>
      <c r="J174" s="2" t="s">
        <v>85</v>
      </c>
      <c r="K174" s="3">
        <v>43187.679861111108</v>
      </c>
      <c r="L174" s="3">
        <v>43188.707638888889</v>
      </c>
      <c r="M174" s="8">
        <v>43187</v>
      </c>
      <c r="N174" s="13"/>
    </row>
    <row r="175" spans="1:14" x14ac:dyDescent="0.15">
      <c r="A175" s="18">
        <v>1800158718001580</v>
      </c>
      <c r="B175" s="19" t="s">
        <v>56</v>
      </c>
      <c r="C175" s="19" t="s">
        <v>57</v>
      </c>
      <c r="D175" s="19" t="s">
        <v>139</v>
      </c>
      <c r="E175" s="19" t="s">
        <v>11</v>
      </c>
      <c r="F175" s="20" t="str">
        <f>"14852"</f>
        <v>14852</v>
      </c>
      <c r="G175" s="19">
        <v>16.923400000000001</v>
      </c>
      <c r="H175" s="19" t="s">
        <v>12</v>
      </c>
      <c r="I175" s="19" t="s">
        <v>39</v>
      </c>
      <c r="J175" s="19" t="s">
        <v>85</v>
      </c>
      <c r="K175" s="21">
        <v>43187.679861111108</v>
      </c>
      <c r="L175" s="21">
        <v>43188.707638888889</v>
      </c>
      <c r="M175" s="22">
        <v>43187</v>
      </c>
      <c r="N175" s="13" t="s">
        <v>148</v>
      </c>
    </row>
    <row r="176" spans="1:14" x14ac:dyDescent="0.15">
      <c r="A176" s="5">
        <v>1800159918001590</v>
      </c>
      <c r="B176" s="2" t="s">
        <v>54</v>
      </c>
      <c r="C176" s="2" t="s">
        <v>55</v>
      </c>
      <c r="D176" s="2" t="s">
        <v>139</v>
      </c>
      <c r="E176" s="2" t="s">
        <v>11</v>
      </c>
      <c r="F176" s="15" t="str">
        <f>"14200"</f>
        <v>14200</v>
      </c>
      <c r="G176" s="2">
        <v>5.2949999999999999</v>
      </c>
      <c r="H176" s="2" t="s">
        <v>12</v>
      </c>
      <c r="I176" s="2" t="s">
        <v>39</v>
      </c>
      <c r="J176" s="2" t="s">
        <v>50</v>
      </c>
      <c r="K176" s="3">
        <v>43188.492361111108</v>
      </c>
      <c r="L176" s="3">
        <v>43188.732638888891</v>
      </c>
      <c r="M176" s="8">
        <v>43188</v>
      </c>
      <c r="N176" s="13"/>
    </row>
    <row r="177" spans="1:14" x14ac:dyDescent="0.15">
      <c r="A177" s="5">
        <v>1800160218001600</v>
      </c>
      <c r="B177" s="2" t="s">
        <v>15</v>
      </c>
      <c r="C177" s="2" t="s">
        <v>16</v>
      </c>
      <c r="D177" s="2" t="s">
        <v>139</v>
      </c>
      <c r="E177" s="2" t="s">
        <v>11</v>
      </c>
      <c r="F177" s="15" t="str">
        <f>"900"</f>
        <v>900</v>
      </c>
      <c r="G177" s="2">
        <v>68.97</v>
      </c>
      <c r="H177" s="2" t="s">
        <v>12</v>
      </c>
      <c r="I177" s="2" t="s">
        <v>13</v>
      </c>
      <c r="J177" s="2" t="s">
        <v>50</v>
      </c>
      <c r="K177" s="3">
        <v>43188.492361111108</v>
      </c>
      <c r="L177" s="3">
        <v>43188.732638888891</v>
      </c>
      <c r="M177" s="8">
        <v>43188</v>
      </c>
      <c r="N177" s="13"/>
    </row>
    <row r="178" spans="1:14" x14ac:dyDescent="0.15">
      <c r="A178" s="5">
        <v>1800160318001600</v>
      </c>
      <c r="B178" s="2" t="s">
        <v>17</v>
      </c>
      <c r="C178" s="2" t="s">
        <v>18</v>
      </c>
      <c r="D178" s="2" t="s">
        <v>139</v>
      </c>
      <c r="E178" s="2" t="s">
        <v>11</v>
      </c>
      <c r="F178" s="15" t="str">
        <f>"500"</f>
        <v>500</v>
      </c>
      <c r="G178" s="2">
        <v>110.6</v>
      </c>
      <c r="H178" s="2" t="s">
        <v>12</v>
      </c>
      <c r="I178" s="2" t="s">
        <v>13</v>
      </c>
      <c r="J178" s="2" t="s">
        <v>50</v>
      </c>
      <c r="K178" s="3">
        <v>43188.492361111108</v>
      </c>
      <c r="L178" s="3">
        <v>43188.732638888891</v>
      </c>
      <c r="M178" s="8">
        <v>43188</v>
      </c>
      <c r="N178" s="13"/>
    </row>
    <row r="179" spans="1:14" x14ac:dyDescent="0.15">
      <c r="A179" s="5">
        <v>1800160418001600</v>
      </c>
      <c r="B179" s="2" t="s">
        <v>19</v>
      </c>
      <c r="C179" s="2" t="s">
        <v>20</v>
      </c>
      <c r="D179" s="2" t="s">
        <v>139</v>
      </c>
      <c r="E179" s="2" t="s">
        <v>11</v>
      </c>
      <c r="F179" s="15" t="str">
        <f>"5400"</f>
        <v>5400</v>
      </c>
      <c r="G179" s="2">
        <v>13.25</v>
      </c>
      <c r="H179" s="2" t="s">
        <v>12</v>
      </c>
      <c r="I179" s="2" t="s">
        <v>13</v>
      </c>
      <c r="J179" s="2" t="s">
        <v>50</v>
      </c>
      <c r="K179" s="3">
        <v>43188.492361111108</v>
      </c>
      <c r="L179" s="3">
        <v>43188.732638888891</v>
      </c>
      <c r="M179" s="8">
        <v>43188</v>
      </c>
      <c r="N179" s="13"/>
    </row>
    <row r="180" spans="1:14" x14ac:dyDescent="0.15">
      <c r="A180" s="5">
        <v>1800160518001600</v>
      </c>
      <c r="B180" s="2" t="s">
        <v>37</v>
      </c>
      <c r="C180" s="2" t="s">
        <v>38</v>
      </c>
      <c r="D180" s="2" t="s">
        <v>139</v>
      </c>
      <c r="E180" s="2" t="s">
        <v>11</v>
      </c>
      <c r="F180" s="15" t="str">
        <f>"2000"</f>
        <v>2000</v>
      </c>
      <c r="G180" s="2">
        <v>22.23</v>
      </c>
      <c r="H180" s="2" t="s">
        <v>12</v>
      </c>
      <c r="I180" s="2" t="s">
        <v>39</v>
      </c>
      <c r="J180" s="2" t="s">
        <v>50</v>
      </c>
      <c r="K180" s="3">
        <v>43188.492361111108</v>
      </c>
      <c r="L180" s="3">
        <v>43188.732638888891</v>
      </c>
      <c r="M180" s="8">
        <v>43188</v>
      </c>
      <c r="N180" s="13"/>
    </row>
    <row r="181" spans="1:14" x14ac:dyDescent="0.15">
      <c r="A181" s="5">
        <v>1800160618001600</v>
      </c>
      <c r="B181" s="2" t="s">
        <v>56</v>
      </c>
      <c r="C181" s="2" t="s">
        <v>57</v>
      </c>
      <c r="D181" s="2" t="s">
        <v>139</v>
      </c>
      <c r="E181" s="2" t="s">
        <v>11</v>
      </c>
      <c r="F181" s="15" t="str">
        <f>"2200"</f>
        <v>2200</v>
      </c>
      <c r="G181" s="2">
        <v>16.965</v>
      </c>
      <c r="H181" s="2" t="s">
        <v>12</v>
      </c>
      <c r="I181" s="2" t="s">
        <v>39</v>
      </c>
      <c r="J181" s="2" t="s">
        <v>50</v>
      </c>
      <c r="K181" s="3">
        <v>43188.492361111108</v>
      </c>
      <c r="L181" s="3">
        <v>43188.732638888891</v>
      </c>
      <c r="M181" s="8">
        <v>43188</v>
      </c>
      <c r="N181" s="13"/>
    </row>
    <row r="182" spans="1:14" x14ac:dyDescent="0.15">
      <c r="A182" s="5">
        <v>1800160718001600</v>
      </c>
      <c r="B182" s="2" t="s">
        <v>21</v>
      </c>
      <c r="C182" s="2" t="s">
        <v>22</v>
      </c>
      <c r="D182" s="2" t="s">
        <v>139</v>
      </c>
      <c r="E182" s="2" t="s">
        <v>11</v>
      </c>
      <c r="F182" s="15" t="str">
        <f>"500"</f>
        <v>500</v>
      </c>
      <c r="G182" s="2">
        <v>106.85</v>
      </c>
      <c r="H182" s="2" t="s">
        <v>12</v>
      </c>
      <c r="I182" s="2" t="s">
        <v>13</v>
      </c>
      <c r="J182" s="2" t="s">
        <v>50</v>
      </c>
      <c r="K182" s="3">
        <v>43188.492361111108</v>
      </c>
      <c r="L182" s="3">
        <v>43188.732638888891</v>
      </c>
      <c r="M182" s="8">
        <v>43188</v>
      </c>
      <c r="N182" s="13"/>
    </row>
    <row r="183" spans="1:14" x14ac:dyDescent="0.15">
      <c r="A183" s="5">
        <v>1800160918001600</v>
      </c>
      <c r="B183" s="2" t="s">
        <v>23</v>
      </c>
      <c r="C183" s="2" t="s">
        <v>24</v>
      </c>
      <c r="D183" s="2" t="s">
        <v>139</v>
      </c>
      <c r="E183" s="2" t="s">
        <v>11</v>
      </c>
      <c r="F183" s="15" t="str">
        <f>"700"</f>
        <v>700</v>
      </c>
      <c r="G183" s="2">
        <v>82.4</v>
      </c>
      <c r="H183" s="2" t="s">
        <v>12</v>
      </c>
      <c r="I183" s="2" t="s">
        <v>25</v>
      </c>
      <c r="J183" s="2" t="s">
        <v>50</v>
      </c>
      <c r="K183" s="3">
        <v>43188.492361111108</v>
      </c>
      <c r="L183" s="3">
        <v>43188.729166666664</v>
      </c>
      <c r="M183" s="8">
        <v>43188</v>
      </c>
      <c r="N183" s="13"/>
    </row>
    <row r="184" spans="1:14" x14ac:dyDescent="0.15">
      <c r="A184" s="5">
        <v>1800161118001610</v>
      </c>
      <c r="B184" s="2" t="s">
        <v>26</v>
      </c>
      <c r="C184" s="2" t="s">
        <v>27</v>
      </c>
      <c r="D184" s="2" t="s">
        <v>139</v>
      </c>
      <c r="E184" s="2" t="s">
        <v>11</v>
      </c>
      <c r="F184" s="15" t="str">
        <f>"800"</f>
        <v>800</v>
      </c>
      <c r="G184" s="2">
        <v>77.900000000000006</v>
      </c>
      <c r="H184" s="2" t="s">
        <v>12</v>
      </c>
      <c r="I184" s="2" t="s">
        <v>13</v>
      </c>
      <c r="J184" s="2" t="s">
        <v>50</v>
      </c>
      <c r="K184" s="3">
        <v>43188.492361111108</v>
      </c>
      <c r="L184" s="3">
        <v>43188.732638888891</v>
      </c>
      <c r="M184" s="8">
        <v>43188</v>
      </c>
      <c r="N184" s="13"/>
    </row>
    <row r="185" spans="1:14" x14ac:dyDescent="0.15">
      <c r="A185" s="5">
        <v>1800161218001610</v>
      </c>
      <c r="B185" s="2" t="s">
        <v>28</v>
      </c>
      <c r="C185" s="2" t="s">
        <v>29</v>
      </c>
      <c r="D185" s="2" t="s">
        <v>139</v>
      </c>
      <c r="E185" s="2" t="s">
        <v>11</v>
      </c>
      <c r="F185" s="15" t="str">
        <f>"400"</f>
        <v>400</v>
      </c>
      <c r="G185" s="2">
        <v>188.85</v>
      </c>
      <c r="H185" s="2" t="s">
        <v>12</v>
      </c>
      <c r="I185" s="2" t="s">
        <v>13</v>
      </c>
      <c r="J185" s="2" t="s">
        <v>50</v>
      </c>
      <c r="K185" s="3">
        <v>43188.492361111108</v>
      </c>
      <c r="L185" s="3">
        <v>43188.732638888891</v>
      </c>
      <c r="M185" s="8">
        <v>43188</v>
      </c>
      <c r="N185" s="13"/>
    </row>
    <row r="186" spans="1:14" x14ac:dyDescent="0.15">
      <c r="A186" s="5">
        <v>1800161318001610</v>
      </c>
      <c r="B186" s="2" t="s">
        <v>41</v>
      </c>
      <c r="C186" s="2" t="s">
        <v>42</v>
      </c>
      <c r="D186" s="2" t="s">
        <v>139</v>
      </c>
      <c r="E186" s="2" t="s">
        <v>11</v>
      </c>
      <c r="F186" s="15" t="str">
        <f>"13000"</f>
        <v>13000</v>
      </c>
      <c r="G186" s="2">
        <v>4.4850000000000003</v>
      </c>
      <c r="H186" s="2" t="s">
        <v>12</v>
      </c>
      <c r="I186" s="2" t="s">
        <v>43</v>
      </c>
      <c r="J186" s="2" t="s">
        <v>50</v>
      </c>
      <c r="K186" s="3">
        <v>43188.492361111108</v>
      </c>
      <c r="L186" s="3">
        <v>43188.728472222225</v>
      </c>
      <c r="M186" s="8">
        <v>43188</v>
      </c>
      <c r="N186" s="13"/>
    </row>
    <row r="187" spans="1:14" x14ac:dyDescent="0.15">
      <c r="A187" s="5">
        <v>1800161418001610</v>
      </c>
      <c r="B187" s="2" t="s">
        <v>30</v>
      </c>
      <c r="C187" s="2" t="s">
        <v>31</v>
      </c>
      <c r="D187" s="2" t="s">
        <v>139</v>
      </c>
      <c r="E187" s="2" t="s">
        <v>11</v>
      </c>
      <c r="F187" s="15" t="str">
        <f>"2800"</f>
        <v>2800</v>
      </c>
      <c r="G187" s="2" t="str">
        <f>"16"</f>
        <v>16</v>
      </c>
      <c r="H187" s="2" t="s">
        <v>12</v>
      </c>
      <c r="I187" s="2" t="s">
        <v>25</v>
      </c>
      <c r="J187" s="2" t="s">
        <v>50</v>
      </c>
      <c r="K187" s="3">
        <v>43188.492361111108</v>
      </c>
      <c r="L187" s="3">
        <v>43188.729166666664</v>
      </c>
      <c r="M187" s="8">
        <v>43188</v>
      </c>
      <c r="N187" s="13"/>
    </row>
    <row r="188" spans="1:14" x14ac:dyDescent="0.15">
      <c r="A188" s="5">
        <v>1800161618001610</v>
      </c>
      <c r="B188" s="2" t="s">
        <v>32</v>
      </c>
      <c r="C188" s="2" t="s">
        <v>33</v>
      </c>
      <c r="D188" s="2" t="s">
        <v>139</v>
      </c>
      <c r="E188" s="2" t="s">
        <v>11</v>
      </c>
      <c r="F188" s="15" t="str">
        <f>"1500"</f>
        <v>1500</v>
      </c>
      <c r="G188" s="2">
        <v>84.97</v>
      </c>
      <c r="H188" s="2" t="s">
        <v>12</v>
      </c>
      <c r="I188" s="2" t="s">
        <v>13</v>
      </c>
      <c r="J188" s="2" t="s">
        <v>50</v>
      </c>
      <c r="K188" s="3">
        <v>43188.492361111108</v>
      </c>
      <c r="L188" s="3">
        <v>43188.732638888891</v>
      </c>
      <c r="M188" s="8">
        <v>43188</v>
      </c>
      <c r="N188" s="13"/>
    </row>
    <row r="189" spans="1:14" x14ac:dyDescent="0.15">
      <c r="A189" s="5">
        <v>1800161718001610</v>
      </c>
      <c r="B189" s="2" t="s">
        <v>34</v>
      </c>
      <c r="C189" s="2" t="s">
        <v>35</v>
      </c>
      <c r="D189" s="2" t="s">
        <v>139</v>
      </c>
      <c r="E189" s="2" t="s">
        <v>11</v>
      </c>
      <c r="F189" s="15" t="str">
        <f>"800"</f>
        <v>800</v>
      </c>
      <c r="G189" s="2">
        <v>103.52</v>
      </c>
      <c r="H189" s="2" t="s">
        <v>12</v>
      </c>
      <c r="I189" s="2" t="s">
        <v>13</v>
      </c>
      <c r="J189" s="2" t="s">
        <v>50</v>
      </c>
      <c r="K189" s="3">
        <v>43188.492361111108</v>
      </c>
      <c r="L189" s="3">
        <v>43188.732638888891</v>
      </c>
      <c r="M189" s="8">
        <v>43188</v>
      </c>
      <c r="N189" s="13"/>
    </row>
    <row r="190" spans="1:14" x14ac:dyDescent="0.15">
      <c r="A190" s="5">
        <v>1800162418001620</v>
      </c>
      <c r="B190" s="2" t="s">
        <v>44</v>
      </c>
      <c r="C190" s="2" t="s">
        <v>45</v>
      </c>
      <c r="D190" s="2" t="s">
        <v>141</v>
      </c>
      <c r="E190" s="2" t="s">
        <v>11</v>
      </c>
      <c r="F190" s="15" t="str">
        <f>"66000"</f>
        <v>66000</v>
      </c>
      <c r="G190" s="2">
        <v>2.8170000000000002</v>
      </c>
      <c r="H190" s="2" t="s">
        <v>12</v>
      </c>
      <c r="I190" s="2" t="s">
        <v>40</v>
      </c>
      <c r="J190" s="2" t="s">
        <v>50</v>
      </c>
      <c r="K190" s="3">
        <v>43188.712500000001</v>
      </c>
      <c r="L190" s="3">
        <v>43188.732638888891</v>
      </c>
      <c r="M190" s="8">
        <v>43188</v>
      </c>
      <c r="N190" s="13"/>
    </row>
    <row r="191" spans="1:14" x14ac:dyDescent="0.15">
      <c r="A191" s="5">
        <v>1700767500000000</v>
      </c>
      <c r="B191" s="2" t="s">
        <v>86</v>
      </c>
      <c r="C191" s="2" t="s">
        <v>87</v>
      </c>
      <c r="D191" s="2" t="s">
        <v>139</v>
      </c>
      <c r="E191" s="2" t="s">
        <v>11</v>
      </c>
      <c r="F191" s="15" t="str">
        <f>"300"</f>
        <v>300</v>
      </c>
      <c r="G191" s="2">
        <v>105.05</v>
      </c>
      <c r="H191" s="2" t="s">
        <v>12</v>
      </c>
      <c r="I191" s="2" t="s">
        <v>88</v>
      </c>
      <c r="J191" s="2" t="s">
        <v>50</v>
      </c>
      <c r="K191" s="3">
        <v>43098.643750000003</v>
      </c>
      <c r="L191" s="4">
        <v>43098</v>
      </c>
      <c r="M191" s="8">
        <v>43098</v>
      </c>
      <c r="N191" s="13"/>
    </row>
    <row r="192" spans="1:14" x14ac:dyDescent="0.15">
      <c r="A192" s="5">
        <v>1700767700000000</v>
      </c>
      <c r="B192" s="2" t="s">
        <v>89</v>
      </c>
      <c r="C192" s="2" t="s">
        <v>90</v>
      </c>
      <c r="D192" s="2" t="s">
        <v>139</v>
      </c>
      <c r="E192" s="2" t="s">
        <v>11</v>
      </c>
      <c r="F192" s="15" t="str">
        <f>"800"</f>
        <v>800</v>
      </c>
      <c r="G192" s="2">
        <v>34.604999999999997</v>
      </c>
      <c r="H192" s="2" t="s">
        <v>12</v>
      </c>
      <c r="I192" s="2" t="s">
        <v>88</v>
      </c>
      <c r="J192" s="2" t="s">
        <v>50</v>
      </c>
      <c r="K192" s="3">
        <v>43098.643750000003</v>
      </c>
      <c r="L192" s="4">
        <v>43098</v>
      </c>
      <c r="M192" s="8">
        <v>43098</v>
      </c>
      <c r="N192" s="13"/>
    </row>
    <row r="193" spans="1:14" x14ac:dyDescent="0.15">
      <c r="A193" s="5">
        <v>1700767800000000</v>
      </c>
      <c r="B193" s="2" t="s">
        <v>91</v>
      </c>
      <c r="C193" s="2" t="s">
        <v>92</v>
      </c>
      <c r="D193" s="2" t="s">
        <v>139</v>
      </c>
      <c r="E193" s="2" t="s">
        <v>11</v>
      </c>
      <c r="F193" s="15" t="str">
        <f>"300"</f>
        <v>300</v>
      </c>
      <c r="G193" s="2">
        <v>70.650000000000006</v>
      </c>
      <c r="H193" s="2" t="s">
        <v>12</v>
      </c>
      <c r="I193" s="2" t="s">
        <v>88</v>
      </c>
      <c r="J193" s="2" t="s">
        <v>50</v>
      </c>
      <c r="K193" s="3">
        <v>43098.643750000003</v>
      </c>
      <c r="L193" s="4">
        <v>43098</v>
      </c>
      <c r="M193" s="8">
        <v>43098</v>
      </c>
      <c r="N193" s="13"/>
    </row>
    <row r="194" spans="1:14" x14ac:dyDescent="0.15">
      <c r="A194" s="5">
        <v>1700768100000000</v>
      </c>
      <c r="B194" s="2" t="s">
        <v>93</v>
      </c>
      <c r="C194" s="2" t="s">
        <v>94</v>
      </c>
      <c r="D194" s="2" t="s">
        <v>139</v>
      </c>
      <c r="E194" s="2" t="s">
        <v>11</v>
      </c>
      <c r="F194" s="15" t="str">
        <f>"1500"</f>
        <v>1500</v>
      </c>
      <c r="G194" s="2">
        <v>24.734999999999999</v>
      </c>
      <c r="H194" s="2" t="s">
        <v>12</v>
      </c>
      <c r="I194" s="2" t="s">
        <v>88</v>
      </c>
      <c r="J194" s="2" t="s">
        <v>50</v>
      </c>
      <c r="K194" s="3">
        <v>43098.643750000003</v>
      </c>
      <c r="L194" s="4">
        <v>43098</v>
      </c>
      <c r="M194" s="8">
        <v>43098</v>
      </c>
      <c r="N194" s="13"/>
    </row>
    <row r="195" spans="1:14" x14ac:dyDescent="0.15">
      <c r="A195" s="5">
        <v>1700768200000000</v>
      </c>
      <c r="B195" s="2" t="s">
        <v>95</v>
      </c>
      <c r="C195" s="2" t="s">
        <v>96</v>
      </c>
      <c r="D195" s="2" t="s">
        <v>139</v>
      </c>
      <c r="E195" s="2" t="s">
        <v>11</v>
      </c>
      <c r="F195" s="15" t="str">
        <f>"600"</f>
        <v>600</v>
      </c>
      <c r="G195" s="2">
        <v>62.25</v>
      </c>
      <c r="H195" s="2" t="s">
        <v>12</v>
      </c>
      <c r="I195" s="2" t="s">
        <v>88</v>
      </c>
      <c r="J195" s="2" t="s">
        <v>50</v>
      </c>
      <c r="K195" s="3">
        <v>43098.643750000003</v>
      </c>
      <c r="L195" s="4">
        <v>43098</v>
      </c>
      <c r="M195" s="8">
        <v>43098</v>
      </c>
      <c r="N195" s="13"/>
    </row>
    <row r="196" spans="1:14" x14ac:dyDescent="0.15">
      <c r="A196" s="5">
        <v>1700768300000000</v>
      </c>
      <c r="B196" s="2" t="s">
        <v>97</v>
      </c>
      <c r="C196" s="2" t="s">
        <v>98</v>
      </c>
      <c r="D196" s="2" t="s">
        <v>139</v>
      </c>
      <c r="E196" s="2" t="s">
        <v>11</v>
      </c>
      <c r="F196" s="15" t="str">
        <f>"800"</f>
        <v>800</v>
      </c>
      <c r="G196" s="2">
        <v>22.79</v>
      </c>
      <c r="H196" s="2" t="s">
        <v>12</v>
      </c>
      <c r="I196" s="2" t="s">
        <v>88</v>
      </c>
      <c r="J196" s="2" t="s">
        <v>50</v>
      </c>
      <c r="K196" s="3">
        <v>43098.643750000003</v>
      </c>
      <c r="L196" s="4">
        <v>43098</v>
      </c>
      <c r="M196" s="8">
        <v>43098</v>
      </c>
      <c r="N196" s="13"/>
    </row>
    <row r="197" spans="1:14" x14ac:dyDescent="0.15">
      <c r="A197" s="23">
        <v>1800158718001580</v>
      </c>
      <c r="B197" s="24" t="s">
        <v>56</v>
      </c>
      <c r="C197" s="24" t="s">
        <v>57</v>
      </c>
      <c r="D197" s="24" t="s">
        <v>143</v>
      </c>
      <c r="E197" s="24" t="s">
        <v>47</v>
      </c>
      <c r="F197" s="25" t="str">
        <f>"14852"</f>
        <v>14852</v>
      </c>
      <c r="G197" s="24">
        <v>16.923400000000001</v>
      </c>
      <c r="H197" s="24" t="s">
        <v>12</v>
      </c>
      <c r="I197" s="24" t="s">
        <v>39</v>
      </c>
      <c r="J197" s="24" t="s">
        <v>85</v>
      </c>
      <c r="K197" s="26">
        <v>43187.679861111108</v>
      </c>
      <c r="L197" s="26">
        <v>43188.707638888889</v>
      </c>
      <c r="M197" s="27">
        <v>43187</v>
      </c>
      <c r="N197" s="13" t="s">
        <v>148</v>
      </c>
    </row>
    <row r="198" spans="1:14" x14ac:dyDescent="0.15">
      <c r="A198" s="5">
        <v>1700768400000000</v>
      </c>
      <c r="B198" s="2" t="s">
        <v>99</v>
      </c>
      <c r="C198" s="2" t="s">
        <v>100</v>
      </c>
      <c r="D198" s="2" t="s">
        <v>139</v>
      </c>
      <c r="E198" s="2" t="s">
        <v>11</v>
      </c>
      <c r="F198" s="15" t="str">
        <f>"1300"</f>
        <v>1300</v>
      </c>
      <c r="G198" s="2">
        <v>18.04</v>
      </c>
      <c r="H198" s="2" t="s">
        <v>12</v>
      </c>
      <c r="I198" s="2" t="s">
        <v>88</v>
      </c>
      <c r="J198" s="2" t="s">
        <v>50</v>
      </c>
      <c r="K198" s="3">
        <v>43098.643750000003</v>
      </c>
      <c r="L198" s="4">
        <v>43098</v>
      </c>
      <c r="M198" s="8">
        <v>43098</v>
      </c>
      <c r="N198" s="13"/>
    </row>
    <row r="199" spans="1:14" x14ac:dyDescent="0.15">
      <c r="A199" s="5">
        <v>1700768600000000</v>
      </c>
      <c r="B199" s="2" t="s">
        <v>101</v>
      </c>
      <c r="C199" s="2" t="s">
        <v>102</v>
      </c>
      <c r="D199" s="2" t="s">
        <v>139</v>
      </c>
      <c r="E199" s="2" t="s">
        <v>11</v>
      </c>
      <c r="F199" s="15" t="str">
        <f>"300"</f>
        <v>300</v>
      </c>
      <c r="G199" s="2">
        <v>88.59</v>
      </c>
      <c r="H199" s="2" t="s">
        <v>12</v>
      </c>
      <c r="I199" s="2" t="s">
        <v>88</v>
      </c>
      <c r="J199" s="2" t="s">
        <v>50</v>
      </c>
      <c r="K199" s="3">
        <v>43098.643750000003</v>
      </c>
      <c r="L199" s="4">
        <v>43098</v>
      </c>
      <c r="M199" s="8">
        <v>43098</v>
      </c>
      <c r="N199" s="13"/>
    </row>
    <row r="200" spans="1:14" x14ac:dyDescent="0.15">
      <c r="A200" s="5">
        <v>1700769100000000</v>
      </c>
      <c r="B200" s="2" t="s">
        <v>103</v>
      </c>
      <c r="C200" s="2" t="s">
        <v>104</v>
      </c>
      <c r="D200" s="2" t="s">
        <v>139</v>
      </c>
      <c r="E200" s="2" t="s">
        <v>11</v>
      </c>
      <c r="F200" s="15" t="str">
        <f>"500"</f>
        <v>500</v>
      </c>
      <c r="G200" s="2">
        <v>71.11</v>
      </c>
      <c r="H200" s="2" t="s">
        <v>12</v>
      </c>
      <c r="I200" s="2" t="s">
        <v>88</v>
      </c>
      <c r="J200" s="2" t="s">
        <v>50</v>
      </c>
      <c r="K200" s="3">
        <v>43098.643750000003</v>
      </c>
      <c r="L200" s="4">
        <v>43098</v>
      </c>
      <c r="M200" s="8">
        <v>43098</v>
      </c>
      <c r="N200" s="13"/>
    </row>
    <row r="201" spans="1:14" x14ac:dyDescent="0.15">
      <c r="A201" s="5">
        <v>1700769300000000</v>
      </c>
      <c r="B201" s="2" t="s">
        <v>105</v>
      </c>
      <c r="C201" s="2" t="s">
        <v>106</v>
      </c>
      <c r="D201" s="2" t="s">
        <v>139</v>
      </c>
      <c r="E201" s="2" t="s">
        <v>11</v>
      </c>
      <c r="F201" s="15" t="str">
        <f>"300"</f>
        <v>300</v>
      </c>
      <c r="G201" s="2">
        <v>64.19</v>
      </c>
      <c r="H201" s="2" t="s">
        <v>12</v>
      </c>
      <c r="I201" s="2" t="s">
        <v>88</v>
      </c>
      <c r="J201" s="2" t="s">
        <v>50</v>
      </c>
      <c r="K201" s="3">
        <v>43098.643750000003</v>
      </c>
      <c r="L201" s="4">
        <v>43098</v>
      </c>
      <c r="M201" s="8">
        <v>43098</v>
      </c>
      <c r="N201" s="13"/>
    </row>
    <row r="202" spans="1:14" x14ac:dyDescent="0.15">
      <c r="A202" s="5">
        <v>1700769600000000</v>
      </c>
      <c r="B202" s="2" t="s">
        <v>107</v>
      </c>
      <c r="C202" s="2" t="s">
        <v>108</v>
      </c>
      <c r="D202" s="2" t="s">
        <v>139</v>
      </c>
      <c r="E202" s="2" t="s">
        <v>11</v>
      </c>
      <c r="F202" s="15" t="str">
        <f>"100"</f>
        <v>100</v>
      </c>
      <c r="G202" s="2">
        <v>184.95</v>
      </c>
      <c r="H202" s="2" t="s">
        <v>12</v>
      </c>
      <c r="I202" s="2" t="s">
        <v>88</v>
      </c>
      <c r="J202" s="2" t="s">
        <v>50</v>
      </c>
      <c r="K202" s="3">
        <v>43098.643750000003</v>
      </c>
      <c r="L202" s="4">
        <v>43098</v>
      </c>
      <c r="M202" s="8">
        <v>43098</v>
      </c>
      <c r="N202" s="13"/>
    </row>
    <row r="203" spans="1:14" x14ac:dyDescent="0.15">
      <c r="A203" s="5">
        <v>1700769700000000</v>
      </c>
      <c r="B203" s="2" t="s">
        <v>109</v>
      </c>
      <c r="C203" s="2" t="s">
        <v>110</v>
      </c>
      <c r="D203" s="2" t="s">
        <v>139</v>
      </c>
      <c r="E203" s="2" t="s">
        <v>11</v>
      </c>
      <c r="F203" s="15" t="str">
        <f>"1200"</f>
        <v>1200</v>
      </c>
      <c r="G203" s="2">
        <v>16.954999999999998</v>
      </c>
      <c r="H203" s="2" t="s">
        <v>12</v>
      </c>
      <c r="I203" s="2" t="s">
        <v>88</v>
      </c>
      <c r="J203" s="2" t="s">
        <v>50</v>
      </c>
      <c r="K203" s="3">
        <v>43098.643750000003</v>
      </c>
      <c r="L203" s="4">
        <v>43098</v>
      </c>
      <c r="M203" s="8">
        <v>43098</v>
      </c>
      <c r="N203" s="13"/>
    </row>
    <row r="204" spans="1:14" x14ac:dyDescent="0.15">
      <c r="A204" s="5">
        <v>1700769800000000</v>
      </c>
      <c r="B204" s="2" t="s">
        <v>111</v>
      </c>
      <c r="C204" s="2" t="s">
        <v>112</v>
      </c>
      <c r="D204" s="2" t="s">
        <v>139</v>
      </c>
      <c r="E204" s="2" t="s">
        <v>11</v>
      </c>
      <c r="F204" s="15" t="str">
        <f>"700"</f>
        <v>700</v>
      </c>
      <c r="G204" s="2">
        <v>56.65</v>
      </c>
      <c r="H204" s="2" t="s">
        <v>12</v>
      </c>
      <c r="I204" s="2" t="s">
        <v>88</v>
      </c>
      <c r="J204" s="2" t="s">
        <v>50</v>
      </c>
      <c r="K204" s="3">
        <v>43098.643750000003</v>
      </c>
      <c r="L204" s="4">
        <v>43098</v>
      </c>
      <c r="M204" s="8">
        <v>43098</v>
      </c>
      <c r="N204" s="13"/>
    </row>
    <row r="205" spans="1:14" x14ac:dyDescent="0.15">
      <c r="A205" s="5">
        <v>1700769900000000</v>
      </c>
      <c r="B205" s="2" t="s">
        <v>113</v>
      </c>
      <c r="C205" s="2" t="s">
        <v>114</v>
      </c>
      <c r="D205" s="2" t="s">
        <v>139</v>
      </c>
      <c r="E205" s="2" t="s">
        <v>11</v>
      </c>
      <c r="F205" s="15" t="str">
        <f>"300"</f>
        <v>300</v>
      </c>
      <c r="G205" s="2">
        <v>83.91</v>
      </c>
      <c r="H205" s="2" t="s">
        <v>12</v>
      </c>
      <c r="I205" s="2" t="s">
        <v>88</v>
      </c>
      <c r="J205" s="2" t="s">
        <v>50</v>
      </c>
      <c r="K205" s="3">
        <v>43098.643750000003</v>
      </c>
      <c r="L205" s="4">
        <v>43098</v>
      </c>
      <c r="M205" s="8">
        <v>43098</v>
      </c>
      <c r="N205" s="13"/>
    </row>
    <row r="206" spans="1:14" x14ac:dyDescent="0.15">
      <c r="A206" s="5">
        <v>1700770000000000</v>
      </c>
      <c r="B206" s="2" t="s">
        <v>115</v>
      </c>
      <c r="C206" s="2" t="s">
        <v>116</v>
      </c>
      <c r="D206" s="2" t="s">
        <v>139</v>
      </c>
      <c r="E206" s="2" t="s">
        <v>11</v>
      </c>
      <c r="F206" s="15" t="str">
        <f>"1300"</f>
        <v>1300</v>
      </c>
      <c r="G206" s="2">
        <v>15.12</v>
      </c>
      <c r="H206" s="2" t="s">
        <v>12</v>
      </c>
      <c r="I206" s="2" t="s">
        <v>88</v>
      </c>
      <c r="J206" s="2" t="s">
        <v>50</v>
      </c>
      <c r="K206" s="3">
        <v>43098.643750000003</v>
      </c>
      <c r="L206" s="4">
        <v>43098</v>
      </c>
      <c r="M206" s="8">
        <v>43098</v>
      </c>
      <c r="N206" s="13"/>
    </row>
    <row r="207" spans="1:14" x14ac:dyDescent="0.15">
      <c r="A207" s="5">
        <v>1700770100000000</v>
      </c>
      <c r="B207" s="2" t="s">
        <v>117</v>
      </c>
      <c r="C207" s="2" t="s">
        <v>118</v>
      </c>
      <c r="D207" s="2" t="s">
        <v>139</v>
      </c>
      <c r="E207" s="2" t="s">
        <v>11</v>
      </c>
      <c r="F207" s="15" t="str">
        <f>"900"</f>
        <v>900</v>
      </c>
      <c r="G207" s="2">
        <v>45.98</v>
      </c>
      <c r="H207" s="2" t="s">
        <v>12</v>
      </c>
      <c r="I207" s="2" t="s">
        <v>88</v>
      </c>
      <c r="J207" s="2" t="s">
        <v>50</v>
      </c>
      <c r="K207" s="3">
        <v>43098.643750000003</v>
      </c>
      <c r="L207" s="4">
        <v>43098</v>
      </c>
      <c r="M207" s="8">
        <v>43098</v>
      </c>
      <c r="N207" s="13"/>
    </row>
    <row r="208" spans="1:14" x14ac:dyDescent="0.15">
      <c r="A208" s="5">
        <v>1700770200000000</v>
      </c>
      <c r="B208" s="2" t="s">
        <v>119</v>
      </c>
      <c r="C208" s="2" t="s">
        <v>120</v>
      </c>
      <c r="D208" s="2" t="s">
        <v>139</v>
      </c>
      <c r="E208" s="2" t="s">
        <v>11</v>
      </c>
      <c r="F208" s="15" t="str">
        <f>"600"</f>
        <v>600</v>
      </c>
      <c r="G208" s="2">
        <v>71.849999999999994</v>
      </c>
      <c r="H208" s="2" t="s">
        <v>12</v>
      </c>
      <c r="I208" s="2" t="s">
        <v>88</v>
      </c>
      <c r="J208" s="2" t="s">
        <v>50</v>
      </c>
      <c r="K208" s="3">
        <v>43098.643750000003</v>
      </c>
      <c r="L208" s="4">
        <v>43098</v>
      </c>
      <c r="M208" s="8">
        <v>43098</v>
      </c>
      <c r="N208" s="13"/>
    </row>
    <row r="209" spans="1:14" x14ac:dyDescent="0.15">
      <c r="A209" s="5">
        <v>1700770300000000</v>
      </c>
      <c r="B209" s="2" t="s">
        <v>121</v>
      </c>
      <c r="C209" s="2" t="s">
        <v>122</v>
      </c>
      <c r="D209" s="2" t="s">
        <v>139</v>
      </c>
      <c r="E209" s="2" t="s">
        <v>11</v>
      </c>
      <c r="F209" s="15" t="str">
        <f>"400"</f>
        <v>400</v>
      </c>
      <c r="G209" s="2">
        <v>70.86</v>
      </c>
      <c r="H209" s="2" t="s">
        <v>12</v>
      </c>
      <c r="I209" s="2" t="s">
        <v>88</v>
      </c>
      <c r="J209" s="2" t="s">
        <v>50</v>
      </c>
      <c r="K209" s="3">
        <v>43098.643750000003</v>
      </c>
      <c r="L209" s="4">
        <v>43098</v>
      </c>
      <c r="M209" s="8">
        <v>43098</v>
      </c>
      <c r="N209" s="13"/>
    </row>
    <row r="210" spans="1:14" x14ac:dyDescent="0.15">
      <c r="A210" s="5">
        <v>1700770500000000</v>
      </c>
      <c r="B210" s="2" t="s">
        <v>123</v>
      </c>
      <c r="C210" s="2" t="s">
        <v>124</v>
      </c>
      <c r="D210" s="2" t="s">
        <v>139</v>
      </c>
      <c r="E210" s="2" t="s">
        <v>11</v>
      </c>
      <c r="F210" s="15" t="str">
        <f>"400"</f>
        <v>400</v>
      </c>
      <c r="G210" s="2">
        <v>58.09</v>
      </c>
      <c r="H210" s="2" t="s">
        <v>12</v>
      </c>
      <c r="I210" s="2" t="s">
        <v>88</v>
      </c>
      <c r="J210" s="2" t="s">
        <v>50</v>
      </c>
      <c r="K210" s="3">
        <v>43098.643750000003</v>
      </c>
      <c r="L210" s="4">
        <v>43098</v>
      </c>
      <c r="M210" s="8">
        <v>43098</v>
      </c>
      <c r="N210" s="13"/>
    </row>
    <row r="211" spans="1:14" x14ac:dyDescent="0.15">
      <c r="A211" s="5">
        <v>1700770800000000</v>
      </c>
      <c r="B211" s="2" t="s">
        <v>89</v>
      </c>
      <c r="C211" s="2" t="s">
        <v>90</v>
      </c>
      <c r="D211" s="2" t="s">
        <v>141</v>
      </c>
      <c r="E211" s="2" t="s">
        <v>11</v>
      </c>
      <c r="F211" s="15" t="str">
        <f>"1000"</f>
        <v>1000</v>
      </c>
      <c r="G211" s="2">
        <v>34.604999999999997</v>
      </c>
      <c r="H211" s="2" t="s">
        <v>12</v>
      </c>
      <c r="I211" s="2" t="s">
        <v>88</v>
      </c>
      <c r="J211" s="2" t="s">
        <v>125</v>
      </c>
      <c r="K211" s="3">
        <v>43098.709027777775</v>
      </c>
      <c r="L211" s="4">
        <v>43098</v>
      </c>
      <c r="M211" s="8">
        <v>43098</v>
      </c>
      <c r="N211" s="13"/>
    </row>
    <row r="212" spans="1:14" x14ac:dyDescent="0.15">
      <c r="A212" s="5">
        <v>1700770900000000</v>
      </c>
      <c r="B212" s="2" t="s">
        <v>126</v>
      </c>
      <c r="C212" s="2" t="s">
        <v>127</v>
      </c>
      <c r="D212" s="2" t="s">
        <v>141</v>
      </c>
      <c r="E212" s="2" t="s">
        <v>47</v>
      </c>
      <c r="F212" s="15" t="str">
        <f>"1000"</f>
        <v>1000</v>
      </c>
      <c r="G212" s="2">
        <v>89.01</v>
      </c>
      <c r="H212" s="2" t="s">
        <v>12</v>
      </c>
      <c r="I212" s="2" t="s">
        <v>88</v>
      </c>
      <c r="J212" s="2" t="s">
        <v>125</v>
      </c>
      <c r="K212" s="3">
        <v>43098.709027777775</v>
      </c>
      <c r="L212" s="4">
        <v>43098</v>
      </c>
      <c r="M212" s="8">
        <v>43098</v>
      </c>
      <c r="N212" s="13"/>
    </row>
    <row r="213" spans="1:14" x14ac:dyDescent="0.15">
      <c r="A213" s="5">
        <v>1800000300000000</v>
      </c>
      <c r="B213" s="2" t="s">
        <v>128</v>
      </c>
      <c r="C213" s="2" t="s">
        <v>129</v>
      </c>
      <c r="D213" s="2" t="s">
        <v>141</v>
      </c>
      <c r="E213" s="2" t="s">
        <v>47</v>
      </c>
      <c r="F213" s="15" t="str">
        <f>"7000"</f>
        <v>7000</v>
      </c>
      <c r="G213" s="2">
        <v>13.840999999999999</v>
      </c>
      <c r="H213" s="2" t="s">
        <v>12</v>
      </c>
      <c r="I213" s="2" t="s">
        <v>88</v>
      </c>
      <c r="J213" s="2" t="s">
        <v>46</v>
      </c>
      <c r="K213" s="3">
        <v>43102.604861111111</v>
      </c>
      <c r="L213" s="4">
        <v>43102</v>
      </c>
      <c r="M213" s="8">
        <v>43102</v>
      </c>
      <c r="N213" s="13"/>
    </row>
    <row r="214" spans="1:14" x14ac:dyDescent="0.15">
      <c r="A214" s="5">
        <v>1800000400000000</v>
      </c>
      <c r="B214" s="2" t="s">
        <v>86</v>
      </c>
      <c r="C214" s="2" t="s">
        <v>87</v>
      </c>
      <c r="D214" s="2" t="s">
        <v>140</v>
      </c>
      <c r="E214" s="2" t="s">
        <v>11</v>
      </c>
      <c r="F214" s="15" t="str">
        <f>"1200"</f>
        <v>1200</v>
      </c>
      <c r="G214" s="2">
        <v>104.5</v>
      </c>
      <c r="H214" s="2" t="s">
        <v>12</v>
      </c>
      <c r="I214" s="2" t="s">
        <v>88</v>
      </c>
      <c r="J214" s="2" t="s">
        <v>36</v>
      </c>
      <c r="K214" s="3">
        <v>43102.676388888889</v>
      </c>
      <c r="L214" s="4">
        <v>43102</v>
      </c>
      <c r="M214" s="8">
        <v>43102</v>
      </c>
      <c r="N214" s="13"/>
    </row>
    <row r="215" spans="1:14" x14ac:dyDescent="0.15">
      <c r="A215" s="5">
        <v>1800000600000000</v>
      </c>
      <c r="B215" s="2" t="s">
        <v>89</v>
      </c>
      <c r="C215" s="2" t="s">
        <v>90</v>
      </c>
      <c r="D215" s="2" t="s">
        <v>140</v>
      </c>
      <c r="E215" s="2" t="s">
        <v>11</v>
      </c>
      <c r="F215" s="15" t="str">
        <f>"2800"</f>
        <v>2800</v>
      </c>
      <c r="G215" s="2">
        <v>34.75</v>
      </c>
      <c r="H215" s="2" t="s">
        <v>12</v>
      </c>
      <c r="I215" s="2" t="s">
        <v>88</v>
      </c>
      <c r="J215" s="2" t="s">
        <v>36</v>
      </c>
      <c r="K215" s="3">
        <v>43102.676388888889</v>
      </c>
      <c r="L215" s="4">
        <v>43102</v>
      </c>
      <c r="M215" s="8">
        <v>43102</v>
      </c>
      <c r="N215" s="13"/>
    </row>
    <row r="216" spans="1:14" x14ac:dyDescent="0.15">
      <c r="A216" s="5">
        <v>1800000700000000</v>
      </c>
      <c r="B216" s="2" t="s">
        <v>91</v>
      </c>
      <c r="C216" s="2" t="s">
        <v>92</v>
      </c>
      <c r="D216" s="2" t="s">
        <v>140</v>
      </c>
      <c r="E216" s="2" t="s">
        <v>11</v>
      </c>
      <c r="F216" s="15" t="str">
        <f>"1200"</f>
        <v>1200</v>
      </c>
      <c r="G216" s="2">
        <v>70.72</v>
      </c>
      <c r="H216" s="2" t="s">
        <v>12</v>
      </c>
      <c r="I216" s="2" t="s">
        <v>88</v>
      </c>
      <c r="J216" s="2" t="s">
        <v>36</v>
      </c>
      <c r="K216" s="3">
        <v>43102.676388888889</v>
      </c>
      <c r="L216" s="4">
        <v>43102</v>
      </c>
      <c r="M216" s="8">
        <v>43102</v>
      </c>
      <c r="N216" s="13"/>
    </row>
    <row r="217" spans="1:14" x14ac:dyDescent="0.15">
      <c r="A217" s="5">
        <v>1800000900000000</v>
      </c>
      <c r="B217" s="2" t="s">
        <v>93</v>
      </c>
      <c r="C217" s="2" t="s">
        <v>94</v>
      </c>
      <c r="D217" s="2" t="s">
        <v>140</v>
      </c>
      <c r="E217" s="2" t="s">
        <v>11</v>
      </c>
      <c r="F217" s="15" t="str">
        <f>"4500"</f>
        <v>4500</v>
      </c>
      <c r="G217" s="2">
        <v>24.76</v>
      </c>
      <c r="H217" s="2" t="s">
        <v>12</v>
      </c>
      <c r="I217" s="2" t="s">
        <v>88</v>
      </c>
      <c r="J217" s="2" t="s">
        <v>36</v>
      </c>
      <c r="K217" s="3">
        <v>43102.676388888889</v>
      </c>
      <c r="L217" s="4">
        <v>43102</v>
      </c>
      <c r="M217" s="8">
        <v>43102</v>
      </c>
      <c r="N217" s="13"/>
    </row>
    <row r="218" spans="1:14" x14ac:dyDescent="0.15">
      <c r="A218" s="5">
        <v>1800001000000000</v>
      </c>
      <c r="B218" s="2" t="s">
        <v>95</v>
      </c>
      <c r="C218" s="2" t="s">
        <v>96</v>
      </c>
      <c r="D218" s="2" t="s">
        <v>140</v>
      </c>
      <c r="E218" s="2" t="s">
        <v>11</v>
      </c>
      <c r="F218" s="15" t="str">
        <f>"2100"</f>
        <v>2100</v>
      </c>
      <c r="G218" s="2">
        <v>62.09</v>
      </c>
      <c r="H218" s="2" t="s">
        <v>12</v>
      </c>
      <c r="I218" s="2" t="s">
        <v>88</v>
      </c>
      <c r="J218" s="2" t="s">
        <v>36</v>
      </c>
      <c r="K218" s="3">
        <v>43102.676388888889</v>
      </c>
      <c r="L218" s="4">
        <v>43102</v>
      </c>
      <c r="M218" s="8">
        <v>43102</v>
      </c>
      <c r="N218" s="13"/>
    </row>
    <row r="219" spans="1:14" x14ac:dyDescent="0.15">
      <c r="A219" s="5">
        <v>1800001100000000</v>
      </c>
      <c r="B219" s="2" t="s">
        <v>97</v>
      </c>
      <c r="C219" s="2" t="s">
        <v>98</v>
      </c>
      <c r="D219" s="2" t="s">
        <v>140</v>
      </c>
      <c r="E219" s="2" t="s">
        <v>11</v>
      </c>
      <c r="F219" s="15" t="str">
        <f>"2500"</f>
        <v>2500</v>
      </c>
      <c r="G219" s="2">
        <v>22.79</v>
      </c>
      <c r="H219" s="2" t="s">
        <v>12</v>
      </c>
      <c r="I219" s="2" t="s">
        <v>88</v>
      </c>
      <c r="J219" s="2" t="s">
        <v>36</v>
      </c>
      <c r="K219" s="3">
        <v>43102.676388888889</v>
      </c>
      <c r="L219" s="4">
        <v>43102</v>
      </c>
      <c r="M219" s="8">
        <v>43102</v>
      </c>
      <c r="N219" s="13"/>
    </row>
    <row r="220" spans="1:14" x14ac:dyDescent="0.15">
      <c r="A220" s="5">
        <v>1800001200000000</v>
      </c>
      <c r="B220" s="2" t="s">
        <v>99</v>
      </c>
      <c r="C220" s="2" t="s">
        <v>100</v>
      </c>
      <c r="D220" s="2" t="s">
        <v>140</v>
      </c>
      <c r="E220" s="2" t="s">
        <v>11</v>
      </c>
      <c r="F220" s="15" t="str">
        <f>"4700"</f>
        <v>4700</v>
      </c>
      <c r="G220" s="2">
        <v>18.12</v>
      </c>
      <c r="H220" s="2" t="s">
        <v>12</v>
      </c>
      <c r="I220" s="2" t="s">
        <v>88</v>
      </c>
      <c r="J220" s="2" t="s">
        <v>36</v>
      </c>
      <c r="K220" s="3">
        <v>43102.676388888889</v>
      </c>
      <c r="L220" s="4">
        <v>43102</v>
      </c>
      <c r="M220" s="8">
        <v>43102</v>
      </c>
      <c r="N220" s="13"/>
    </row>
    <row r="221" spans="1:14" x14ac:dyDescent="0.15">
      <c r="A221" s="5">
        <v>1800001400000000</v>
      </c>
      <c r="B221" s="2" t="s">
        <v>101</v>
      </c>
      <c r="C221" s="2" t="s">
        <v>102</v>
      </c>
      <c r="D221" s="2" t="s">
        <v>140</v>
      </c>
      <c r="E221" s="2" t="s">
        <v>11</v>
      </c>
      <c r="F221" s="15" t="str">
        <f>"1000"</f>
        <v>1000</v>
      </c>
      <c r="G221" s="2">
        <v>88.3</v>
      </c>
      <c r="H221" s="2" t="s">
        <v>12</v>
      </c>
      <c r="I221" s="2" t="s">
        <v>88</v>
      </c>
      <c r="J221" s="2" t="s">
        <v>36</v>
      </c>
      <c r="K221" s="3">
        <v>43102.676388888889</v>
      </c>
      <c r="L221" s="4">
        <v>43102</v>
      </c>
      <c r="M221" s="8">
        <v>43102</v>
      </c>
      <c r="N221" s="13"/>
    </row>
    <row r="222" spans="1:14" x14ac:dyDescent="0.15">
      <c r="A222" s="5">
        <v>1800002000000000</v>
      </c>
      <c r="B222" s="2" t="s">
        <v>105</v>
      </c>
      <c r="C222" s="2" t="s">
        <v>106</v>
      </c>
      <c r="D222" s="2" t="s">
        <v>140</v>
      </c>
      <c r="E222" s="2" t="s">
        <v>11</v>
      </c>
      <c r="F222" s="15" t="str">
        <f>"1000"</f>
        <v>1000</v>
      </c>
      <c r="G222" s="2">
        <v>64.099999999999994</v>
      </c>
      <c r="H222" s="2" t="s">
        <v>12</v>
      </c>
      <c r="I222" s="2" t="s">
        <v>88</v>
      </c>
      <c r="J222" s="2" t="s">
        <v>36</v>
      </c>
      <c r="K222" s="3">
        <v>43102.676388888889</v>
      </c>
      <c r="L222" s="4">
        <v>43102</v>
      </c>
      <c r="M222" s="8">
        <v>43102</v>
      </c>
      <c r="N222" s="13"/>
    </row>
    <row r="223" spans="1:14" x14ac:dyDescent="0.15">
      <c r="A223" s="5">
        <v>1800002300000000</v>
      </c>
      <c r="B223" s="2" t="s">
        <v>107</v>
      </c>
      <c r="C223" s="2" t="s">
        <v>108</v>
      </c>
      <c r="D223" s="2" t="s">
        <v>140</v>
      </c>
      <c r="E223" s="2" t="s">
        <v>11</v>
      </c>
      <c r="F223" s="15" t="str">
        <f>"500"</f>
        <v>500</v>
      </c>
      <c r="G223" s="2">
        <v>182.15</v>
      </c>
      <c r="H223" s="2" t="s">
        <v>12</v>
      </c>
      <c r="I223" s="2" t="s">
        <v>88</v>
      </c>
      <c r="J223" s="2" t="s">
        <v>36</v>
      </c>
      <c r="K223" s="3">
        <v>43102.676388888889</v>
      </c>
      <c r="L223" s="4">
        <v>43102</v>
      </c>
      <c r="M223" s="8">
        <v>43102</v>
      </c>
      <c r="N223" s="13"/>
    </row>
    <row r="224" spans="1:14" x14ac:dyDescent="0.15">
      <c r="A224" s="5">
        <v>1800002500000000</v>
      </c>
      <c r="B224" s="2" t="s">
        <v>111</v>
      </c>
      <c r="C224" s="2" t="s">
        <v>112</v>
      </c>
      <c r="D224" s="2" t="s">
        <v>140</v>
      </c>
      <c r="E224" s="2" t="s">
        <v>11</v>
      </c>
      <c r="F224" s="15" t="str">
        <f>"1900"</f>
        <v>1900</v>
      </c>
      <c r="G224" s="2" t="str">
        <f>"55"</f>
        <v>55</v>
      </c>
      <c r="H224" s="2" t="s">
        <v>12</v>
      </c>
      <c r="I224" s="2" t="s">
        <v>88</v>
      </c>
      <c r="J224" s="2" t="s">
        <v>36</v>
      </c>
      <c r="K224" s="3">
        <v>43102.676388888889</v>
      </c>
      <c r="L224" s="4">
        <v>43102</v>
      </c>
      <c r="M224" s="8">
        <v>43102</v>
      </c>
      <c r="N224" s="13"/>
    </row>
    <row r="225" spans="1:14" x14ac:dyDescent="0.15">
      <c r="A225" s="5">
        <v>1800002600000000</v>
      </c>
      <c r="B225" s="2" t="s">
        <v>113</v>
      </c>
      <c r="C225" s="2" t="s">
        <v>114</v>
      </c>
      <c r="D225" s="2" t="s">
        <v>140</v>
      </c>
      <c r="E225" s="2" t="s">
        <v>11</v>
      </c>
      <c r="F225" s="15" t="str">
        <f>"800"</f>
        <v>800</v>
      </c>
      <c r="G225" s="2">
        <v>83.8</v>
      </c>
      <c r="H225" s="2" t="s">
        <v>12</v>
      </c>
      <c r="I225" s="2" t="s">
        <v>88</v>
      </c>
      <c r="J225" s="2" t="s">
        <v>36</v>
      </c>
      <c r="K225" s="3">
        <v>43102.676388888889</v>
      </c>
      <c r="L225" s="4">
        <v>43102</v>
      </c>
      <c r="M225" s="8">
        <v>43102</v>
      </c>
      <c r="N225" s="13"/>
    </row>
    <row r="226" spans="1:14" x14ac:dyDescent="0.15">
      <c r="A226" s="5">
        <v>1800002700000000</v>
      </c>
      <c r="B226" s="2" t="s">
        <v>115</v>
      </c>
      <c r="C226" s="2" t="s">
        <v>116</v>
      </c>
      <c r="D226" s="2" t="s">
        <v>140</v>
      </c>
      <c r="E226" s="2" t="s">
        <v>11</v>
      </c>
      <c r="F226" s="15" t="str">
        <f>"4000"</f>
        <v>4000</v>
      </c>
      <c r="G226" s="2">
        <v>15.03</v>
      </c>
      <c r="H226" s="2" t="s">
        <v>12</v>
      </c>
      <c r="I226" s="2" t="s">
        <v>88</v>
      </c>
      <c r="J226" s="2" t="s">
        <v>36</v>
      </c>
      <c r="K226" s="3">
        <v>43102.676388888889</v>
      </c>
      <c r="L226" s="4">
        <v>43102</v>
      </c>
      <c r="M226" s="8">
        <v>43102</v>
      </c>
      <c r="N226" s="13"/>
    </row>
    <row r="227" spans="1:14" x14ac:dyDescent="0.15">
      <c r="A227" s="5">
        <v>1800002800000000</v>
      </c>
      <c r="B227" s="2" t="s">
        <v>117</v>
      </c>
      <c r="C227" s="2" t="s">
        <v>118</v>
      </c>
      <c r="D227" s="2" t="s">
        <v>140</v>
      </c>
      <c r="E227" s="2" t="s">
        <v>11</v>
      </c>
      <c r="F227" s="15" t="str">
        <f>"2500"</f>
        <v>2500</v>
      </c>
      <c r="G227" s="2">
        <v>45.59</v>
      </c>
      <c r="H227" s="2" t="s">
        <v>12</v>
      </c>
      <c r="I227" s="2" t="s">
        <v>88</v>
      </c>
      <c r="J227" s="2" t="s">
        <v>36</v>
      </c>
      <c r="K227" s="3">
        <v>43102.676388888889</v>
      </c>
      <c r="L227" s="4">
        <v>43102</v>
      </c>
      <c r="M227" s="8">
        <v>43102</v>
      </c>
      <c r="N227" s="13"/>
    </row>
    <row r="228" spans="1:14" x14ac:dyDescent="0.15">
      <c r="A228" s="5">
        <v>1800002900000000</v>
      </c>
      <c r="B228" s="2" t="s">
        <v>119</v>
      </c>
      <c r="C228" s="2" t="s">
        <v>120</v>
      </c>
      <c r="D228" s="2" t="s">
        <v>140</v>
      </c>
      <c r="E228" s="2" t="s">
        <v>11</v>
      </c>
      <c r="F228" s="15" t="str">
        <f>"1800"</f>
        <v>1800</v>
      </c>
      <c r="G228" s="2">
        <v>71.760000000000005</v>
      </c>
      <c r="H228" s="2" t="s">
        <v>12</v>
      </c>
      <c r="I228" s="2" t="s">
        <v>88</v>
      </c>
      <c r="J228" s="2" t="s">
        <v>36</v>
      </c>
      <c r="K228" s="3">
        <v>43102.676388888889</v>
      </c>
      <c r="L228" s="4">
        <v>43102</v>
      </c>
      <c r="M228" s="8">
        <v>43102</v>
      </c>
      <c r="N228" s="13"/>
    </row>
    <row r="229" spans="1:14" x14ac:dyDescent="0.15">
      <c r="A229" s="5">
        <v>1800003000000000</v>
      </c>
      <c r="B229" s="2" t="s">
        <v>121</v>
      </c>
      <c r="C229" s="2" t="s">
        <v>122</v>
      </c>
      <c r="D229" s="2" t="s">
        <v>140</v>
      </c>
      <c r="E229" s="2" t="s">
        <v>11</v>
      </c>
      <c r="F229" s="15" t="str">
        <f>"1400"</f>
        <v>1400</v>
      </c>
      <c r="G229" s="2">
        <v>70.02</v>
      </c>
      <c r="H229" s="2" t="s">
        <v>12</v>
      </c>
      <c r="I229" s="2" t="s">
        <v>88</v>
      </c>
      <c r="J229" s="2" t="s">
        <v>36</v>
      </c>
      <c r="K229" s="3">
        <v>43102.676388888889</v>
      </c>
      <c r="L229" s="4">
        <v>43102</v>
      </c>
      <c r="M229" s="8">
        <v>43102</v>
      </c>
      <c r="N229" s="13"/>
    </row>
    <row r="230" spans="1:14" x14ac:dyDescent="0.15">
      <c r="A230" s="5">
        <v>1800003200000000</v>
      </c>
      <c r="B230" s="2" t="s">
        <v>123</v>
      </c>
      <c r="C230" s="2" t="s">
        <v>124</v>
      </c>
      <c r="D230" s="2" t="s">
        <v>140</v>
      </c>
      <c r="E230" s="2" t="s">
        <v>11</v>
      </c>
      <c r="F230" s="15" t="str">
        <f>"1400"</f>
        <v>1400</v>
      </c>
      <c r="G230" s="2">
        <v>58.9</v>
      </c>
      <c r="H230" s="2" t="s">
        <v>12</v>
      </c>
      <c r="I230" s="2" t="s">
        <v>88</v>
      </c>
      <c r="J230" s="2" t="s">
        <v>36</v>
      </c>
      <c r="K230" s="3">
        <v>43102.676388888889</v>
      </c>
      <c r="L230" s="4">
        <v>43102</v>
      </c>
      <c r="M230" s="8">
        <v>43102</v>
      </c>
      <c r="N230" s="13"/>
    </row>
    <row r="231" spans="1:14" x14ac:dyDescent="0.15">
      <c r="A231" s="5">
        <v>1800004400000000</v>
      </c>
      <c r="B231" s="2" t="s">
        <v>128</v>
      </c>
      <c r="C231" s="2" t="s">
        <v>129</v>
      </c>
      <c r="D231" s="2" t="s">
        <v>141</v>
      </c>
      <c r="E231" s="2" t="s">
        <v>47</v>
      </c>
      <c r="F231" s="15" t="str">
        <f>"5000"</f>
        <v>5000</v>
      </c>
      <c r="G231" s="2">
        <v>14.257</v>
      </c>
      <c r="H231" s="2" t="s">
        <v>12</v>
      </c>
      <c r="I231" s="2" t="s">
        <v>88</v>
      </c>
      <c r="J231" s="2" t="s">
        <v>84</v>
      </c>
      <c r="K231" s="3">
        <v>43103.42083333333</v>
      </c>
      <c r="L231" s="4">
        <v>43103</v>
      </c>
      <c r="M231" s="8">
        <v>43103</v>
      </c>
      <c r="N231" s="13"/>
    </row>
    <row r="232" spans="1:14" x14ac:dyDescent="0.15">
      <c r="A232" s="5">
        <v>1800005100000000</v>
      </c>
      <c r="B232" s="2" t="s">
        <v>111</v>
      </c>
      <c r="C232" s="2" t="s">
        <v>112</v>
      </c>
      <c r="D232" s="2" t="s">
        <v>141</v>
      </c>
      <c r="E232" s="2" t="s">
        <v>11</v>
      </c>
      <c r="F232" s="15" t="str">
        <f>"1800"</f>
        <v>1800</v>
      </c>
      <c r="G232" s="2">
        <v>54.292000000000002</v>
      </c>
      <c r="H232" s="2" t="s">
        <v>12</v>
      </c>
      <c r="I232" s="2" t="s">
        <v>88</v>
      </c>
      <c r="J232" s="2" t="s">
        <v>130</v>
      </c>
      <c r="K232" s="3">
        <v>43103.597222222219</v>
      </c>
      <c r="L232" s="4">
        <v>43103</v>
      </c>
      <c r="M232" s="8">
        <v>43103</v>
      </c>
      <c r="N232" s="13"/>
    </row>
    <row r="233" spans="1:14" x14ac:dyDescent="0.15">
      <c r="A233" s="5">
        <v>1800008000000000</v>
      </c>
      <c r="B233" s="2" t="s">
        <v>113</v>
      </c>
      <c r="C233" s="2" t="s">
        <v>114</v>
      </c>
      <c r="D233" s="2" t="s">
        <v>141</v>
      </c>
      <c r="E233" s="2" t="s">
        <v>47</v>
      </c>
      <c r="F233" s="15" t="str">
        <f>"1000"</f>
        <v>1000</v>
      </c>
      <c r="G233" s="2">
        <v>88.091999999999999</v>
      </c>
      <c r="H233" s="2" t="s">
        <v>12</v>
      </c>
      <c r="I233" s="2" t="s">
        <v>88</v>
      </c>
      <c r="J233" s="2" t="s">
        <v>84</v>
      </c>
      <c r="K233" s="3">
        <v>43108.429166666669</v>
      </c>
      <c r="L233" s="4">
        <v>43108</v>
      </c>
      <c r="M233" s="8">
        <v>43108</v>
      </c>
      <c r="N233" s="13"/>
    </row>
    <row r="234" spans="1:14" x14ac:dyDescent="0.15">
      <c r="A234" s="5">
        <v>1800009200000000</v>
      </c>
      <c r="B234" s="2" t="s">
        <v>126</v>
      </c>
      <c r="C234" s="2" t="s">
        <v>127</v>
      </c>
      <c r="D234" s="2" t="s">
        <v>141</v>
      </c>
      <c r="E234" s="2" t="s">
        <v>47</v>
      </c>
      <c r="F234" s="15" t="str">
        <f>"500"</f>
        <v>500</v>
      </c>
      <c r="G234" s="2">
        <v>93.537999999999997</v>
      </c>
      <c r="H234" s="2" t="s">
        <v>12</v>
      </c>
      <c r="I234" s="2" t="s">
        <v>88</v>
      </c>
      <c r="J234" s="2" t="s">
        <v>84</v>
      </c>
      <c r="K234" s="3">
        <v>43108.640277777777</v>
      </c>
      <c r="L234" s="4">
        <v>43108</v>
      </c>
      <c r="M234" s="8">
        <v>43108</v>
      </c>
      <c r="N234" s="13"/>
    </row>
    <row r="235" spans="1:14" x14ac:dyDescent="0.15">
      <c r="A235" s="5">
        <v>1800009500000000</v>
      </c>
      <c r="B235" s="2" t="s">
        <v>99</v>
      </c>
      <c r="C235" s="2" t="s">
        <v>100</v>
      </c>
      <c r="D235" s="2" t="s">
        <v>141</v>
      </c>
      <c r="E235" s="2" t="s">
        <v>11</v>
      </c>
      <c r="F235" s="15" t="str">
        <f>"5000"</f>
        <v>5000</v>
      </c>
      <c r="G235" s="2">
        <v>17.940000000000001</v>
      </c>
      <c r="H235" s="2" t="s">
        <v>12</v>
      </c>
      <c r="I235" s="2" t="s">
        <v>88</v>
      </c>
      <c r="J235" s="2" t="s">
        <v>50</v>
      </c>
      <c r="K235" s="3">
        <v>43108.717361111114</v>
      </c>
      <c r="L235" s="4">
        <v>43108</v>
      </c>
      <c r="M235" s="8">
        <v>43108</v>
      </c>
      <c r="N235" s="13"/>
    </row>
    <row r="236" spans="1:14" x14ac:dyDescent="0.15">
      <c r="A236" s="5">
        <v>1800015000000000</v>
      </c>
      <c r="B236" s="2" t="s">
        <v>128</v>
      </c>
      <c r="C236" s="2" t="s">
        <v>129</v>
      </c>
      <c r="D236" s="2" t="s">
        <v>141</v>
      </c>
      <c r="E236" s="2" t="s">
        <v>11</v>
      </c>
      <c r="F236" s="15" t="str">
        <f>"7000"</f>
        <v>7000</v>
      </c>
      <c r="G236" s="2">
        <v>14.215</v>
      </c>
      <c r="H236" s="2" t="s">
        <v>12</v>
      </c>
      <c r="I236" s="2" t="s">
        <v>88</v>
      </c>
      <c r="J236" s="2" t="s">
        <v>51</v>
      </c>
      <c r="K236" s="3">
        <v>43109.717361111114</v>
      </c>
      <c r="L236" s="4">
        <v>43109</v>
      </c>
      <c r="M236" s="8">
        <v>43109</v>
      </c>
      <c r="N236" s="13"/>
    </row>
    <row r="237" spans="1:14" x14ac:dyDescent="0.15">
      <c r="A237" s="5">
        <v>1800015300000000</v>
      </c>
      <c r="B237" s="2" t="s">
        <v>99</v>
      </c>
      <c r="C237" s="2" t="s">
        <v>100</v>
      </c>
      <c r="D237" s="2" t="s">
        <v>141</v>
      </c>
      <c r="E237" s="2" t="s">
        <v>11</v>
      </c>
      <c r="F237" s="15" t="str">
        <f>"5000"</f>
        <v>5000</v>
      </c>
      <c r="G237" s="2">
        <v>17.824999999999999</v>
      </c>
      <c r="H237" s="2" t="s">
        <v>12</v>
      </c>
      <c r="I237" s="2" t="s">
        <v>88</v>
      </c>
      <c r="J237" s="2" t="s">
        <v>51</v>
      </c>
      <c r="K237" s="3">
        <v>43109.717361111114</v>
      </c>
      <c r="L237" s="4">
        <v>43109</v>
      </c>
      <c r="M237" s="8">
        <v>43109</v>
      </c>
      <c r="N237" s="13"/>
    </row>
    <row r="238" spans="1:14" x14ac:dyDescent="0.15">
      <c r="A238" s="5">
        <v>1800015800000000</v>
      </c>
      <c r="B238" s="2" t="s">
        <v>132</v>
      </c>
      <c r="C238" s="2" t="s">
        <v>133</v>
      </c>
      <c r="D238" s="2" t="s">
        <v>141</v>
      </c>
      <c r="E238" s="2" t="s">
        <v>47</v>
      </c>
      <c r="F238" s="15" t="str">
        <f>"1000"</f>
        <v>1000</v>
      </c>
      <c r="G238" s="2">
        <v>106.575</v>
      </c>
      <c r="H238" s="2" t="s">
        <v>12</v>
      </c>
      <c r="I238" s="2" t="s">
        <v>88</v>
      </c>
      <c r="J238" s="2" t="s">
        <v>84</v>
      </c>
      <c r="K238" s="3">
        <v>43110.402083333334</v>
      </c>
      <c r="L238" s="4">
        <v>43110</v>
      </c>
      <c r="M238" s="8">
        <v>43110</v>
      </c>
      <c r="N238" s="13"/>
    </row>
    <row r="239" spans="1:14" x14ac:dyDescent="0.15">
      <c r="A239" s="5">
        <v>1800015900000000</v>
      </c>
      <c r="B239" s="2" t="s">
        <v>128</v>
      </c>
      <c r="C239" s="2" t="s">
        <v>129</v>
      </c>
      <c r="D239" s="2" t="s">
        <v>141</v>
      </c>
      <c r="E239" s="2" t="s">
        <v>11</v>
      </c>
      <c r="F239" s="15" t="str">
        <f>"10000"</f>
        <v>10000</v>
      </c>
      <c r="G239" s="2">
        <v>13.525</v>
      </c>
      <c r="H239" s="2" t="s">
        <v>12</v>
      </c>
      <c r="I239" s="2" t="s">
        <v>88</v>
      </c>
      <c r="J239" s="2" t="s">
        <v>125</v>
      </c>
      <c r="K239" s="3">
        <v>43110.497916666667</v>
      </c>
      <c r="L239" s="4">
        <v>43110</v>
      </c>
      <c r="M239" s="8">
        <v>43110</v>
      </c>
      <c r="N239" s="13"/>
    </row>
    <row r="240" spans="1:14" x14ac:dyDescent="0.15">
      <c r="A240" s="5">
        <v>1800016000000000</v>
      </c>
      <c r="B240" s="2" t="s">
        <v>86</v>
      </c>
      <c r="C240" s="2" t="s">
        <v>87</v>
      </c>
      <c r="D240" s="2" t="s">
        <v>142</v>
      </c>
      <c r="E240" s="2" t="s">
        <v>11</v>
      </c>
      <c r="F240" s="15" t="str">
        <f>"3400"</f>
        <v>3400</v>
      </c>
      <c r="G240" s="2">
        <v>108.55</v>
      </c>
      <c r="H240" s="2" t="s">
        <v>12</v>
      </c>
      <c r="I240" s="2" t="s">
        <v>88</v>
      </c>
      <c r="J240" s="2" t="s">
        <v>134</v>
      </c>
      <c r="K240" s="3">
        <v>43110.609722222223</v>
      </c>
      <c r="L240" s="4">
        <v>43110</v>
      </c>
      <c r="M240" s="8">
        <v>43110</v>
      </c>
      <c r="N240" s="13"/>
    </row>
    <row r="241" spans="1:14" x14ac:dyDescent="0.15">
      <c r="A241" s="5">
        <v>1800016200000000</v>
      </c>
      <c r="B241" s="2" t="s">
        <v>89</v>
      </c>
      <c r="C241" s="2" t="s">
        <v>90</v>
      </c>
      <c r="D241" s="2" t="s">
        <v>142</v>
      </c>
      <c r="E241" s="2" t="s">
        <v>11</v>
      </c>
      <c r="F241" s="15" t="str">
        <f>"8800"</f>
        <v>8800</v>
      </c>
      <c r="G241" s="2" t="str">
        <f>"36"</f>
        <v>36</v>
      </c>
      <c r="H241" s="2" t="s">
        <v>12</v>
      </c>
      <c r="I241" s="2" t="s">
        <v>88</v>
      </c>
      <c r="J241" s="2" t="s">
        <v>134</v>
      </c>
      <c r="K241" s="3">
        <v>43110.609722222223</v>
      </c>
      <c r="L241" s="4">
        <v>43110</v>
      </c>
      <c r="M241" s="8">
        <v>43110</v>
      </c>
      <c r="N241" s="13"/>
    </row>
    <row r="242" spans="1:14" x14ac:dyDescent="0.15">
      <c r="A242" s="5">
        <v>1800016400000000</v>
      </c>
      <c r="B242" s="2" t="s">
        <v>93</v>
      </c>
      <c r="C242" s="2" t="s">
        <v>94</v>
      </c>
      <c r="D242" s="2" t="s">
        <v>142</v>
      </c>
      <c r="E242" s="2" t="s">
        <v>11</v>
      </c>
      <c r="F242" s="15" t="str">
        <f>"13400"</f>
        <v>13400</v>
      </c>
      <c r="G242" s="2">
        <v>26.385000000000002</v>
      </c>
      <c r="H242" s="2" t="s">
        <v>12</v>
      </c>
      <c r="I242" s="2" t="s">
        <v>88</v>
      </c>
      <c r="J242" s="2" t="s">
        <v>134</v>
      </c>
      <c r="K242" s="3">
        <v>43110.609722222223</v>
      </c>
      <c r="L242" s="4">
        <v>43110</v>
      </c>
      <c r="M242" s="8">
        <v>43110</v>
      </c>
      <c r="N242" s="13"/>
    </row>
    <row r="243" spans="1:14" x14ac:dyDescent="0.15">
      <c r="A243" s="5">
        <v>1800016500000000</v>
      </c>
      <c r="B243" s="2" t="s">
        <v>97</v>
      </c>
      <c r="C243" s="2" t="s">
        <v>98</v>
      </c>
      <c r="D243" s="2" t="s">
        <v>142</v>
      </c>
      <c r="E243" s="2" t="s">
        <v>11</v>
      </c>
      <c r="F243" s="15" t="str">
        <f>"8300"</f>
        <v>8300</v>
      </c>
      <c r="G243" s="2">
        <v>23.66</v>
      </c>
      <c r="H243" s="2" t="s">
        <v>12</v>
      </c>
      <c r="I243" s="2" t="s">
        <v>88</v>
      </c>
      <c r="J243" s="2" t="s">
        <v>134</v>
      </c>
      <c r="K243" s="3">
        <v>43110.609722222223</v>
      </c>
      <c r="L243" s="4">
        <v>43110</v>
      </c>
      <c r="M243" s="8">
        <v>43110</v>
      </c>
      <c r="N243" s="13"/>
    </row>
    <row r="244" spans="1:14" x14ac:dyDescent="0.15">
      <c r="A244" s="5">
        <v>1800016600000000</v>
      </c>
      <c r="B244" s="2" t="s">
        <v>99</v>
      </c>
      <c r="C244" s="2" t="s">
        <v>100</v>
      </c>
      <c r="D244" s="2" t="s">
        <v>142</v>
      </c>
      <c r="E244" s="2" t="s">
        <v>11</v>
      </c>
      <c r="F244" s="15" t="str">
        <f>"14500"</f>
        <v>14500</v>
      </c>
      <c r="G244" s="2">
        <v>17.574999999999999</v>
      </c>
      <c r="H244" s="2" t="s">
        <v>12</v>
      </c>
      <c r="I244" s="2" t="s">
        <v>88</v>
      </c>
      <c r="J244" s="2" t="s">
        <v>134</v>
      </c>
      <c r="K244" s="3">
        <v>43110.609722222223</v>
      </c>
      <c r="L244" s="4">
        <v>43110</v>
      </c>
      <c r="M244" s="8">
        <v>43110</v>
      </c>
      <c r="N244" s="13"/>
    </row>
    <row r="245" spans="1:14" x14ac:dyDescent="0.15">
      <c r="A245" s="5">
        <v>1800016700000000</v>
      </c>
      <c r="B245" s="2" t="s">
        <v>101</v>
      </c>
      <c r="C245" s="2" t="s">
        <v>102</v>
      </c>
      <c r="D245" s="2" t="s">
        <v>142</v>
      </c>
      <c r="E245" s="2" t="s">
        <v>11</v>
      </c>
      <c r="F245" s="15" t="str">
        <f>"2300"</f>
        <v>2300</v>
      </c>
      <c r="G245" s="2">
        <v>90.76</v>
      </c>
      <c r="H245" s="2" t="s">
        <v>12</v>
      </c>
      <c r="I245" s="2" t="s">
        <v>88</v>
      </c>
      <c r="J245" s="2" t="s">
        <v>134</v>
      </c>
      <c r="K245" s="3">
        <v>43110.609722222223</v>
      </c>
      <c r="L245" s="4">
        <v>43110</v>
      </c>
      <c r="M245" s="8">
        <v>43110</v>
      </c>
      <c r="N245" s="13"/>
    </row>
    <row r="246" spans="1:14" x14ac:dyDescent="0.15">
      <c r="A246" s="5">
        <v>1800017100000000</v>
      </c>
      <c r="B246" s="2" t="s">
        <v>105</v>
      </c>
      <c r="C246" s="2" t="s">
        <v>106</v>
      </c>
      <c r="D246" s="2" t="s">
        <v>142</v>
      </c>
      <c r="E246" s="2" t="s">
        <v>11</v>
      </c>
      <c r="F246" s="15" t="str">
        <f>"3100"</f>
        <v>3100</v>
      </c>
      <c r="G246" s="2">
        <v>65.680000000000007</v>
      </c>
      <c r="H246" s="2" t="s">
        <v>12</v>
      </c>
      <c r="I246" s="2" t="s">
        <v>88</v>
      </c>
      <c r="J246" s="2" t="s">
        <v>134</v>
      </c>
      <c r="K246" s="3">
        <v>43110.609722222223</v>
      </c>
      <c r="L246" s="4">
        <v>43110</v>
      </c>
      <c r="M246" s="8">
        <v>43110</v>
      </c>
      <c r="N246" s="13"/>
    </row>
    <row r="247" spans="1:14" x14ac:dyDescent="0.15">
      <c r="A247" s="5">
        <v>1800017400000000</v>
      </c>
      <c r="B247" s="2" t="s">
        <v>107</v>
      </c>
      <c r="C247" s="2" t="s">
        <v>108</v>
      </c>
      <c r="D247" s="2" t="s">
        <v>142</v>
      </c>
      <c r="E247" s="2" t="s">
        <v>11</v>
      </c>
      <c r="F247" s="15" t="str">
        <f>"1500"</f>
        <v>1500</v>
      </c>
      <c r="G247" s="2">
        <v>186.9</v>
      </c>
      <c r="H247" s="2" t="s">
        <v>12</v>
      </c>
      <c r="I247" s="2" t="s">
        <v>88</v>
      </c>
      <c r="J247" s="2" t="s">
        <v>134</v>
      </c>
      <c r="K247" s="3">
        <v>43110.61041666667</v>
      </c>
      <c r="L247" s="4">
        <v>43110</v>
      </c>
      <c r="M247" s="8">
        <v>43110</v>
      </c>
      <c r="N247" s="13"/>
    </row>
    <row r="248" spans="1:14" x14ac:dyDescent="0.15">
      <c r="A248" s="5">
        <v>1800017500000000</v>
      </c>
      <c r="B248" s="2" t="s">
        <v>109</v>
      </c>
      <c r="C248" s="2" t="s">
        <v>110</v>
      </c>
      <c r="D248" s="2" t="s">
        <v>142</v>
      </c>
      <c r="E248" s="2" t="s">
        <v>11</v>
      </c>
      <c r="F248" s="15" t="str">
        <f>"10300"</f>
        <v>10300</v>
      </c>
      <c r="G248" s="2">
        <v>17.899999999999999</v>
      </c>
      <c r="H248" s="2" t="s">
        <v>12</v>
      </c>
      <c r="I248" s="2" t="s">
        <v>88</v>
      </c>
      <c r="J248" s="2" t="s">
        <v>134</v>
      </c>
      <c r="K248" s="3">
        <v>43110.61041666667</v>
      </c>
      <c r="L248" s="4">
        <v>43110</v>
      </c>
      <c r="M248" s="8">
        <v>43110</v>
      </c>
      <c r="N248" s="13"/>
    </row>
    <row r="249" spans="1:14" x14ac:dyDescent="0.15">
      <c r="A249" s="5">
        <v>1800017600000000</v>
      </c>
      <c r="B249" s="2" t="s">
        <v>111</v>
      </c>
      <c r="C249" s="2" t="s">
        <v>112</v>
      </c>
      <c r="D249" s="2" t="s">
        <v>142</v>
      </c>
      <c r="E249" s="2" t="s">
        <v>11</v>
      </c>
      <c r="F249" s="15" t="str">
        <f>"6600"</f>
        <v>6600</v>
      </c>
      <c r="G249" s="2">
        <v>55.76</v>
      </c>
      <c r="H249" s="2" t="s">
        <v>12</v>
      </c>
      <c r="I249" s="2" t="s">
        <v>88</v>
      </c>
      <c r="J249" s="2" t="s">
        <v>134</v>
      </c>
      <c r="K249" s="3">
        <v>43110.61041666667</v>
      </c>
      <c r="L249" s="4">
        <v>43110</v>
      </c>
      <c r="M249" s="8">
        <v>43110</v>
      </c>
      <c r="N249" s="13"/>
    </row>
    <row r="250" spans="1:14" x14ac:dyDescent="0.15">
      <c r="A250" s="5">
        <v>1800017700000000</v>
      </c>
      <c r="B250" s="2" t="s">
        <v>113</v>
      </c>
      <c r="C250" s="2" t="s">
        <v>114</v>
      </c>
      <c r="D250" s="2" t="s">
        <v>142</v>
      </c>
      <c r="E250" s="2" t="s">
        <v>11</v>
      </c>
      <c r="F250" s="15" t="str">
        <f>"2700"</f>
        <v>2700</v>
      </c>
      <c r="G250" s="2">
        <v>88.09</v>
      </c>
      <c r="H250" s="2" t="s">
        <v>12</v>
      </c>
      <c r="I250" s="2" t="s">
        <v>88</v>
      </c>
      <c r="J250" s="2" t="s">
        <v>134</v>
      </c>
      <c r="K250" s="3">
        <v>43110.61041666667</v>
      </c>
      <c r="L250" s="4">
        <v>43110</v>
      </c>
      <c r="M250" s="8">
        <v>43110</v>
      </c>
      <c r="N250" s="13"/>
    </row>
    <row r="251" spans="1:14" x14ac:dyDescent="0.15">
      <c r="A251" s="5">
        <v>1800017800000000</v>
      </c>
      <c r="B251" s="2" t="s">
        <v>115</v>
      </c>
      <c r="C251" s="2" t="s">
        <v>116</v>
      </c>
      <c r="D251" s="2" t="s">
        <v>142</v>
      </c>
      <c r="E251" s="2" t="s">
        <v>11</v>
      </c>
      <c r="F251" s="15" t="str">
        <f>"12800"</f>
        <v>12800</v>
      </c>
      <c r="G251" s="2">
        <v>15.234999999999999</v>
      </c>
      <c r="H251" s="2" t="s">
        <v>12</v>
      </c>
      <c r="I251" s="2" t="s">
        <v>88</v>
      </c>
      <c r="J251" s="2" t="s">
        <v>134</v>
      </c>
      <c r="K251" s="3">
        <v>43110.61041666667</v>
      </c>
      <c r="L251" s="4">
        <v>43110</v>
      </c>
      <c r="M251" s="8">
        <v>43110</v>
      </c>
      <c r="N251" s="13"/>
    </row>
    <row r="252" spans="1:14" x14ac:dyDescent="0.15">
      <c r="A252" s="5">
        <v>1800017900000000</v>
      </c>
      <c r="B252" s="2" t="s">
        <v>117</v>
      </c>
      <c r="C252" s="2" t="s">
        <v>118</v>
      </c>
      <c r="D252" s="2" t="s">
        <v>142</v>
      </c>
      <c r="E252" s="2" t="s">
        <v>11</v>
      </c>
      <c r="F252" s="15" t="str">
        <f>"8400"</f>
        <v>8400</v>
      </c>
      <c r="G252" s="2">
        <v>48.18</v>
      </c>
      <c r="H252" s="2" t="s">
        <v>12</v>
      </c>
      <c r="I252" s="2" t="s">
        <v>88</v>
      </c>
      <c r="J252" s="2" t="s">
        <v>134</v>
      </c>
      <c r="K252" s="3">
        <v>43110.61041666667</v>
      </c>
      <c r="L252" s="4">
        <v>43110</v>
      </c>
      <c r="M252" s="8">
        <v>43110</v>
      </c>
      <c r="N252" s="13"/>
    </row>
    <row r="253" spans="1:14" x14ac:dyDescent="0.15">
      <c r="A253" s="5">
        <v>1800018000000000</v>
      </c>
      <c r="B253" s="2" t="s">
        <v>119</v>
      </c>
      <c r="C253" s="2" t="s">
        <v>120</v>
      </c>
      <c r="D253" s="2" t="s">
        <v>142</v>
      </c>
      <c r="E253" s="2" t="s">
        <v>11</v>
      </c>
      <c r="F253" s="15" t="str">
        <f>"5800"</f>
        <v>5800</v>
      </c>
      <c r="G253" s="2">
        <v>73.34</v>
      </c>
      <c r="H253" s="2" t="s">
        <v>12</v>
      </c>
      <c r="I253" s="2" t="s">
        <v>88</v>
      </c>
      <c r="J253" s="2" t="s">
        <v>134</v>
      </c>
      <c r="K253" s="3">
        <v>43110.61041666667</v>
      </c>
      <c r="L253" s="4">
        <v>43110</v>
      </c>
      <c r="M253" s="8">
        <v>43110</v>
      </c>
      <c r="N253" s="13"/>
    </row>
    <row r="254" spans="1:14" x14ac:dyDescent="0.15">
      <c r="A254" s="5">
        <v>1800018100000000</v>
      </c>
      <c r="B254" s="2" t="s">
        <v>121</v>
      </c>
      <c r="C254" s="2" t="s">
        <v>122</v>
      </c>
      <c r="D254" s="2" t="s">
        <v>142</v>
      </c>
      <c r="E254" s="2" t="s">
        <v>11</v>
      </c>
      <c r="F254" s="15" t="str">
        <f>"3900"</f>
        <v>3900</v>
      </c>
      <c r="G254" s="2">
        <v>73.760000000000005</v>
      </c>
      <c r="H254" s="2" t="s">
        <v>12</v>
      </c>
      <c r="I254" s="2" t="s">
        <v>88</v>
      </c>
      <c r="J254" s="2" t="s">
        <v>134</v>
      </c>
      <c r="K254" s="3">
        <v>43110.61041666667</v>
      </c>
      <c r="L254" s="4">
        <v>43110</v>
      </c>
      <c r="M254" s="8">
        <v>43110</v>
      </c>
      <c r="N254" s="13"/>
    </row>
    <row r="255" spans="1:14" x14ac:dyDescent="0.15">
      <c r="A255" s="5">
        <v>1800018200000000</v>
      </c>
      <c r="B255" s="2" t="s">
        <v>123</v>
      </c>
      <c r="C255" s="2" t="s">
        <v>124</v>
      </c>
      <c r="D255" s="2" t="s">
        <v>142</v>
      </c>
      <c r="E255" s="2" t="s">
        <v>11</v>
      </c>
      <c r="F255" s="15" t="str">
        <f>"3300"</f>
        <v>3300</v>
      </c>
      <c r="G255" s="2">
        <v>60.85</v>
      </c>
      <c r="H255" s="2" t="s">
        <v>12</v>
      </c>
      <c r="I255" s="2" t="s">
        <v>88</v>
      </c>
      <c r="J255" s="2" t="s">
        <v>14</v>
      </c>
      <c r="K255" s="3">
        <v>43110.61041666667</v>
      </c>
      <c r="L255" s="4">
        <v>43110</v>
      </c>
      <c r="M255" s="8">
        <v>43110</v>
      </c>
      <c r="N255" s="13"/>
    </row>
    <row r="256" spans="1:14" x14ac:dyDescent="0.15">
      <c r="A256" s="5">
        <v>1800018500000000</v>
      </c>
      <c r="B256" s="2" t="s">
        <v>95</v>
      </c>
      <c r="C256" s="2" t="s">
        <v>96</v>
      </c>
      <c r="D256" s="2" t="s">
        <v>141</v>
      </c>
      <c r="E256" s="2" t="s">
        <v>47</v>
      </c>
      <c r="F256" s="15" t="str">
        <f>"1000"</f>
        <v>1000</v>
      </c>
      <c r="G256" s="2">
        <v>66.634</v>
      </c>
      <c r="H256" s="2" t="s">
        <v>12</v>
      </c>
      <c r="I256" s="2" t="s">
        <v>88</v>
      </c>
      <c r="J256" s="2" t="s">
        <v>51</v>
      </c>
      <c r="K256" s="3">
        <v>43110.622916666667</v>
      </c>
      <c r="L256" s="4">
        <v>43110</v>
      </c>
      <c r="M256" s="8">
        <v>43110</v>
      </c>
      <c r="N256" s="13"/>
    </row>
    <row r="257" spans="1:14" x14ac:dyDescent="0.15">
      <c r="A257" s="5">
        <v>1800018700000000</v>
      </c>
      <c r="B257" s="2" t="s">
        <v>128</v>
      </c>
      <c r="C257" s="2" t="s">
        <v>129</v>
      </c>
      <c r="D257" s="2" t="s">
        <v>141</v>
      </c>
      <c r="E257" s="2" t="s">
        <v>11</v>
      </c>
      <c r="F257" s="15" t="str">
        <f>"5000"</f>
        <v>5000</v>
      </c>
      <c r="G257" s="2">
        <v>13.7</v>
      </c>
      <c r="H257" s="2" t="s">
        <v>12</v>
      </c>
      <c r="I257" s="2" t="s">
        <v>88</v>
      </c>
      <c r="J257" s="2" t="s">
        <v>67</v>
      </c>
      <c r="K257" s="3">
        <v>43110.671527777777</v>
      </c>
      <c r="L257" s="4">
        <v>43110</v>
      </c>
      <c r="M257" s="8">
        <v>43110</v>
      </c>
      <c r="N257" s="13"/>
    </row>
    <row r="258" spans="1:14" x14ac:dyDescent="0.15">
      <c r="A258" s="5">
        <v>1800023600000000</v>
      </c>
      <c r="B258" s="2" t="s">
        <v>93</v>
      </c>
      <c r="C258" s="2" t="s">
        <v>94</v>
      </c>
      <c r="D258" s="2" t="s">
        <v>141</v>
      </c>
      <c r="E258" s="2" t="s">
        <v>47</v>
      </c>
      <c r="F258" s="15" t="str">
        <f>"10000"</f>
        <v>10000</v>
      </c>
      <c r="G258" s="2">
        <v>26.710999999999999</v>
      </c>
      <c r="H258" s="2" t="s">
        <v>12</v>
      </c>
      <c r="I258" s="2" t="s">
        <v>88</v>
      </c>
      <c r="J258" s="2" t="s">
        <v>125</v>
      </c>
      <c r="K258" s="3">
        <v>43115.448611111111</v>
      </c>
      <c r="L258" s="4">
        <v>43115</v>
      </c>
      <c r="M258" s="8">
        <v>43115</v>
      </c>
      <c r="N258" s="13"/>
    </row>
    <row r="259" spans="1:14" x14ac:dyDescent="0.15">
      <c r="A259" s="5">
        <v>1800023900000000</v>
      </c>
      <c r="B259" s="2" t="s">
        <v>128</v>
      </c>
      <c r="C259" s="2" t="s">
        <v>129</v>
      </c>
      <c r="D259" s="2" t="s">
        <v>141</v>
      </c>
      <c r="E259" s="2" t="s">
        <v>11</v>
      </c>
      <c r="F259" s="15" t="str">
        <f>"9000"</f>
        <v>9000</v>
      </c>
      <c r="G259" s="2">
        <v>12.765000000000001</v>
      </c>
      <c r="H259" s="2" t="s">
        <v>12</v>
      </c>
      <c r="I259" s="2" t="s">
        <v>88</v>
      </c>
      <c r="J259" s="2" t="s">
        <v>84</v>
      </c>
      <c r="K259" s="3">
        <v>43115.692361111112</v>
      </c>
      <c r="L259" s="4">
        <v>43115</v>
      </c>
      <c r="M259" s="8">
        <v>43115</v>
      </c>
      <c r="N259" s="13"/>
    </row>
    <row r="260" spans="1:14" x14ac:dyDescent="0.15">
      <c r="A260" s="5">
        <v>1800025500000000</v>
      </c>
      <c r="B260" s="2" t="s">
        <v>128</v>
      </c>
      <c r="C260" s="2" t="s">
        <v>129</v>
      </c>
      <c r="D260" s="2" t="s">
        <v>141</v>
      </c>
      <c r="E260" s="2" t="s">
        <v>11</v>
      </c>
      <c r="F260" s="15" t="str">
        <f>"13000"</f>
        <v>13000</v>
      </c>
      <c r="G260" s="2">
        <v>12.928000000000001</v>
      </c>
      <c r="H260" s="2" t="s">
        <v>12</v>
      </c>
      <c r="I260" s="2" t="s">
        <v>88</v>
      </c>
      <c r="J260" s="2" t="s">
        <v>84</v>
      </c>
      <c r="K260" s="3">
        <v>43116.600694444445</v>
      </c>
      <c r="L260" s="4">
        <v>43116</v>
      </c>
      <c r="M260" s="8">
        <v>43116</v>
      </c>
      <c r="N260" s="13"/>
    </row>
    <row r="261" spans="1:14" x14ac:dyDescent="0.15">
      <c r="A261" s="5">
        <v>1800025600000000</v>
      </c>
      <c r="B261" s="2" t="s">
        <v>135</v>
      </c>
      <c r="C261" s="2" t="s">
        <v>136</v>
      </c>
      <c r="D261" s="2" t="s">
        <v>141</v>
      </c>
      <c r="E261" s="2" t="s">
        <v>47</v>
      </c>
      <c r="F261" s="15" t="str">
        <f>"1500"</f>
        <v>1500</v>
      </c>
      <c r="G261" s="2">
        <v>161.59200000000001</v>
      </c>
      <c r="H261" s="2" t="s">
        <v>12</v>
      </c>
      <c r="I261" s="2" t="s">
        <v>88</v>
      </c>
      <c r="J261" s="2" t="s">
        <v>52</v>
      </c>
      <c r="K261" s="3">
        <v>43117.429861111108</v>
      </c>
      <c r="L261" s="4">
        <v>43117</v>
      </c>
      <c r="M261" s="8">
        <v>43117</v>
      </c>
      <c r="N261" s="13"/>
    </row>
    <row r="262" spans="1:14" x14ac:dyDescent="0.15">
      <c r="A262" s="5">
        <v>1800026600000000</v>
      </c>
      <c r="B262" s="2" t="s">
        <v>99</v>
      </c>
      <c r="C262" s="2" t="s">
        <v>100</v>
      </c>
      <c r="D262" s="2" t="s">
        <v>141</v>
      </c>
      <c r="E262" s="2" t="s">
        <v>11</v>
      </c>
      <c r="F262" s="15" t="str">
        <f>"5000"</f>
        <v>5000</v>
      </c>
      <c r="G262" s="2">
        <v>17.684999999999999</v>
      </c>
      <c r="H262" s="2" t="s">
        <v>12</v>
      </c>
      <c r="I262" s="2" t="s">
        <v>88</v>
      </c>
      <c r="J262" s="2" t="s">
        <v>50</v>
      </c>
      <c r="K262" s="3">
        <v>43117.706250000003</v>
      </c>
      <c r="L262" s="4">
        <v>43117</v>
      </c>
      <c r="M262" s="8">
        <v>43117</v>
      </c>
      <c r="N262" s="13"/>
    </row>
    <row r="263" spans="1:14" x14ac:dyDescent="0.15">
      <c r="A263" s="5">
        <v>1800026700000000</v>
      </c>
      <c r="B263" s="2" t="s">
        <v>89</v>
      </c>
      <c r="C263" s="2" t="s">
        <v>90</v>
      </c>
      <c r="D263" s="2" t="s">
        <v>141</v>
      </c>
      <c r="E263" s="2" t="s">
        <v>47</v>
      </c>
      <c r="F263" s="15" t="str">
        <f>"3000"</f>
        <v>3000</v>
      </c>
      <c r="G263" s="2">
        <v>37.185000000000002</v>
      </c>
      <c r="H263" s="2" t="s">
        <v>12</v>
      </c>
      <c r="I263" s="2" t="s">
        <v>88</v>
      </c>
      <c r="J263" s="2" t="s">
        <v>46</v>
      </c>
      <c r="K263" s="3">
        <v>43118.402083333334</v>
      </c>
      <c r="L263" s="4">
        <v>43118</v>
      </c>
      <c r="M263" s="8">
        <v>43118</v>
      </c>
      <c r="N263" s="13"/>
    </row>
    <row r="264" spans="1:14" x14ac:dyDescent="0.15">
      <c r="A264" s="5">
        <v>1800026800000000</v>
      </c>
      <c r="B264" s="2" t="s">
        <v>135</v>
      </c>
      <c r="C264" s="2" t="s">
        <v>136</v>
      </c>
      <c r="D264" s="2" t="s">
        <v>141</v>
      </c>
      <c r="E264" s="2" t="s">
        <v>47</v>
      </c>
      <c r="F264" s="15" t="str">
        <f>"300"</f>
        <v>300</v>
      </c>
      <c r="G264" s="2">
        <v>164.536</v>
      </c>
      <c r="H264" s="2" t="s">
        <v>12</v>
      </c>
      <c r="I264" s="2" t="s">
        <v>88</v>
      </c>
      <c r="J264" s="2" t="s">
        <v>52</v>
      </c>
      <c r="K264" s="3">
        <v>43118.404166666667</v>
      </c>
      <c r="L264" s="4">
        <v>43118</v>
      </c>
      <c r="M264" s="8">
        <v>43118</v>
      </c>
      <c r="N264" s="13"/>
    </row>
    <row r="265" spans="1:14" x14ac:dyDescent="0.15">
      <c r="A265" s="5">
        <v>1800026900000000</v>
      </c>
      <c r="B265" s="2" t="s">
        <v>99</v>
      </c>
      <c r="C265" s="2" t="s">
        <v>100</v>
      </c>
      <c r="D265" s="2" t="s">
        <v>141</v>
      </c>
      <c r="E265" s="2" t="s">
        <v>47</v>
      </c>
      <c r="F265" s="15" t="str">
        <f>"10000"</f>
        <v>10000</v>
      </c>
      <c r="G265" s="2">
        <v>18.308</v>
      </c>
      <c r="H265" s="2" t="s">
        <v>12</v>
      </c>
      <c r="I265" s="2" t="s">
        <v>88</v>
      </c>
      <c r="J265" s="2" t="s">
        <v>51</v>
      </c>
      <c r="K265" s="3">
        <v>43118.414583333331</v>
      </c>
      <c r="L265" s="4">
        <v>43118</v>
      </c>
      <c r="M265" s="8">
        <v>43118</v>
      </c>
      <c r="N265" s="13"/>
    </row>
    <row r="266" spans="1:14" x14ac:dyDescent="0.15">
      <c r="A266" s="5">
        <v>1800027300000000</v>
      </c>
      <c r="B266" s="2" t="s">
        <v>119</v>
      </c>
      <c r="C266" s="2" t="s">
        <v>120</v>
      </c>
      <c r="D266" s="2" t="s">
        <v>141</v>
      </c>
      <c r="E266" s="2" t="s">
        <v>11</v>
      </c>
      <c r="F266" s="15" t="str">
        <f>"2000"</f>
        <v>2000</v>
      </c>
      <c r="G266" s="2">
        <v>72.37</v>
      </c>
      <c r="H266" s="2" t="s">
        <v>12</v>
      </c>
      <c r="I266" s="2" t="s">
        <v>88</v>
      </c>
      <c r="J266" s="2" t="s">
        <v>50</v>
      </c>
      <c r="K266" s="3">
        <v>43118.723611111112</v>
      </c>
      <c r="L266" s="4">
        <v>43118</v>
      </c>
      <c r="M266" s="8">
        <v>43118</v>
      </c>
      <c r="N266" s="13"/>
    </row>
    <row r="267" spans="1:14" x14ac:dyDescent="0.15">
      <c r="A267" s="5">
        <v>1800027500000000</v>
      </c>
      <c r="B267" s="2" t="s">
        <v>109</v>
      </c>
      <c r="C267" s="2" t="s">
        <v>110</v>
      </c>
      <c r="D267" s="2" t="s">
        <v>142</v>
      </c>
      <c r="E267" s="2" t="s">
        <v>47</v>
      </c>
      <c r="F267" s="15" t="str">
        <f>"104700"</f>
        <v>104700</v>
      </c>
      <c r="G267" s="2">
        <v>18.382999999999999</v>
      </c>
      <c r="H267" s="2" t="s">
        <v>12</v>
      </c>
      <c r="I267" s="2" t="s">
        <v>88</v>
      </c>
      <c r="J267" s="2" t="s">
        <v>85</v>
      </c>
      <c r="K267" s="3">
        <v>43119.433333333334</v>
      </c>
      <c r="L267" s="4">
        <v>43119</v>
      </c>
      <c r="M267" s="8">
        <v>43119</v>
      </c>
      <c r="N267" s="13"/>
    </row>
    <row r="268" spans="1:14" x14ac:dyDescent="0.15">
      <c r="A268" s="5">
        <v>1800027700000000</v>
      </c>
      <c r="B268" s="2" t="s">
        <v>109</v>
      </c>
      <c r="C268" s="2" t="s">
        <v>110</v>
      </c>
      <c r="D268" s="2" t="s">
        <v>143</v>
      </c>
      <c r="E268" s="2" t="s">
        <v>47</v>
      </c>
      <c r="F268" s="15" t="str">
        <f>"11650"</f>
        <v>11650</v>
      </c>
      <c r="G268" s="2">
        <v>18.382999999999999</v>
      </c>
      <c r="H268" s="2" t="s">
        <v>12</v>
      </c>
      <c r="I268" s="2" t="s">
        <v>88</v>
      </c>
      <c r="J268" s="2" t="s">
        <v>85</v>
      </c>
      <c r="K268" s="3">
        <v>43119.433333333334</v>
      </c>
      <c r="L268" s="4">
        <v>43119</v>
      </c>
      <c r="M268" s="8">
        <v>43119</v>
      </c>
      <c r="N268" s="13"/>
    </row>
    <row r="269" spans="1:14" x14ac:dyDescent="0.15">
      <c r="A269" s="5">
        <v>1800027800000000</v>
      </c>
      <c r="B269" s="2" t="s">
        <v>109</v>
      </c>
      <c r="C269" s="2" t="s">
        <v>110</v>
      </c>
      <c r="D269" s="2" t="s">
        <v>144</v>
      </c>
      <c r="E269" s="2" t="s">
        <v>47</v>
      </c>
      <c r="F269" s="15" t="str">
        <f>"15820"</f>
        <v>15820</v>
      </c>
      <c r="G269" s="2">
        <v>18.382999999999999</v>
      </c>
      <c r="H269" s="2" t="s">
        <v>12</v>
      </c>
      <c r="I269" s="2" t="s">
        <v>88</v>
      </c>
      <c r="J269" s="2" t="s">
        <v>85</v>
      </c>
      <c r="K269" s="3">
        <v>43119.433333333334</v>
      </c>
      <c r="L269" s="4">
        <v>43119</v>
      </c>
      <c r="M269" s="8">
        <v>43119</v>
      </c>
      <c r="N269" s="13"/>
    </row>
    <row r="270" spans="1:14" x14ac:dyDescent="0.15">
      <c r="A270" s="5">
        <v>1800028000000000</v>
      </c>
      <c r="B270" s="2" t="s">
        <v>109</v>
      </c>
      <c r="C270" s="2" t="s">
        <v>110</v>
      </c>
      <c r="D270" s="2" t="s">
        <v>145</v>
      </c>
      <c r="E270" s="2" t="s">
        <v>47</v>
      </c>
      <c r="F270" s="15" t="str">
        <f>"15235"</f>
        <v>15235</v>
      </c>
      <c r="G270" s="2">
        <v>18.382999999999999</v>
      </c>
      <c r="H270" s="2" t="s">
        <v>12</v>
      </c>
      <c r="I270" s="2" t="s">
        <v>88</v>
      </c>
      <c r="J270" s="2" t="s">
        <v>85</v>
      </c>
      <c r="K270" s="3">
        <v>43119.433333333334</v>
      </c>
      <c r="L270" s="4">
        <v>43119</v>
      </c>
      <c r="M270" s="8">
        <v>43119</v>
      </c>
      <c r="N270" s="13"/>
    </row>
    <row r="271" spans="1:14" x14ac:dyDescent="0.15">
      <c r="A271" s="5">
        <v>1800028100000000</v>
      </c>
      <c r="B271" s="2" t="s">
        <v>109</v>
      </c>
      <c r="C271" s="2" t="s">
        <v>110</v>
      </c>
      <c r="D271" s="2" t="s">
        <v>146</v>
      </c>
      <c r="E271" s="2" t="s">
        <v>47</v>
      </c>
      <c r="F271" s="15" t="str">
        <f>"150000"</f>
        <v>150000</v>
      </c>
      <c r="G271" s="2">
        <v>18.382999999999999</v>
      </c>
      <c r="H271" s="2" t="s">
        <v>12</v>
      </c>
      <c r="I271" s="2" t="s">
        <v>88</v>
      </c>
      <c r="J271" s="2" t="s">
        <v>85</v>
      </c>
      <c r="K271" s="3">
        <v>43119.433333333334</v>
      </c>
      <c r="L271" s="4">
        <v>43119</v>
      </c>
      <c r="M271" s="8">
        <v>43119</v>
      </c>
      <c r="N271" s="13"/>
    </row>
    <row r="272" spans="1:14" x14ac:dyDescent="0.15">
      <c r="A272" s="5">
        <v>1800028300000000</v>
      </c>
      <c r="B272" s="2" t="s">
        <v>109</v>
      </c>
      <c r="C272" s="2" t="s">
        <v>110</v>
      </c>
      <c r="D272" s="2" t="s">
        <v>140</v>
      </c>
      <c r="E272" s="2" t="s">
        <v>47</v>
      </c>
      <c r="F272" s="15" t="str">
        <f>"116400"</f>
        <v>116400</v>
      </c>
      <c r="G272" s="2">
        <v>18.382999999999999</v>
      </c>
      <c r="H272" s="2" t="s">
        <v>12</v>
      </c>
      <c r="I272" s="2" t="s">
        <v>88</v>
      </c>
      <c r="J272" s="2" t="s">
        <v>85</v>
      </c>
      <c r="K272" s="3">
        <v>43119.433333333334</v>
      </c>
      <c r="L272" s="4">
        <v>43119</v>
      </c>
      <c r="M272" s="8">
        <v>43119</v>
      </c>
      <c r="N272" s="13"/>
    </row>
    <row r="273" spans="1:14" x14ac:dyDescent="0.15">
      <c r="A273" s="5">
        <v>1800028400000000</v>
      </c>
      <c r="B273" s="2" t="s">
        <v>109</v>
      </c>
      <c r="C273" s="2" t="s">
        <v>110</v>
      </c>
      <c r="D273" s="2" t="s">
        <v>139</v>
      </c>
      <c r="E273" s="2" t="s">
        <v>47</v>
      </c>
      <c r="F273" s="15" t="str">
        <f>"145950"</f>
        <v>145950</v>
      </c>
      <c r="G273" s="2">
        <v>18.382999999999999</v>
      </c>
      <c r="H273" s="2" t="s">
        <v>12</v>
      </c>
      <c r="I273" s="2" t="s">
        <v>88</v>
      </c>
      <c r="J273" s="2" t="s">
        <v>85</v>
      </c>
      <c r="K273" s="3">
        <v>43119.433333333334</v>
      </c>
      <c r="L273" s="4">
        <v>43119</v>
      </c>
      <c r="M273" s="8">
        <v>43119</v>
      </c>
      <c r="N273" s="13"/>
    </row>
    <row r="274" spans="1:14" x14ac:dyDescent="0.15">
      <c r="A274" s="5">
        <v>1800036100000000</v>
      </c>
      <c r="B274" s="2" t="s">
        <v>119</v>
      </c>
      <c r="C274" s="2" t="s">
        <v>120</v>
      </c>
      <c r="D274" s="2" t="s">
        <v>142</v>
      </c>
      <c r="E274" s="2" t="s">
        <v>11</v>
      </c>
      <c r="F274" s="15" t="str">
        <f>"6000"</f>
        <v>6000</v>
      </c>
      <c r="G274" s="2">
        <v>70.378</v>
      </c>
      <c r="H274" s="2" t="s">
        <v>12</v>
      </c>
      <c r="I274" s="2" t="s">
        <v>88</v>
      </c>
      <c r="J274" s="2" t="s">
        <v>134</v>
      </c>
      <c r="K274" s="3">
        <v>43122.43472222222</v>
      </c>
      <c r="L274" s="4">
        <v>43122</v>
      </c>
      <c r="M274" s="8">
        <v>43122</v>
      </c>
      <c r="N274" s="13"/>
    </row>
    <row r="275" spans="1:14" x14ac:dyDescent="0.15">
      <c r="A275" s="5">
        <v>1800036300000000</v>
      </c>
      <c r="B275" s="2" t="s">
        <v>119</v>
      </c>
      <c r="C275" s="2" t="s">
        <v>120</v>
      </c>
      <c r="D275" s="2" t="s">
        <v>143</v>
      </c>
      <c r="E275" s="2" t="s">
        <v>11</v>
      </c>
      <c r="F275" s="15" t="str">
        <f>"800"</f>
        <v>800</v>
      </c>
      <c r="G275" s="2">
        <v>70.378</v>
      </c>
      <c r="H275" s="2" t="s">
        <v>12</v>
      </c>
      <c r="I275" s="2" t="s">
        <v>88</v>
      </c>
      <c r="J275" s="2" t="s">
        <v>134</v>
      </c>
      <c r="K275" s="3">
        <v>43122.435416666667</v>
      </c>
      <c r="L275" s="4">
        <v>43122</v>
      </c>
      <c r="M275" s="8">
        <v>43122</v>
      </c>
      <c r="N275" s="13"/>
    </row>
    <row r="276" spans="1:14" x14ac:dyDescent="0.15">
      <c r="A276" s="5">
        <v>1800036600000000</v>
      </c>
      <c r="B276" s="2" t="s">
        <v>119</v>
      </c>
      <c r="C276" s="2" t="s">
        <v>120</v>
      </c>
      <c r="D276" s="2" t="s">
        <v>144</v>
      </c>
      <c r="E276" s="2" t="s">
        <v>11</v>
      </c>
      <c r="F276" s="15" t="str">
        <f>"1000"</f>
        <v>1000</v>
      </c>
      <c r="G276" s="2">
        <v>70.378</v>
      </c>
      <c r="H276" s="2" t="s">
        <v>12</v>
      </c>
      <c r="I276" s="2" t="s">
        <v>88</v>
      </c>
      <c r="J276" s="2" t="s">
        <v>134</v>
      </c>
      <c r="K276" s="3">
        <v>43122.435416666667</v>
      </c>
      <c r="L276" s="4">
        <v>43122</v>
      </c>
      <c r="M276" s="8">
        <v>43122</v>
      </c>
      <c r="N276" s="13"/>
    </row>
    <row r="277" spans="1:14" x14ac:dyDescent="0.15">
      <c r="A277" s="5">
        <v>1800036800000000</v>
      </c>
      <c r="B277" s="2" t="s">
        <v>119</v>
      </c>
      <c r="C277" s="2" t="s">
        <v>120</v>
      </c>
      <c r="D277" s="2" t="s">
        <v>145</v>
      </c>
      <c r="E277" s="2" t="s">
        <v>11</v>
      </c>
      <c r="F277" s="15" t="str">
        <f>"950"</f>
        <v>950</v>
      </c>
      <c r="G277" s="2">
        <v>70.378</v>
      </c>
      <c r="H277" s="2" t="s">
        <v>12</v>
      </c>
      <c r="I277" s="2" t="s">
        <v>88</v>
      </c>
      <c r="J277" s="2" t="s">
        <v>134</v>
      </c>
      <c r="K277" s="3">
        <v>43122.435416666667</v>
      </c>
      <c r="L277" s="4">
        <v>43122</v>
      </c>
      <c r="M277" s="8">
        <v>43122</v>
      </c>
      <c r="N277" s="13"/>
    </row>
    <row r="278" spans="1:14" x14ac:dyDescent="0.15">
      <c r="A278" s="5">
        <v>1800036900000000</v>
      </c>
      <c r="B278" s="2" t="s">
        <v>119</v>
      </c>
      <c r="C278" s="2" t="s">
        <v>120</v>
      </c>
      <c r="D278" s="2" t="s">
        <v>146</v>
      </c>
      <c r="E278" s="2" t="s">
        <v>11</v>
      </c>
      <c r="F278" s="15" t="str">
        <f>"9100"</f>
        <v>9100</v>
      </c>
      <c r="G278" s="2">
        <v>70.378</v>
      </c>
      <c r="H278" s="2" t="s">
        <v>12</v>
      </c>
      <c r="I278" s="2" t="s">
        <v>88</v>
      </c>
      <c r="J278" s="2" t="s">
        <v>134</v>
      </c>
      <c r="K278" s="3">
        <v>43122.435416666667</v>
      </c>
      <c r="L278" s="4">
        <v>43122</v>
      </c>
      <c r="M278" s="8">
        <v>43122</v>
      </c>
      <c r="N278" s="13"/>
    </row>
    <row r="279" spans="1:14" x14ac:dyDescent="0.15">
      <c r="A279" s="5">
        <v>1800037100000000</v>
      </c>
      <c r="B279" s="2" t="s">
        <v>119</v>
      </c>
      <c r="C279" s="2" t="s">
        <v>120</v>
      </c>
      <c r="D279" s="2" t="s">
        <v>140</v>
      </c>
      <c r="E279" s="2" t="s">
        <v>11</v>
      </c>
      <c r="F279" s="15" t="str">
        <f>"7700"</f>
        <v>7700</v>
      </c>
      <c r="G279" s="2">
        <v>70.378</v>
      </c>
      <c r="H279" s="2" t="s">
        <v>12</v>
      </c>
      <c r="I279" s="2" t="s">
        <v>88</v>
      </c>
      <c r="J279" s="2" t="s">
        <v>134</v>
      </c>
      <c r="K279" s="3">
        <v>43122.435416666667</v>
      </c>
      <c r="L279" s="4">
        <v>43122</v>
      </c>
      <c r="M279" s="8">
        <v>43122</v>
      </c>
      <c r="N279" s="13"/>
    </row>
    <row r="280" spans="1:14" x14ac:dyDescent="0.15">
      <c r="A280" s="5">
        <v>1800037200000000</v>
      </c>
      <c r="B280" s="2" t="s">
        <v>119</v>
      </c>
      <c r="C280" s="2" t="s">
        <v>120</v>
      </c>
      <c r="D280" s="2" t="s">
        <v>139</v>
      </c>
      <c r="E280" s="2" t="s">
        <v>11</v>
      </c>
      <c r="F280" s="15" t="str">
        <f>"8800"</f>
        <v>8800</v>
      </c>
      <c r="G280" s="2">
        <v>70.378</v>
      </c>
      <c r="H280" s="2" t="s">
        <v>12</v>
      </c>
      <c r="I280" s="2" t="s">
        <v>88</v>
      </c>
      <c r="J280" s="2" t="s">
        <v>134</v>
      </c>
      <c r="K280" s="3">
        <v>43122.435416666667</v>
      </c>
      <c r="L280" s="4">
        <v>43122</v>
      </c>
      <c r="M280" s="8">
        <v>43122</v>
      </c>
      <c r="N280" s="13"/>
    </row>
    <row r="281" spans="1:14" x14ac:dyDescent="0.15">
      <c r="A281" s="5">
        <v>1800039500000000</v>
      </c>
      <c r="B281" s="2" t="s">
        <v>103</v>
      </c>
      <c r="C281" s="2" t="s">
        <v>104</v>
      </c>
      <c r="D281" s="2" t="s">
        <v>141</v>
      </c>
      <c r="E281" s="2" t="s">
        <v>47</v>
      </c>
      <c r="F281" s="15" t="str">
        <f>"2000"</f>
        <v>2000</v>
      </c>
      <c r="G281" s="2">
        <v>76.728999999999999</v>
      </c>
      <c r="H281" s="2" t="s">
        <v>12</v>
      </c>
      <c r="I281" s="2" t="s">
        <v>88</v>
      </c>
      <c r="J281" s="2" t="s">
        <v>61</v>
      </c>
      <c r="K281" s="3">
        <v>43122.593055555553</v>
      </c>
      <c r="L281" s="4">
        <v>43122</v>
      </c>
      <c r="M281" s="8">
        <v>43122</v>
      </c>
      <c r="N281" s="13"/>
    </row>
    <row r="282" spans="1:14" x14ac:dyDescent="0.15">
      <c r="A282" s="5">
        <v>1800039700000000</v>
      </c>
      <c r="B282" s="2" t="s">
        <v>111</v>
      </c>
      <c r="C282" s="2" t="s">
        <v>112</v>
      </c>
      <c r="D282" s="2" t="s">
        <v>141</v>
      </c>
      <c r="E282" s="2" t="s">
        <v>47</v>
      </c>
      <c r="F282" s="15" t="str">
        <f>"800"</f>
        <v>800</v>
      </c>
      <c r="G282" s="2">
        <v>58.238999999999997</v>
      </c>
      <c r="H282" s="2" t="s">
        <v>12</v>
      </c>
      <c r="I282" s="2" t="s">
        <v>88</v>
      </c>
      <c r="J282" s="2" t="s">
        <v>84</v>
      </c>
      <c r="K282" s="3">
        <v>43122.593055555553</v>
      </c>
      <c r="L282" s="4">
        <v>43122</v>
      </c>
      <c r="M282" s="8">
        <v>43122</v>
      </c>
      <c r="N282" s="13"/>
    </row>
    <row r="283" spans="1:14" x14ac:dyDescent="0.15">
      <c r="A283" s="5">
        <v>1800039800000000</v>
      </c>
      <c r="B283" s="2" t="s">
        <v>119</v>
      </c>
      <c r="C283" s="2" t="s">
        <v>120</v>
      </c>
      <c r="D283" s="2" t="s">
        <v>141</v>
      </c>
      <c r="E283" s="2" t="s">
        <v>11</v>
      </c>
      <c r="F283" s="15" t="str">
        <f>"2000"</f>
        <v>2000</v>
      </c>
      <c r="G283" s="2">
        <v>70.378</v>
      </c>
      <c r="H283" s="2" t="s">
        <v>12</v>
      </c>
      <c r="I283" s="2" t="s">
        <v>88</v>
      </c>
      <c r="J283" s="2" t="s">
        <v>134</v>
      </c>
      <c r="K283" s="3">
        <v>43122.593055555553</v>
      </c>
      <c r="L283" s="4">
        <v>43122</v>
      </c>
      <c r="M283" s="8">
        <v>43122</v>
      </c>
      <c r="N283" s="13"/>
    </row>
    <row r="284" spans="1:14" x14ac:dyDescent="0.15">
      <c r="A284" s="5">
        <v>1800041100000000</v>
      </c>
      <c r="B284" s="2" t="s">
        <v>99</v>
      </c>
      <c r="C284" s="2" t="s">
        <v>100</v>
      </c>
      <c r="D284" s="2" t="s">
        <v>140</v>
      </c>
      <c r="E284" s="2" t="s">
        <v>47</v>
      </c>
      <c r="F284" s="15" t="str">
        <f>"5300"</f>
        <v>5300</v>
      </c>
      <c r="G284" s="2">
        <v>19.285</v>
      </c>
      <c r="H284" s="2" t="s">
        <v>12</v>
      </c>
      <c r="I284" s="2" t="s">
        <v>88</v>
      </c>
      <c r="J284" s="2" t="s">
        <v>130</v>
      </c>
      <c r="K284" s="3">
        <v>43123.384027777778</v>
      </c>
      <c r="L284" s="4">
        <v>43123</v>
      </c>
      <c r="M284" s="8">
        <v>43123</v>
      </c>
      <c r="N284" s="13"/>
    </row>
    <row r="285" spans="1:14" x14ac:dyDescent="0.15">
      <c r="A285" s="5">
        <v>1800041200000000</v>
      </c>
      <c r="B285" s="2" t="s">
        <v>99</v>
      </c>
      <c r="C285" s="2" t="s">
        <v>100</v>
      </c>
      <c r="D285" s="2" t="s">
        <v>141</v>
      </c>
      <c r="E285" s="2" t="s">
        <v>47</v>
      </c>
      <c r="F285" s="15" t="str">
        <f>"10000"</f>
        <v>10000</v>
      </c>
      <c r="G285" s="2">
        <v>19.285</v>
      </c>
      <c r="H285" s="2" t="s">
        <v>12</v>
      </c>
      <c r="I285" s="2" t="s">
        <v>88</v>
      </c>
      <c r="J285" s="2" t="s">
        <v>130</v>
      </c>
      <c r="K285" s="3">
        <v>43123.384027777778</v>
      </c>
      <c r="L285" s="4">
        <v>43123</v>
      </c>
      <c r="M285" s="8">
        <v>43123</v>
      </c>
      <c r="N285" s="13"/>
    </row>
    <row r="286" spans="1:14" x14ac:dyDescent="0.15">
      <c r="A286" s="5">
        <v>1800041300000000</v>
      </c>
      <c r="B286" s="2" t="s">
        <v>113</v>
      </c>
      <c r="C286" s="2" t="s">
        <v>114</v>
      </c>
      <c r="D286" s="2" t="s">
        <v>141</v>
      </c>
      <c r="E286" s="2" t="s">
        <v>47</v>
      </c>
      <c r="F286" s="15" t="str">
        <f>"1000"</f>
        <v>1000</v>
      </c>
      <c r="G286" s="2">
        <v>91.596999999999994</v>
      </c>
      <c r="H286" s="2" t="s">
        <v>12</v>
      </c>
      <c r="I286" s="2" t="s">
        <v>88</v>
      </c>
      <c r="J286" s="2" t="s">
        <v>130</v>
      </c>
      <c r="K286" s="3">
        <v>43123.425694444442</v>
      </c>
      <c r="L286" s="4">
        <v>43123</v>
      </c>
      <c r="M286" s="8">
        <v>43123</v>
      </c>
      <c r="N286" s="13"/>
    </row>
    <row r="287" spans="1:14" x14ac:dyDescent="0.15">
      <c r="A287" s="5">
        <v>1800041500000000</v>
      </c>
      <c r="B287" s="2" t="s">
        <v>132</v>
      </c>
      <c r="C287" s="2" t="s">
        <v>133</v>
      </c>
      <c r="D287" s="2" t="s">
        <v>141</v>
      </c>
      <c r="E287" s="2" t="s">
        <v>47</v>
      </c>
      <c r="F287" s="15" t="str">
        <f>"1000"</f>
        <v>1000</v>
      </c>
      <c r="G287" s="2">
        <v>107.65</v>
      </c>
      <c r="H287" s="2" t="s">
        <v>12</v>
      </c>
      <c r="I287" s="2" t="s">
        <v>88</v>
      </c>
      <c r="J287" s="2" t="s">
        <v>46</v>
      </c>
      <c r="K287" s="3">
        <v>43123.603472222225</v>
      </c>
      <c r="L287" s="4">
        <v>43123</v>
      </c>
      <c r="M287" s="8">
        <v>43123</v>
      </c>
      <c r="N287" s="13"/>
    </row>
    <row r="288" spans="1:14" x14ac:dyDescent="0.15">
      <c r="A288" s="5">
        <v>1800043400000000</v>
      </c>
      <c r="B288" s="2" t="s">
        <v>95</v>
      </c>
      <c r="C288" s="2" t="s">
        <v>96</v>
      </c>
      <c r="D288" s="2" t="s">
        <v>141</v>
      </c>
      <c r="E288" s="2" t="s">
        <v>47</v>
      </c>
      <c r="F288" s="15" t="str">
        <f>"1000"</f>
        <v>1000</v>
      </c>
      <c r="G288" s="2">
        <v>67.322000000000003</v>
      </c>
      <c r="H288" s="2" t="s">
        <v>12</v>
      </c>
      <c r="I288" s="2" t="s">
        <v>88</v>
      </c>
      <c r="J288" s="2" t="s">
        <v>125</v>
      </c>
      <c r="K288" s="3">
        <v>43125.475694444445</v>
      </c>
      <c r="L288" s="4">
        <v>43125</v>
      </c>
      <c r="M288" s="8">
        <v>43125</v>
      </c>
      <c r="N288" s="13"/>
    </row>
    <row r="289" spans="1:14" x14ac:dyDescent="0.15">
      <c r="A289" s="5">
        <v>1800043500000000</v>
      </c>
      <c r="B289" s="2" t="s">
        <v>119</v>
      </c>
      <c r="C289" s="2" t="s">
        <v>120</v>
      </c>
      <c r="D289" s="2" t="s">
        <v>141</v>
      </c>
      <c r="E289" s="2" t="s">
        <v>47</v>
      </c>
      <c r="F289" s="15" t="str">
        <f>"1000"</f>
        <v>1000</v>
      </c>
      <c r="G289" s="2">
        <v>72.909000000000006</v>
      </c>
      <c r="H289" s="2" t="s">
        <v>12</v>
      </c>
      <c r="I289" s="2" t="s">
        <v>88</v>
      </c>
      <c r="J289" s="2" t="s">
        <v>131</v>
      </c>
      <c r="K289" s="3">
        <v>43125.475694444445</v>
      </c>
      <c r="L289" s="4">
        <v>43125</v>
      </c>
      <c r="M289" s="8">
        <v>43125</v>
      </c>
      <c r="N289" s="13"/>
    </row>
    <row r="290" spans="1:14" x14ac:dyDescent="0.15">
      <c r="A290" s="5">
        <v>1800043800000000</v>
      </c>
      <c r="B290" s="2" t="s">
        <v>128</v>
      </c>
      <c r="C290" s="2" t="s">
        <v>129</v>
      </c>
      <c r="D290" s="2" t="s">
        <v>141</v>
      </c>
      <c r="E290" s="2" t="s">
        <v>11</v>
      </c>
      <c r="F290" s="15" t="str">
        <f>"8000"</f>
        <v>8000</v>
      </c>
      <c r="G290" s="2">
        <v>12.16</v>
      </c>
      <c r="H290" s="2" t="s">
        <v>12</v>
      </c>
      <c r="I290" s="2" t="s">
        <v>88</v>
      </c>
      <c r="J290" s="2" t="s">
        <v>50</v>
      </c>
      <c r="K290" s="3">
        <v>43125.728472222225</v>
      </c>
      <c r="L290" s="4">
        <v>43125</v>
      </c>
      <c r="M290" s="8">
        <v>43125</v>
      </c>
      <c r="N290" s="13"/>
    </row>
    <row r="291" spans="1:14" x14ac:dyDescent="0.15">
      <c r="A291" s="5">
        <v>1800044000000000</v>
      </c>
      <c r="B291" s="2" t="s">
        <v>95</v>
      </c>
      <c r="C291" s="2" t="s">
        <v>96</v>
      </c>
      <c r="D291" s="2" t="s">
        <v>141</v>
      </c>
      <c r="E291" s="2" t="s">
        <v>47</v>
      </c>
      <c r="F291" s="15" t="str">
        <f>"1000"</f>
        <v>1000</v>
      </c>
      <c r="G291" s="2">
        <v>68.099999999999994</v>
      </c>
      <c r="H291" s="2" t="s">
        <v>12</v>
      </c>
      <c r="I291" s="2" t="s">
        <v>88</v>
      </c>
      <c r="J291" s="2" t="s">
        <v>46</v>
      </c>
      <c r="K291" s="3">
        <v>43126.44027777778</v>
      </c>
      <c r="L291" s="4">
        <v>43126</v>
      </c>
      <c r="M291" s="8">
        <v>43126</v>
      </c>
      <c r="N291" s="13"/>
    </row>
    <row r="292" spans="1:14" x14ac:dyDescent="0.15">
      <c r="A292" s="5">
        <v>1800044100000000</v>
      </c>
      <c r="B292" s="2" t="s">
        <v>119</v>
      </c>
      <c r="C292" s="2" t="s">
        <v>120</v>
      </c>
      <c r="D292" s="2" t="s">
        <v>141</v>
      </c>
      <c r="E292" s="2" t="s">
        <v>47</v>
      </c>
      <c r="F292" s="15" t="str">
        <f>"1000"</f>
        <v>1000</v>
      </c>
      <c r="G292" s="2">
        <v>72.977999999999994</v>
      </c>
      <c r="H292" s="2" t="s">
        <v>12</v>
      </c>
      <c r="I292" s="2" t="s">
        <v>88</v>
      </c>
      <c r="J292" s="2" t="s">
        <v>46</v>
      </c>
      <c r="K292" s="3">
        <v>43126.44027777778</v>
      </c>
      <c r="L292" s="4">
        <v>43126</v>
      </c>
      <c r="M292" s="8">
        <v>43126</v>
      </c>
      <c r="N292" s="13"/>
    </row>
    <row r="293" spans="1:14" x14ac:dyDescent="0.15">
      <c r="A293" s="5">
        <v>1800044700000000</v>
      </c>
      <c r="B293" s="2" t="s">
        <v>103</v>
      </c>
      <c r="C293" s="2" t="s">
        <v>104</v>
      </c>
      <c r="D293" s="2" t="s">
        <v>141</v>
      </c>
      <c r="E293" s="2" t="s">
        <v>47</v>
      </c>
      <c r="F293" s="15" t="str">
        <f>"1000"</f>
        <v>1000</v>
      </c>
      <c r="G293" s="2">
        <v>77.69</v>
      </c>
      <c r="H293" s="2" t="s">
        <v>12</v>
      </c>
      <c r="I293" s="2" t="s">
        <v>88</v>
      </c>
      <c r="J293" s="2" t="s">
        <v>14</v>
      </c>
      <c r="K293" s="3">
        <v>43126.636805555558</v>
      </c>
      <c r="L293" s="4">
        <v>43126</v>
      </c>
      <c r="M293" s="8">
        <v>43126</v>
      </c>
      <c r="N293" s="13"/>
    </row>
    <row r="294" spans="1:14" x14ac:dyDescent="0.15">
      <c r="A294" s="5">
        <v>1800044800000000</v>
      </c>
      <c r="B294" s="2" t="s">
        <v>121</v>
      </c>
      <c r="C294" s="2" t="s">
        <v>122</v>
      </c>
      <c r="D294" s="2" t="s">
        <v>141</v>
      </c>
      <c r="E294" s="2" t="s">
        <v>47</v>
      </c>
      <c r="F294" s="15" t="str">
        <f>"1000"</f>
        <v>1000</v>
      </c>
      <c r="G294" s="2">
        <v>75.382999999999996</v>
      </c>
      <c r="H294" s="2" t="s">
        <v>12</v>
      </c>
      <c r="I294" s="2" t="s">
        <v>88</v>
      </c>
      <c r="J294" s="2" t="s">
        <v>134</v>
      </c>
      <c r="K294" s="3">
        <v>43126.636805555558</v>
      </c>
      <c r="L294" s="4">
        <v>43126</v>
      </c>
      <c r="M294" s="8">
        <v>43126</v>
      </c>
      <c r="N294" s="13"/>
    </row>
    <row r="295" spans="1:14" x14ac:dyDescent="0.15">
      <c r="A295" s="5">
        <v>1800045100000000</v>
      </c>
      <c r="B295" s="2" t="s">
        <v>111</v>
      </c>
      <c r="C295" s="2" t="s">
        <v>112</v>
      </c>
      <c r="D295" s="2" t="s">
        <v>141</v>
      </c>
      <c r="E295" s="2" t="s">
        <v>11</v>
      </c>
      <c r="F295" s="15" t="str">
        <f>"1500"</f>
        <v>1500</v>
      </c>
      <c r="G295" s="2">
        <v>55.88</v>
      </c>
      <c r="H295" s="2" t="s">
        <v>12</v>
      </c>
      <c r="I295" s="2" t="s">
        <v>88</v>
      </c>
      <c r="J295" s="2" t="s">
        <v>50</v>
      </c>
      <c r="K295" s="3">
        <v>43126.727777777778</v>
      </c>
      <c r="L295" s="4">
        <v>43126</v>
      </c>
      <c r="M295" s="8">
        <v>43126</v>
      </c>
      <c r="N295" s="13"/>
    </row>
    <row r="296" spans="1:14" x14ac:dyDescent="0.15">
      <c r="A296" s="5">
        <v>1800045500000000</v>
      </c>
      <c r="B296" s="2" t="s">
        <v>89</v>
      </c>
      <c r="C296" s="2" t="s">
        <v>90</v>
      </c>
      <c r="D296" s="2" t="s">
        <v>141</v>
      </c>
      <c r="E296" s="2" t="s">
        <v>11</v>
      </c>
      <c r="F296" s="15" t="str">
        <f>"3000"</f>
        <v>3000</v>
      </c>
      <c r="G296" s="2">
        <v>35.31</v>
      </c>
      <c r="H296" s="2" t="s">
        <v>12</v>
      </c>
      <c r="I296" s="2" t="s">
        <v>88</v>
      </c>
      <c r="J296" s="2" t="s">
        <v>84</v>
      </c>
      <c r="K296" s="3">
        <v>43129.706944444442</v>
      </c>
      <c r="L296" s="4">
        <v>43129</v>
      </c>
      <c r="M296" s="8">
        <v>43129</v>
      </c>
      <c r="N296" s="13"/>
    </row>
    <row r="297" spans="1:14" x14ac:dyDescent="0.15">
      <c r="A297" s="5">
        <v>1800047200000000</v>
      </c>
      <c r="B297" s="2" t="s">
        <v>89</v>
      </c>
      <c r="C297" s="2" t="s">
        <v>90</v>
      </c>
      <c r="D297" s="2" t="s">
        <v>140</v>
      </c>
      <c r="E297" s="2" t="s">
        <v>11</v>
      </c>
      <c r="F297" s="15" t="str">
        <f>"1000"</f>
        <v>1000</v>
      </c>
      <c r="G297" s="2">
        <v>35.35</v>
      </c>
      <c r="H297" s="2" t="s">
        <v>12</v>
      </c>
      <c r="I297" s="2" t="s">
        <v>88</v>
      </c>
      <c r="J297" s="2" t="s">
        <v>46</v>
      </c>
      <c r="K297" s="3">
        <v>43131.702777777777</v>
      </c>
      <c r="L297" s="4">
        <v>43131</v>
      </c>
      <c r="M297" s="8">
        <v>43131</v>
      </c>
      <c r="N297" s="13"/>
    </row>
    <row r="298" spans="1:14" x14ac:dyDescent="0.15">
      <c r="A298" s="5">
        <v>1800047400000000</v>
      </c>
      <c r="B298" s="2" t="s">
        <v>115</v>
      </c>
      <c r="C298" s="2" t="s">
        <v>116</v>
      </c>
      <c r="D298" s="2" t="s">
        <v>140</v>
      </c>
      <c r="E298" s="2" t="s">
        <v>11</v>
      </c>
      <c r="F298" s="15" t="str">
        <f>"3000"</f>
        <v>3000</v>
      </c>
      <c r="G298" s="2">
        <v>14.52</v>
      </c>
      <c r="H298" s="2" t="s">
        <v>12</v>
      </c>
      <c r="I298" s="2" t="s">
        <v>88</v>
      </c>
      <c r="J298" s="2" t="s">
        <v>46</v>
      </c>
      <c r="K298" s="3">
        <v>43131.702777777777</v>
      </c>
      <c r="L298" s="4">
        <v>43131</v>
      </c>
      <c r="M298" s="8">
        <v>43131</v>
      </c>
      <c r="N298" s="13"/>
    </row>
    <row r="299" spans="1:14" x14ac:dyDescent="0.15">
      <c r="A299" s="5">
        <v>1800047500000000</v>
      </c>
      <c r="B299" s="2" t="s">
        <v>117</v>
      </c>
      <c r="C299" s="2" t="s">
        <v>118</v>
      </c>
      <c r="D299" s="2" t="s">
        <v>140</v>
      </c>
      <c r="E299" s="2" t="s">
        <v>11</v>
      </c>
      <c r="F299" s="15" t="str">
        <f>"1000"</f>
        <v>1000</v>
      </c>
      <c r="G299" s="2">
        <v>46.814999999999998</v>
      </c>
      <c r="H299" s="2" t="s">
        <v>12</v>
      </c>
      <c r="I299" s="2" t="s">
        <v>88</v>
      </c>
      <c r="J299" s="2" t="s">
        <v>46</v>
      </c>
      <c r="K299" s="3">
        <v>43131.702777777777</v>
      </c>
      <c r="L299" s="4">
        <v>43131</v>
      </c>
      <c r="M299" s="8">
        <v>43131</v>
      </c>
      <c r="N299" s="13"/>
    </row>
    <row r="300" spans="1:14" x14ac:dyDescent="0.15">
      <c r="A300" s="5">
        <v>1800048200000000</v>
      </c>
      <c r="B300" s="2" t="s">
        <v>128</v>
      </c>
      <c r="C300" s="2" t="s">
        <v>129</v>
      </c>
      <c r="D300" s="2" t="s">
        <v>141</v>
      </c>
      <c r="E300" s="2" t="s">
        <v>47</v>
      </c>
      <c r="F300" s="15" t="str">
        <f>"10000"</f>
        <v>10000</v>
      </c>
      <c r="G300" s="2">
        <v>12.667999999999999</v>
      </c>
      <c r="H300" s="2" t="s">
        <v>12</v>
      </c>
      <c r="I300" s="2" t="s">
        <v>88</v>
      </c>
      <c r="J300" s="2" t="s">
        <v>84</v>
      </c>
      <c r="K300" s="3">
        <v>43132.387499999997</v>
      </c>
      <c r="L300" s="4">
        <v>43132</v>
      </c>
      <c r="M300" s="8">
        <v>43132</v>
      </c>
      <c r="N300" s="13"/>
    </row>
    <row r="301" spans="1:14" x14ac:dyDescent="0.15">
      <c r="A301" s="5">
        <v>1800049100000000</v>
      </c>
      <c r="B301" s="2" t="s">
        <v>86</v>
      </c>
      <c r="C301" s="2" t="s">
        <v>87</v>
      </c>
      <c r="D301" s="2" t="s">
        <v>140</v>
      </c>
      <c r="E301" s="2" t="s">
        <v>11</v>
      </c>
      <c r="F301" s="15" t="str">
        <f>"2400"</f>
        <v>2400</v>
      </c>
      <c r="G301" s="2">
        <v>106.95</v>
      </c>
      <c r="H301" s="2" t="s">
        <v>12</v>
      </c>
      <c r="I301" s="2" t="s">
        <v>88</v>
      </c>
      <c r="J301" s="2" t="s">
        <v>50</v>
      </c>
      <c r="K301" s="3">
        <v>43132.650694444441</v>
      </c>
      <c r="L301" s="4">
        <v>43132</v>
      </c>
      <c r="M301" s="8">
        <v>43132</v>
      </c>
      <c r="N301" s="13"/>
    </row>
    <row r="302" spans="1:14" x14ac:dyDescent="0.15">
      <c r="A302" s="5">
        <v>1800049300000000</v>
      </c>
      <c r="B302" s="2" t="s">
        <v>89</v>
      </c>
      <c r="C302" s="2" t="s">
        <v>90</v>
      </c>
      <c r="D302" s="2" t="s">
        <v>140</v>
      </c>
      <c r="E302" s="2" t="s">
        <v>11</v>
      </c>
      <c r="F302" s="15" t="str">
        <f>"5500"</f>
        <v>5500</v>
      </c>
      <c r="G302" s="2">
        <v>35.03</v>
      </c>
      <c r="H302" s="2" t="s">
        <v>12</v>
      </c>
      <c r="I302" s="2" t="s">
        <v>88</v>
      </c>
      <c r="J302" s="2" t="s">
        <v>50</v>
      </c>
      <c r="K302" s="3">
        <v>43132.650694444441</v>
      </c>
      <c r="L302" s="4">
        <v>43132</v>
      </c>
      <c r="M302" s="8">
        <v>43132</v>
      </c>
      <c r="N302" s="13"/>
    </row>
    <row r="303" spans="1:14" x14ac:dyDescent="0.15">
      <c r="A303" s="5">
        <v>1800049400000000</v>
      </c>
      <c r="B303" s="2" t="s">
        <v>91</v>
      </c>
      <c r="C303" s="2" t="s">
        <v>92</v>
      </c>
      <c r="D303" s="2" t="s">
        <v>140</v>
      </c>
      <c r="E303" s="2" t="s">
        <v>11</v>
      </c>
      <c r="F303" s="15" t="str">
        <f>"2300"</f>
        <v>2300</v>
      </c>
      <c r="G303" s="2">
        <v>76.36</v>
      </c>
      <c r="H303" s="2" t="s">
        <v>12</v>
      </c>
      <c r="I303" s="2" t="s">
        <v>88</v>
      </c>
      <c r="J303" s="2" t="s">
        <v>50</v>
      </c>
      <c r="K303" s="3">
        <v>43132.650694444441</v>
      </c>
      <c r="L303" s="4">
        <v>43132</v>
      </c>
      <c r="M303" s="8">
        <v>43132</v>
      </c>
      <c r="N303" s="13"/>
    </row>
    <row r="304" spans="1:14" x14ac:dyDescent="0.15">
      <c r="A304" s="5">
        <v>1800049600000000</v>
      </c>
      <c r="B304" s="2" t="s">
        <v>93</v>
      </c>
      <c r="C304" s="2" t="s">
        <v>94</v>
      </c>
      <c r="D304" s="2" t="s">
        <v>140</v>
      </c>
      <c r="E304" s="2" t="s">
        <v>11</v>
      </c>
      <c r="F304" s="15" t="str">
        <f>"8600"</f>
        <v>8600</v>
      </c>
      <c r="G304" s="2">
        <v>26.42</v>
      </c>
      <c r="H304" s="2" t="s">
        <v>12</v>
      </c>
      <c r="I304" s="2" t="s">
        <v>88</v>
      </c>
      <c r="J304" s="2" t="s">
        <v>50</v>
      </c>
      <c r="K304" s="3">
        <v>43132.650694444441</v>
      </c>
      <c r="L304" s="4">
        <v>43132</v>
      </c>
      <c r="M304" s="8">
        <v>43132</v>
      </c>
      <c r="N304" s="13"/>
    </row>
    <row r="305" spans="1:14" x14ac:dyDescent="0.15">
      <c r="A305" s="5">
        <v>1800049700000000</v>
      </c>
      <c r="B305" s="2" t="s">
        <v>95</v>
      </c>
      <c r="C305" s="2" t="s">
        <v>96</v>
      </c>
      <c r="D305" s="2" t="s">
        <v>140</v>
      </c>
      <c r="E305" s="2" t="s">
        <v>11</v>
      </c>
      <c r="F305" s="15" t="str">
        <f>"4000"</f>
        <v>4000</v>
      </c>
      <c r="G305" s="2">
        <v>66.63</v>
      </c>
      <c r="H305" s="2" t="s">
        <v>12</v>
      </c>
      <c r="I305" s="2" t="s">
        <v>88</v>
      </c>
      <c r="J305" s="2" t="s">
        <v>50</v>
      </c>
      <c r="K305" s="3">
        <v>43132.650694444441</v>
      </c>
      <c r="L305" s="4">
        <v>43132</v>
      </c>
      <c r="M305" s="8">
        <v>43132</v>
      </c>
      <c r="N305" s="13"/>
    </row>
    <row r="306" spans="1:14" x14ac:dyDescent="0.15">
      <c r="A306" s="5">
        <v>1800049800000000</v>
      </c>
      <c r="B306" s="2" t="s">
        <v>97</v>
      </c>
      <c r="C306" s="2" t="s">
        <v>98</v>
      </c>
      <c r="D306" s="2" t="s">
        <v>140</v>
      </c>
      <c r="E306" s="2" t="s">
        <v>11</v>
      </c>
      <c r="F306" s="15" t="str">
        <f>"4900"</f>
        <v>4900</v>
      </c>
      <c r="G306" s="2">
        <v>23.5</v>
      </c>
      <c r="H306" s="2" t="s">
        <v>12</v>
      </c>
      <c r="I306" s="2" t="s">
        <v>88</v>
      </c>
      <c r="J306" s="2" t="s">
        <v>50</v>
      </c>
      <c r="K306" s="3">
        <v>43132.650694444441</v>
      </c>
      <c r="L306" s="4">
        <v>43132</v>
      </c>
      <c r="M306" s="8">
        <v>43132</v>
      </c>
      <c r="N306" s="13"/>
    </row>
    <row r="307" spans="1:14" x14ac:dyDescent="0.15">
      <c r="A307" s="5">
        <v>1800049900000000</v>
      </c>
      <c r="B307" s="2" t="s">
        <v>99</v>
      </c>
      <c r="C307" s="2" t="s">
        <v>100</v>
      </c>
      <c r="D307" s="2" t="s">
        <v>140</v>
      </c>
      <c r="E307" s="2" t="s">
        <v>11</v>
      </c>
      <c r="F307" s="15" t="str">
        <f>"8700"</f>
        <v>8700</v>
      </c>
      <c r="G307" s="2">
        <v>19.085000000000001</v>
      </c>
      <c r="H307" s="2" t="s">
        <v>12</v>
      </c>
      <c r="I307" s="2" t="s">
        <v>88</v>
      </c>
      <c r="J307" s="2" t="s">
        <v>50</v>
      </c>
      <c r="K307" s="3">
        <v>43132.650694444441</v>
      </c>
      <c r="L307" s="4">
        <v>43132</v>
      </c>
      <c r="M307" s="8">
        <v>43132</v>
      </c>
      <c r="N307" s="13"/>
    </row>
    <row r="308" spans="1:14" x14ac:dyDescent="0.15">
      <c r="A308" s="5">
        <v>1800050400000000</v>
      </c>
      <c r="B308" s="2" t="s">
        <v>105</v>
      </c>
      <c r="C308" s="2" t="s">
        <v>106</v>
      </c>
      <c r="D308" s="2" t="s">
        <v>140</v>
      </c>
      <c r="E308" s="2" t="s">
        <v>11</v>
      </c>
      <c r="F308" s="15" t="str">
        <f>"1900"</f>
        <v>1900</v>
      </c>
      <c r="G308" s="2">
        <v>66.42</v>
      </c>
      <c r="H308" s="2" t="s">
        <v>12</v>
      </c>
      <c r="I308" s="2" t="s">
        <v>88</v>
      </c>
      <c r="J308" s="2" t="s">
        <v>50</v>
      </c>
      <c r="K308" s="3">
        <v>43132.650694444441</v>
      </c>
      <c r="L308" s="4">
        <v>43132</v>
      </c>
      <c r="M308" s="8">
        <v>43132</v>
      </c>
      <c r="N308" s="13"/>
    </row>
    <row r="309" spans="1:14" x14ac:dyDescent="0.15">
      <c r="A309" s="5">
        <v>1800050700000000</v>
      </c>
      <c r="B309" s="2" t="s">
        <v>107</v>
      </c>
      <c r="C309" s="2" t="s">
        <v>108</v>
      </c>
      <c r="D309" s="2" t="s">
        <v>140</v>
      </c>
      <c r="E309" s="2" t="s">
        <v>11</v>
      </c>
      <c r="F309" s="15" t="str">
        <f>"1000"</f>
        <v>1000</v>
      </c>
      <c r="G309" s="2">
        <v>181.3</v>
      </c>
      <c r="H309" s="2" t="s">
        <v>12</v>
      </c>
      <c r="I309" s="2" t="s">
        <v>88</v>
      </c>
      <c r="J309" s="2" t="s">
        <v>50</v>
      </c>
      <c r="K309" s="3">
        <v>43132.650694444441</v>
      </c>
      <c r="L309" s="4">
        <v>43132</v>
      </c>
      <c r="M309" s="8">
        <v>43132</v>
      </c>
      <c r="N309" s="13"/>
    </row>
    <row r="310" spans="1:14" x14ac:dyDescent="0.15">
      <c r="A310" s="5">
        <v>1800050800000000</v>
      </c>
      <c r="B310" s="2" t="s">
        <v>111</v>
      </c>
      <c r="C310" s="2" t="s">
        <v>112</v>
      </c>
      <c r="D310" s="2" t="s">
        <v>140</v>
      </c>
      <c r="E310" s="2" t="s">
        <v>11</v>
      </c>
      <c r="F310" s="15" t="str">
        <f>"3700"</f>
        <v>3700</v>
      </c>
      <c r="G310" s="2" t="str">
        <f>"56"</f>
        <v>56</v>
      </c>
      <c r="H310" s="2" t="s">
        <v>12</v>
      </c>
      <c r="I310" s="2" t="s">
        <v>88</v>
      </c>
      <c r="J310" s="2" t="s">
        <v>50</v>
      </c>
      <c r="K310" s="3">
        <v>43132.650694444441</v>
      </c>
      <c r="L310" s="4">
        <v>43132</v>
      </c>
      <c r="M310" s="8">
        <v>43132</v>
      </c>
      <c r="N310" s="13"/>
    </row>
    <row r="311" spans="1:14" x14ac:dyDescent="0.15">
      <c r="A311" s="5">
        <v>1800050900000000</v>
      </c>
      <c r="B311" s="2" t="s">
        <v>113</v>
      </c>
      <c r="C311" s="2" t="s">
        <v>114</v>
      </c>
      <c r="D311" s="2" t="s">
        <v>140</v>
      </c>
      <c r="E311" s="2" t="s">
        <v>11</v>
      </c>
      <c r="F311" s="15" t="str">
        <f>"1500"</f>
        <v>1500</v>
      </c>
      <c r="G311" s="2">
        <v>88.37</v>
      </c>
      <c r="H311" s="2" t="s">
        <v>12</v>
      </c>
      <c r="I311" s="2" t="s">
        <v>88</v>
      </c>
      <c r="J311" s="2" t="s">
        <v>50</v>
      </c>
      <c r="K311" s="3">
        <v>43132.650694444441</v>
      </c>
      <c r="L311" s="4">
        <v>43132</v>
      </c>
      <c r="M311" s="8">
        <v>43132</v>
      </c>
      <c r="N311" s="13"/>
    </row>
    <row r="312" spans="1:14" x14ac:dyDescent="0.15">
      <c r="A312" s="5">
        <v>1800051000000000</v>
      </c>
      <c r="B312" s="2" t="s">
        <v>115</v>
      </c>
      <c r="C312" s="2" t="s">
        <v>116</v>
      </c>
      <c r="D312" s="2" t="s">
        <v>140</v>
      </c>
      <c r="E312" s="2" t="s">
        <v>11</v>
      </c>
      <c r="F312" s="15" t="str">
        <f>"7900"</f>
        <v>7900</v>
      </c>
      <c r="G312" s="2">
        <v>14.565</v>
      </c>
      <c r="H312" s="2" t="s">
        <v>12</v>
      </c>
      <c r="I312" s="2" t="s">
        <v>88</v>
      </c>
      <c r="J312" s="2" t="s">
        <v>50</v>
      </c>
      <c r="K312" s="3">
        <v>43132.650694444441</v>
      </c>
      <c r="L312" s="4">
        <v>43132</v>
      </c>
      <c r="M312" s="8">
        <v>43132</v>
      </c>
      <c r="N312" s="13"/>
    </row>
    <row r="313" spans="1:14" x14ac:dyDescent="0.15">
      <c r="A313" s="5">
        <v>1800051100000000</v>
      </c>
      <c r="B313" s="2" t="s">
        <v>117</v>
      </c>
      <c r="C313" s="2" t="s">
        <v>118</v>
      </c>
      <c r="D313" s="2" t="s">
        <v>140</v>
      </c>
      <c r="E313" s="2" t="s">
        <v>11</v>
      </c>
      <c r="F313" s="15" t="str">
        <f>"4800"</f>
        <v>4800</v>
      </c>
      <c r="G313" s="2">
        <v>46.325000000000003</v>
      </c>
      <c r="H313" s="2" t="s">
        <v>12</v>
      </c>
      <c r="I313" s="2" t="s">
        <v>88</v>
      </c>
      <c r="J313" s="2" t="s">
        <v>50</v>
      </c>
      <c r="K313" s="3">
        <v>43132.650694444441</v>
      </c>
      <c r="L313" s="4">
        <v>43132</v>
      </c>
      <c r="M313" s="8">
        <v>43132</v>
      </c>
      <c r="N313" s="13"/>
    </row>
    <row r="314" spans="1:14" x14ac:dyDescent="0.15">
      <c r="A314" s="5">
        <v>1800051200000000</v>
      </c>
      <c r="B314" s="2" t="s">
        <v>119</v>
      </c>
      <c r="C314" s="2" t="s">
        <v>120</v>
      </c>
      <c r="D314" s="2" t="s">
        <v>140</v>
      </c>
      <c r="E314" s="2" t="s">
        <v>11</v>
      </c>
      <c r="F314" s="15" t="str">
        <f>"3900"</f>
        <v>3900</v>
      </c>
      <c r="G314" s="2">
        <v>70.36</v>
      </c>
      <c r="H314" s="2" t="s">
        <v>12</v>
      </c>
      <c r="I314" s="2" t="s">
        <v>88</v>
      </c>
      <c r="J314" s="2" t="s">
        <v>50</v>
      </c>
      <c r="K314" s="3">
        <v>43132.650694444441</v>
      </c>
      <c r="L314" s="4">
        <v>43132</v>
      </c>
      <c r="M314" s="8">
        <v>43132</v>
      </c>
      <c r="N314" s="13"/>
    </row>
    <row r="315" spans="1:14" x14ac:dyDescent="0.15">
      <c r="A315" s="5">
        <v>1800051300000000</v>
      </c>
      <c r="B315" s="2" t="s">
        <v>121</v>
      </c>
      <c r="C315" s="2" t="s">
        <v>122</v>
      </c>
      <c r="D315" s="2" t="s">
        <v>140</v>
      </c>
      <c r="E315" s="2" t="s">
        <v>11</v>
      </c>
      <c r="F315" s="15" t="str">
        <f>"2700"</f>
        <v>2700</v>
      </c>
      <c r="G315" s="2">
        <v>74.38</v>
      </c>
      <c r="H315" s="2" t="s">
        <v>12</v>
      </c>
      <c r="I315" s="2" t="s">
        <v>88</v>
      </c>
      <c r="J315" s="2" t="s">
        <v>50</v>
      </c>
      <c r="K315" s="3">
        <v>43132.650694444441</v>
      </c>
      <c r="L315" s="4">
        <v>43132</v>
      </c>
      <c r="M315" s="8">
        <v>43132</v>
      </c>
      <c r="N315" s="13"/>
    </row>
    <row r="316" spans="1:14" x14ac:dyDescent="0.15">
      <c r="A316" s="5">
        <v>1800051500000000</v>
      </c>
      <c r="B316" s="2" t="s">
        <v>123</v>
      </c>
      <c r="C316" s="2" t="s">
        <v>124</v>
      </c>
      <c r="D316" s="2" t="s">
        <v>140</v>
      </c>
      <c r="E316" s="2" t="s">
        <v>11</v>
      </c>
      <c r="F316" s="15" t="str">
        <f>"2600"</f>
        <v>2600</v>
      </c>
      <c r="G316" s="2">
        <v>62.35</v>
      </c>
      <c r="H316" s="2" t="s">
        <v>12</v>
      </c>
      <c r="I316" s="2" t="s">
        <v>88</v>
      </c>
      <c r="J316" s="2" t="s">
        <v>50</v>
      </c>
      <c r="K316" s="3">
        <v>43132.650694444441</v>
      </c>
      <c r="L316" s="4">
        <v>43132</v>
      </c>
      <c r="M316" s="8">
        <v>43132</v>
      </c>
      <c r="N316" s="13"/>
    </row>
    <row r="317" spans="1:14" x14ac:dyDescent="0.15">
      <c r="A317" s="5">
        <v>1800051900000000</v>
      </c>
      <c r="B317" s="2" t="s">
        <v>126</v>
      </c>
      <c r="C317" s="2" t="s">
        <v>127</v>
      </c>
      <c r="D317" s="2" t="s">
        <v>141</v>
      </c>
      <c r="E317" s="2" t="s">
        <v>47</v>
      </c>
      <c r="F317" s="15" t="str">
        <f>"500"</f>
        <v>500</v>
      </c>
      <c r="G317" s="2">
        <v>93.3</v>
      </c>
      <c r="H317" s="2" t="s">
        <v>12</v>
      </c>
      <c r="I317" s="2" t="s">
        <v>88</v>
      </c>
      <c r="J317" s="2" t="s">
        <v>125</v>
      </c>
      <c r="K317" s="3">
        <v>43132.724999999999</v>
      </c>
      <c r="L317" s="4">
        <v>43132</v>
      </c>
      <c r="M317" s="8">
        <v>43132</v>
      </c>
      <c r="N317" s="13"/>
    </row>
    <row r="318" spans="1:14" x14ac:dyDescent="0.15">
      <c r="A318" s="5">
        <v>1800052000000000</v>
      </c>
      <c r="B318" s="2" t="s">
        <v>103</v>
      </c>
      <c r="C318" s="2" t="s">
        <v>104</v>
      </c>
      <c r="D318" s="2" t="s">
        <v>141</v>
      </c>
      <c r="E318" s="2" t="s">
        <v>47</v>
      </c>
      <c r="F318" s="15" t="str">
        <f>"2000"</f>
        <v>2000</v>
      </c>
      <c r="G318" s="2">
        <v>77.760000000000005</v>
      </c>
      <c r="H318" s="2" t="s">
        <v>12</v>
      </c>
      <c r="I318" s="2" t="s">
        <v>88</v>
      </c>
      <c r="J318" s="2" t="s">
        <v>52</v>
      </c>
      <c r="K318" s="3">
        <v>43132.724999999999</v>
      </c>
      <c r="L318" s="4">
        <v>43132</v>
      </c>
      <c r="M318" s="8">
        <v>43132</v>
      </c>
      <c r="N318" s="13"/>
    </row>
    <row r="319" spans="1:14" x14ac:dyDescent="0.15">
      <c r="A319" s="5">
        <v>1800052300000000</v>
      </c>
      <c r="B319" s="2" t="s">
        <v>111</v>
      </c>
      <c r="C319" s="2" t="s">
        <v>112</v>
      </c>
      <c r="D319" s="2" t="s">
        <v>141</v>
      </c>
      <c r="E319" s="2" t="s">
        <v>47</v>
      </c>
      <c r="F319" s="15" t="str">
        <f>"500"</f>
        <v>500</v>
      </c>
      <c r="G319" s="2" t="str">
        <f>"56"</f>
        <v>56</v>
      </c>
      <c r="H319" s="2" t="s">
        <v>12</v>
      </c>
      <c r="I319" s="2" t="s">
        <v>88</v>
      </c>
      <c r="J319" s="2" t="s">
        <v>125</v>
      </c>
      <c r="K319" s="3">
        <v>43132.724999999999</v>
      </c>
      <c r="L319" s="4">
        <v>43132</v>
      </c>
      <c r="M319" s="8">
        <v>43132</v>
      </c>
      <c r="N319" s="13"/>
    </row>
    <row r="320" spans="1:14" x14ac:dyDescent="0.15">
      <c r="A320" s="5">
        <v>1800057400000000</v>
      </c>
      <c r="B320" s="2" t="s">
        <v>128</v>
      </c>
      <c r="C320" s="2" t="s">
        <v>129</v>
      </c>
      <c r="D320" s="2" t="s">
        <v>141</v>
      </c>
      <c r="E320" s="2" t="s">
        <v>11</v>
      </c>
      <c r="F320" s="15" t="str">
        <f>"7895"</f>
        <v>7895</v>
      </c>
      <c r="G320" s="2">
        <v>11.59</v>
      </c>
      <c r="H320" s="2" t="s">
        <v>12</v>
      </c>
      <c r="I320" s="2" t="s">
        <v>88</v>
      </c>
      <c r="J320" s="2" t="s">
        <v>85</v>
      </c>
      <c r="K320" s="3">
        <v>43137.595833333333</v>
      </c>
      <c r="L320" s="4">
        <v>43137</v>
      </c>
      <c r="M320" s="8">
        <v>43137</v>
      </c>
      <c r="N320" s="13"/>
    </row>
    <row r="321" spans="1:14" x14ac:dyDescent="0.15">
      <c r="A321" s="5">
        <v>1800058700000000</v>
      </c>
      <c r="B321" s="2" t="s">
        <v>128</v>
      </c>
      <c r="C321" s="2" t="s">
        <v>129</v>
      </c>
      <c r="D321" s="2" t="s">
        <v>141</v>
      </c>
      <c r="E321" s="2" t="s">
        <v>11</v>
      </c>
      <c r="F321" s="15" t="str">
        <f>"7105"</f>
        <v>7105</v>
      </c>
      <c r="G321" s="2">
        <v>11.641999999999999</v>
      </c>
      <c r="H321" s="2" t="s">
        <v>12</v>
      </c>
      <c r="I321" s="2" t="s">
        <v>88</v>
      </c>
      <c r="J321" s="2" t="s">
        <v>85</v>
      </c>
      <c r="K321" s="3">
        <v>43138.424305555556</v>
      </c>
      <c r="L321" s="4">
        <v>43138</v>
      </c>
      <c r="M321" s="8">
        <v>43138</v>
      </c>
      <c r="N321" s="13"/>
    </row>
    <row r="322" spans="1:14" x14ac:dyDescent="0.15">
      <c r="A322" s="5">
        <v>1800058800000000</v>
      </c>
      <c r="B322" s="2" t="s">
        <v>119</v>
      </c>
      <c r="C322" s="2" t="s">
        <v>120</v>
      </c>
      <c r="D322" s="2" t="s">
        <v>141</v>
      </c>
      <c r="E322" s="2" t="s">
        <v>11</v>
      </c>
      <c r="F322" s="15" t="str">
        <f>"2000"</f>
        <v>2000</v>
      </c>
      <c r="G322" s="2">
        <v>66.709999999999994</v>
      </c>
      <c r="H322" s="2" t="s">
        <v>12</v>
      </c>
      <c r="I322" s="2" t="s">
        <v>88</v>
      </c>
      <c r="J322" s="2" t="s">
        <v>50</v>
      </c>
      <c r="K322" s="3">
        <v>43138.724999999999</v>
      </c>
      <c r="L322" s="4">
        <v>43138</v>
      </c>
      <c r="M322" s="8">
        <v>43138</v>
      </c>
      <c r="N322" s="13"/>
    </row>
    <row r="323" spans="1:14" x14ac:dyDescent="0.15">
      <c r="A323" s="18">
        <v>1800058900000000</v>
      </c>
      <c r="B323" s="19" t="s">
        <v>128</v>
      </c>
      <c r="C323" s="19" t="s">
        <v>129</v>
      </c>
      <c r="D323" s="19" t="s">
        <v>141</v>
      </c>
      <c r="E323" s="19" t="s">
        <v>11</v>
      </c>
      <c r="F323" s="20" t="str">
        <f>"20000"</f>
        <v>20000</v>
      </c>
      <c r="G323" s="19">
        <v>11.032999999999999</v>
      </c>
      <c r="H323" s="19" t="s">
        <v>12</v>
      </c>
      <c r="I323" s="19" t="s">
        <v>88</v>
      </c>
      <c r="J323" s="19" t="s">
        <v>85</v>
      </c>
      <c r="K323" s="21">
        <v>43139.388888888891</v>
      </c>
      <c r="L323" s="29">
        <v>43139</v>
      </c>
      <c r="M323" s="22">
        <v>43139</v>
      </c>
      <c r="N323" s="13" t="s">
        <v>148</v>
      </c>
    </row>
    <row r="324" spans="1:14" x14ac:dyDescent="0.15">
      <c r="A324" s="5">
        <v>1800059100000000</v>
      </c>
      <c r="B324" s="2" t="s">
        <v>111</v>
      </c>
      <c r="C324" s="2" t="s">
        <v>112</v>
      </c>
      <c r="D324" s="2" t="s">
        <v>141</v>
      </c>
      <c r="E324" s="2" t="s">
        <v>47</v>
      </c>
      <c r="F324" s="15" t="str">
        <f>"3000"</f>
        <v>3000</v>
      </c>
      <c r="G324" s="2">
        <v>58.468000000000004</v>
      </c>
      <c r="H324" s="2" t="s">
        <v>12</v>
      </c>
      <c r="I324" s="2" t="s">
        <v>88</v>
      </c>
      <c r="J324" s="2" t="s">
        <v>134</v>
      </c>
      <c r="K324" s="3">
        <v>43139.388888888891</v>
      </c>
      <c r="L324" s="4">
        <v>43139</v>
      </c>
      <c r="M324" s="8">
        <v>43139</v>
      </c>
      <c r="N324" s="13"/>
    </row>
    <row r="325" spans="1:14" x14ac:dyDescent="0.15">
      <c r="A325" s="5">
        <v>1800061000000000</v>
      </c>
      <c r="B325" s="2" t="s">
        <v>101</v>
      </c>
      <c r="C325" s="2" t="s">
        <v>102</v>
      </c>
      <c r="D325" s="2" t="s">
        <v>142</v>
      </c>
      <c r="E325" s="2" t="s">
        <v>47</v>
      </c>
      <c r="F325" s="15" t="str">
        <f>"2245"</f>
        <v>2245</v>
      </c>
      <c r="G325" s="2" t="str">
        <f t="shared" ref="G325:G331" si="0">"96"</f>
        <v>96</v>
      </c>
      <c r="H325" s="2" t="s">
        <v>12</v>
      </c>
      <c r="I325" s="2" t="s">
        <v>88</v>
      </c>
      <c r="J325" s="2" t="s">
        <v>125</v>
      </c>
      <c r="K325" s="3">
        <v>43139.595833333333</v>
      </c>
      <c r="L325" s="4">
        <v>43139</v>
      </c>
      <c r="M325" s="8">
        <v>43139</v>
      </c>
      <c r="N325" s="13"/>
    </row>
    <row r="326" spans="1:14" x14ac:dyDescent="0.15">
      <c r="A326" s="5">
        <v>1800061200000000</v>
      </c>
      <c r="B326" s="2" t="s">
        <v>101</v>
      </c>
      <c r="C326" s="2" t="s">
        <v>102</v>
      </c>
      <c r="D326" s="2" t="s">
        <v>143</v>
      </c>
      <c r="E326" s="2" t="s">
        <v>47</v>
      </c>
      <c r="F326" s="15" t="str">
        <f>"255"</f>
        <v>255</v>
      </c>
      <c r="G326" s="2" t="str">
        <f t="shared" si="0"/>
        <v>96</v>
      </c>
      <c r="H326" s="2" t="s">
        <v>12</v>
      </c>
      <c r="I326" s="2" t="s">
        <v>88</v>
      </c>
      <c r="J326" s="2" t="s">
        <v>125</v>
      </c>
      <c r="K326" s="3">
        <v>43139.595833333333</v>
      </c>
      <c r="L326" s="4">
        <v>43139</v>
      </c>
      <c r="M326" s="8">
        <v>43139</v>
      </c>
      <c r="N326" s="13"/>
    </row>
    <row r="327" spans="1:14" x14ac:dyDescent="0.15">
      <c r="A327" s="5">
        <v>1800061500000000</v>
      </c>
      <c r="B327" s="2" t="s">
        <v>101</v>
      </c>
      <c r="C327" s="2" t="s">
        <v>102</v>
      </c>
      <c r="D327" s="2" t="s">
        <v>144</v>
      </c>
      <c r="E327" s="2" t="s">
        <v>47</v>
      </c>
      <c r="F327" s="15" t="str">
        <f>"345"</f>
        <v>345</v>
      </c>
      <c r="G327" s="2" t="str">
        <f t="shared" si="0"/>
        <v>96</v>
      </c>
      <c r="H327" s="2" t="s">
        <v>12</v>
      </c>
      <c r="I327" s="2" t="s">
        <v>88</v>
      </c>
      <c r="J327" s="2" t="s">
        <v>125</v>
      </c>
      <c r="K327" s="3">
        <v>43139.595833333333</v>
      </c>
      <c r="L327" s="4">
        <v>43139</v>
      </c>
      <c r="M327" s="8">
        <v>43139</v>
      </c>
      <c r="N327" s="13"/>
    </row>
    <row r="328" spans="1:14" x14ac:dyDescent="0.15">
      <c r="A328" s="5">
        <v>1800061700000000</v>
      </c>
      <c r="B328" s="2" t="s">
        <v>101</v>
      </c>
      <c r="C328" s="2" t="s">
        <v>102</v>
      </c>
      <c r="D328" s="2" t="s">
        <v>145</v>
      </c>
      <c r="E328" s="2" t="s">
        <v>47</v>
      </c>
      <c r="F328" s="15" t="str">
        <f>"330"</f>
        <v>330</v>
      </c>
      <c r="G328" s="2" t="str">
        <f t="shared" si="0"/>
        <v>96</v>
      </c>
      <c r="H328" s="2" t="s">
        <v>12</v>
      </c>
      <c r="I328" s="2" t="s">
        <v>88</v>
      </c>
      <c r="J328" s="2" t="s">
        <v>125</v>
      </c>
      <c r="K328" s="3">
        <v>43139.595833333333</v>
      </c>
      <c r="L328" s="4">
        <v>43139</v>
      </c>
      <c r="M328" s="8">
        <v>43139</v>
      </c>
      <c r="N328" s="13"/>
    </row>
    <row r="329" spans="1:14" x14ac:dyDescent="0.15">
      <c r="A329" s="5">
        <v>1800061800000000</v>
      </c>
      <c r="B329" s="2" t="s">
        <v>101</v>
      </c>
      <c r="C329" s="2" t="s">
        <v>102</v>
      </c>
      <c r="D329" s="2" t="s">
        <v>146</v>
      </c>
      <c r="E329" s="2" t="s">
        <v>47</v>
      </c>
      <c r="F329" s="15" t="str">
        <f>"3263"</f>
        <v>3263</v>
      </c>
      <c r="G329" s="2" t="str">
        <f t="shared" si="0"/>
        <v>96</v>
      </c>
      <c r="H329" s="2" t="s">
        <v>12</v>
      </c>
      <c r="I329" s="2" t="s">
        <v>88</v>
      </c>
      <c r="J329" s="2" t="s">
        <v>125</v>
      </c>
      <c r="K329" s="3">
        <v>43139.595833333333</v>
      </c>
      <c r="L329" s="4">
        <v>43139</v>
      </c>
      <c r="M329" s="8">
        <v>43139</v>
      </c>
      <c r="N329" s="13"/>
    </row>
    <row r="330" spans="1:14" x14ac:dyDescent="0.15">
      <c r="A330" s="5">
        <v>1800062000000000</v>
      </c>
      <c r="B330" s="2" t="s">
        <v>101</v>
      </c>
      <c r="C330" s="2" t="s">
        <v>102</v>
      </c>
      <c r="D330" s="2" t="s">
        <v>140</v>
      </c>
      <c r="E330" s="2" t="s">
        <v>47</v>
      </c>
      <c r="F330" s="15" t="str">
        <f>"3699"</f>
        <v>3699</v>
      </c>
      <c r="G330" s="2" t="str">
        <f t="shared" si="0"/>
        <v>96</v>
      </c>
      <c r="H330" s="2" t="s">
        <v>12</v>
      </c>
      <c r="I330" s="2" t="s">
        <v>88</v>
      </c>
      <c r="J330" s="2" t="s">
        <v>125</v>
      </c>
      <c r="K330" s="3">
        <v>43139.595833333333</v>
      </c>
      <c r="L330" s="4">
        <v>43139</v>
      </c>
      <c r="M330" s="8">
        <v>43139</v>
      </c>
      <c r="N330" s="13"/>
    </row>
    <row r="331" spans="1:14" x14ac:dyDescent="0.15">
      <c r="A331" s="5">
        <v>1800062100000000</v>
      </c>
      <c r="B331" s="2" t="s">
        <v>101</v>
      </c>
      <c r="C331" s="2" t="s">
        <v>102</v>
      </c>
      <c r="D331" s="2" t="s">
        <v>139</v>
      </c>
      <c r="E331" s="2" t="s">
        <v>47</v>
      </c>
      <c r="F331" s="15" t="str">
        <f>"3168"</f>
        <v>3168</v>
      </c>
      <c r="G331" s="2" t="str">
        <f t="shared" si="0"/>
        <v>96</v>
      </c>
      <c r="H331" s="2" t="s">
        <v>12</v>
      </c>
      <c r="I331" s="2" t="s">
        <v>88</v>
      </c>
      <c r="J331" s="2" t="s">
        <v>125</v>
      </c>
      <c r="K331" s="3">
        <v>43139.595833333333</v>
      </c>
      <c r="L331" s="4">
        <v>43139</v>
      </c>
      <c r="M331" s="8">
        <v>43139</v>
      </c>
      <c r="N331" s="13"/>
    </row>
    <row r="332" spans="1:14" x14ac:dyDescent="0.15">
      <c r="A332" s="5">
        <v>1800066300000000</v>
      </c>
      <c r="B332" s="2" t="s">
        <v>111</v>
      </c>
      <c r="C332" s="2" t="s">
        <v>112</v>
      </c>
      <c r="D332" s="2" t="s">
        <v>141</v>
      </c>
      <c r="E332" s="2" t="s">
        <v>47</v>
      </c>
      <c r="F332" s="15" t="str">
        <f>"1000"</f>
        <v>1000</v>
      </c>
      <c r="G332" s="2">
        <v>58.231999999999999</v>
      </c>
      <c r="H332" s="2" t="s">
        <v>12</v>
      </c>
      <c r="I332" s="2" t="s">
        <v>88</v>
      </c>
      <c r="J332" s="2" t="s">
        <v>131</v>
      </c>
      <c r="K332" s="3">
        <v>43139.705555555556</v>
      </c>
      <c r="L332" s="4">
        <v>43139</v>
      </c>
      <c r="M332" s="8">
        <v>43139</v>
      </c>
      <c r="N332" s="13"/>
    </row>
    <row r="333" spans="1:14" x14ac:dyDescent="0.15">
      <c r="A333" s="5">
        <v>1800070600000000</v>
      </c>
      <c r="B333" s="2" t="s">
        <v>86</v>
      </c>
      <c r="C333" s="2" t="s">
        <v>87</v>
      </c>
      <c r="D333" s="2" t="s">
        <v>145</v>
      </c>
      <c r="E333" s="2" t="s">
        <v>11</v>
      </c>
      <c r="F333" s="15" t="str">
        <f>"1280"</f>
        <v>1280</v>
      </c>
      <c r="G333" s="2">
        <v>97.94</v>
      </c>
      <c r="H333" s="2" t="s">
        <v>12</v>
      </c>
      <c r="I333" s="2" t="s">
        <v>88</v>
      </c>
      <c r="J333" s="2" t="s">
        <v>50</v>
      </c>
      <c r="K333" s="3">
        <v>43140.59097222222</v>
      </c>
      <c r="L333" s="4">
        <v>43140</v>
      </c>
      <c r="M333" s="8">
        <v>43140</v>
      </c>
      <c r="N333" s="13"/>
    </row>
    <row r="334" spans="1:14" x14ac:dyDescent="0.15">
      <c r="A334" s="5">
        <v>1800070800000000</v>
      </c>
      <c r="B334" s="2" t="s">
        <v>89</v>
      </c>
      <c r="C334" s="2" t="s">
        <v>90</v>
      </c>
      <c r="D334" s="2" t="s">
        <v>145</v>
      </c>
      <c r="E334" s="2" t="s">
        <v>11</v>
      </c>
      <c r="F334" s="15" t="str">
        <f>"2800"</f>
        <v>2800</v>
      </c>
      <c r="G334" s="2">
        <v>33.33</v>
      </c>
      <c r="H334" s="2" t="s">
        <v>12</v>
      </c>
      <c r="I334" s="2" t="s">
        <v>88</v>
      </c>
      <c r="J334" s="2" t="s">
        <v>50</v>
      </c>
      <c r="K334" s="3">
        <v>43140.59097222222</v>
      </c>
      <c r="L334" s="4">
        <v>43140</v>
      </c>
      <c r="M334" s="8">
        <v>43140</v>
      </c>
      <c r="N334" s="13"/>
    </row>
    <row r="335" spans="1:14" x14ac:dyDescent="0.15">
      <c r="A335" s="5">
        <v>1800070900000000</v>
      </c>
      <c r="B335" s="2" t="s">
        <v>91</v>
      </c>
      <c r="C335" s="2" t="s">
        <v>92</v>
      </c>
      <c r="D335" s="2" t="s">
        <v>145</v>
      </c>
      <c r="E335" s="2" t="s">
        <v>11</v>
      </c>
      <c r="F335" s="15" t="str">
        <f>"990"</f>
        <v>990</v>
      </c>
      <c r="G335" s="2">
        <v>67.44</v>
      </c>
      <c r="H335" s="2" t="s">
        <v>12</v>
      </c>
      <c r="I335" s="2" t="s">
        <v>88</v>
      </c>
      <c r="J335" s="2" t="s">
        <v>50</v>
      </c>
      <c r="K335" s="3">
        <v>43140.59097222222</v>
      </c>
      <c r="L335" s="4">
        <v>43140</v>
      </c>
      <c r="M335" s="8">
        <v>43140</v>
      </c>
      <c r="N335" s="13"/>
    </row>
    <row r="336" spans="1:14" x14ac:dyDescent="0.15">
      <c r="A336" s="5">
        <v>1800071200000000</v>
      </c>
      <c r="B336" s="2" t="s">
        <v>93</v>
      </c>
      <c r="C336" s="2" t="s">
        <v>94</v>
      </c>
      <c r="D336" s="2" t="s">
        <v>145</v>
      </c>
      <c r="E336" s="2" t="s">
        <v>11</v>
      </c>
      <c r="F336" s="15" t="str">
        <f>"4750"</f>
        <v>4750</v>
      </c>
      <c r="G336" s="2">
        <v>24.91</v>
      </c>
      <c r="H336" s="2" t="s">
        <v>12</v>
      </c>
      <c r="I336" s="2" t="s">
        <v>88</v>
      </c>
      <c r="J336" s="2" t="s">
        <v>50</v>
      </c>
      <c r="K336" s="3">
        <v>43140.59097222222</v>
      </c>
      <c r="L336" s="4">
        <v>43140</v>
      </c>
      <c r="M336" s="8">
        <v>43140</v>
      </c>
      <c r="N336" s="13"/>
    </row>
    <row r="337" spans="1:14" x14ac:dyDescent="0.15">
      <c r="A337" s="5">
        <v>1800071300000000</v>
      </c>
      <c r="B337" s="2" t="s">
        <v>95</v>
      </c>
      <c r="C337" s="2" t="s">
        <v>96</v>
      </c>
      <c r="D337" s="2" t="s">
        <v>145</v>
      </c>
      <c r="E337" s="2" t="s">
        <v>11</v>
      </c>
      <c r="F337" s="15" t="str">
        <f>"2050"</f>
        <v>2050</v>
      </c>
      <c r="G337" s="2">
        <v>63.2</v>
      </c>
      <c r="H337" s="2" t="s">
        <v>12</v>
      </c>
      <c r="I337" s="2" t="s">
        <v>88</v>
      </c>
      <c r="J337" s="2" t="s">
        <v>50</v>
      </c>
      <c r="K337" s="3">
        <v>43140.59097222222</v>
      </c>
      <c r="L337" s="4">
        <v>43140</v>
      </c>
      <c r="M337" s="8">
        <v>43140</v>
      </c>
      <c r="N337" s="13"/>
    </row>
    <row r="338" spans="1:14" x14ac:dyDescent="0.15">
      <c r="A338" s="5">
        <v>1800071400000000</v>
      </c>
      <c r="B338" s="2" t="s">
        <v>97</v>
      </c>
      <c r="C338" s="2" t="s">
        <v>98</v>
      </c>
      <c r="D338" s="2" t="s">
        <v>145</v>
      </c>
      <c r="E338" s="2" t="s">
        <v>11</v>
      </c>
      <c r="F338" s="15" t="str">
        <f>"2700"</f>
        <v>2700</v>
      </c>
      <c r="G338" s="2">
        <v>21.5</v>
      </c>
      <c r="H338" s="2" t="s">
        <v>12</v>
      </c>
      <c r="I338" s="2" t="s">
        <v>88</v>
      </c>
      <c r="J338" s="2" t="s">
        <v>50</v>
      </c>
      <c r="K338" s="3">
        <v>43140.59097222222</v>
      </c>
      <c r="L338" s="4">
        <v>43140</v>
      </c>
      <c r="M338" s="8">
        <v>43140</v>
      </c>
      <c r="N338" s="13"/>
    </row>
    <row r="339" spans="1:14" x14ac:dyDescent="0.15">
      <c r="A339" s="5">
        <v>1800071500000000</v>
      </c>
      <c r="B339" s="2" t="s">
        <v>99</v>
      </c>
      <c r="C339" s="2" t="s">
        <v>100</v>
      </c>
      <c r="D339" s="2" t="s">
        <v>145</v>
      </c>
      <c r="E339" s="2" t="s">
        <v>11</v>
      </c>
      <c r="F339" s="15" t="str">
        <f>"4250"</f>
        <v>4250</v>
      </c>
      <c r="G339" s="2">
        <v>18.28</v>
      </c>
      <c r="H339" s="2" t="s">
        <v>12</v>
      </c>
      <c r="I339" s="2" t="s">
        <v>88</v>
      </c>
      <c r="J339" s="2" t="s">
        <v>50</v>
      </c>
      <c r="K339" s="3">
        <v>43140.59097222222</v>
      </c>
      <c r="L339" s="4">
        <v>43140</v>
      </c>
      <c r="M339" s="8">
        <v>43140</v>
      </c>
      <c r="N339" s="13"/>
    </row>
    <row r="340" spans="1:14" x14ac:dyDescent="0.15">
      <c r="A340" s="5">
        <v>1800071700000000</v>
      </c>
      <c r="B340" s="2" t="s">
        <v>101</v>
      </c>
      <c r="C340" s="2" t="s">
        <v>102</v>
      </c>
      <c r="D340" s="2" t="s">
        <v>145</v>
      </c>
      <c r="E340" s="2" t="s">
        <v>11</v>
      </c>
      <c r="F340" s="15" t="str">
        <f>"920"</f>
        <v>920</v>
      </c>
      <c r="G340" s="2" t="str">
        <f>"95"</f>
        <v>95</v>
      </c>
      <c r="H340" s="2" t="s">
        <v>12</v>
      </c>
      <c r="I340" s="2" t="s">
        <v>88</v>
      </c>
      <c r="J340" s="2" t="s">
        <v>50</v>
      </c>
      <c r="K340" s="3">
        <v>43140.59097222222</v>
      </c>
      <c r="L340" s="4">
        <v>43140</v>
      </c>
      <c r="M340" s="8">
        <v>43140</v>
      </c>
      <c r="N340" s="13"/>
    </row>
    <row r="341" spans="1:14" x14ac:dyDescent="0.15">
      <c r="A341" s="5">
        <v>1800072200000000</v>
      </c>
      <c r="B341" s="2" t="s">
        <v>103</v>
      </c>
      <c r="C341" s="2" t="s">
        <v>104</v>
      </c>
      <c r="D341" s="2" t="s">
        <v>145</v>
      </c>
      <c r="E341" s="2" t="s">
        <v>11</v>
      </c>
      <c r="F341" s="15" t="str">
        <f>"1700"</f>
        <v>1700</v>
      </c>
      <c r="G341" s="2">
        <v>72.88</v>
      </c>
      <c r="H341" s="2" t="s">
        <v>12</v>
      </c>
      <c r="I341" s="2" t="s">
        <v>88</v>
      </c>
      <c r="J341" s="2" t="s">
        <v>50</v>
      </c>
      <c r="K341" s="3">
        <v>43140.59097222222</v>
      </c>
      <c r="L341" s="4">
        <v>43140</v>
      </c>
      <c r="M341" s="8">
        <v>43140</v>
      </c>
      <c r="N341" s="13"/>
    </row>
    <row r="342" spans="1:14" x14ac:dyDescent="0.15">
      <c r="A342" s="5">
        <v>1800072400000000</v>
      </c>
      <c r="B342" s="2" t="s">
        <v>105</v>
      </c>
      <c r="C342" s="2" t="s">
        <v>106</v>
      </c>
      <c r="D342" s="2" t="s">
        <v>145</v>
      </c>
      <c r="E342" s="2" t="s">
        <v>11</v>
      </c>
      <c r="F342" s="15" t="str">
        <f>"1100"</f>
        <v>1100</v>
      </c>
      <c r="G342" s="2">
        <v>61.2</v>
      </c>
      <c r="H342" s="2" t="s">
        <v>12</v>
      </c>
      <c r="I342" s="2" t="s">
        <v>88</v>
      </c>
      <c r="J342" s="2" t="s">
        <v>50</v>
      </c>
      <c r="K342" s="3">
        <v>43140.59097222222</v>
      </c>
      <c r="L342" s="4">
        <v>43140</v>
      </c>
      <c r="M342" s="8">
        <v>43140</v>
      </c>
      <c r="N342" s="13"/>
    </row>
    <row r="343" spans="1:14" x14ac:dyDescent="0.15">
      <c r="A343" s="23">
        <v>1800058900000000</v>
      </c>
      <c r="B343" s="24" t="s">
        <v>128</v>
      </c>
      <c r="C343" s="24" t="s">
        <v>129</v>
      </c>
      <c r="D343" s="24" t="s">
        <v>145</v>
      </c>
      <c r="E343" s="24" t="s">
        <v>47</v>
      </c>
      <c r="F343" s="25" t="str">
        <f>"18200"</f>
        <v>18200</v>
      </c>
      <c r="G343" s="24">
        <v>11.032999999999999</v>
      </c>
      <c r="H343" s="24" t="s">
        <v>12</v>
      </c>
      <c r="I343" s="24" t="s">
        <v>88</v>
      </c>
      <c r="J343" s="24" t="s">
        <v>85</v>
      </c>
      <c r="K343" s="26">
        <v>43139.388888888891</v>
      </c>
      <c r="L343" s="28">
        <v>43139</v>
      </c>
      <c r="M343" s="27">
        <v>43139</v>
      </c>
      <c r="N343" s="13" t="s">
        <v>148</v>
      </c>
    </row>
    <row r="344" spans="1:14" x14ac:dyDescent="0.15">
      <c r="A344" s="5">
        <v>1800072700000000</v>
      </c>
      <c r="B344" s="2" t="s">
        <v>107</v>
      </c>
      <c r="C344" s="2" t="s">
        <v>108</v>
      </c>
      <c r="D344" s="2" t="s">
        <v>145</v>
      </c>
      <c r="E344" s="2" t="s">
        <v>11</v>
      </c>
      <c r="F344" s="15" t="str">
        <f>"600"</f>
        <v>600</v>
      </c>
      <c r="G344" s="2">
        <v>172.35</v>
      </c>
      <c r="H344" s="2" t="s">
        <v>12</v>
      </c>
      <c r="I344" s="2" t="s">
        <v>88</v>
      </c>
      <c r="J344" s="2" t="s">
        <v>50</v>
      </c>
      <c r="K344" s="3">
        <v>43140.59097222222</v>
      </c>
      <c r="L344" s="4">
        <v>43140</v>
      </c>
      <c r="M344" s="8">
        <v>43140</v>
      </c>
      <c r="N344" s="13"/>
    </row>
    <row r="345" spans="1:14" x14ac:dyDescent="0.15">
      <c r="A345" s="5">
        <v>1800072800000000</v>
      </c>
      <c r="B345" s="2" t="s">
        <v>111</v>
      </c>
      <c r="C345" s="2" t="s">
        <v>112</v>
      </c>
      <c r="D345" s="2" t="s">
        <v>145</v>
      </c>
      <c r="E345" s="2" t="s">
        <v>11</v>
      </c>
      <c r="F345" s="15" t="str">
        <f>"2200"</f>
        <v>2200</v>
      </c>
      <c r="G345" s="2">
        <v>56.66</v>
      </c>
      <c r="H345" s="2" t="s">
        <v>12</v>
      </c>
      <c r="I345" s="2" t="s">
        <v>88</v>
      </c>
      <c r="J345" s="2" t="s">
        <v>50</v>
      </c>
      <c r="K345" s="3">
        <v>43140.59097222222</v>
      </c>
      <c r="L345" s="4">
        <v>43140</v>
      </c>
      <c r="M345" s="8">
        <v>43140</v>
      </c>
      <c r="N345" s="13"/>
    </row>
    <row r="346" spans="1:14" x14ac:dyDescent="0.15">
      <c r="A346" s="5">
        <v>1800072900000000</v>
      </c>
      <c r="B346" s="2" t="s">
        <v>113</v>
      </c>
      <c r="C346" s="2" t="s">
        <v>114</v>
      </c>
      <c r="D346" s="2" t="s">
        <v>145</v>
      </c>
      <c r="E346" s="2" t="s">
        <v>11</v>
      </c>
      <c r="F346" s="15" t="str">
        <f>"1100"</f>
        <v>1100</v>
      </c>
      <c r="G346" s="2">
        <v>82.58</v>
      </c>
      <c r="H346" s="2" t="s">
        <v>12</v>
      </c>
      <c r="I346" s="2" t="s">
        <v>88</v>
      </c>
      <c r="J346" s="2" t="s">
        <v>50</v>
      </c>
      <c r="K346" s="3">
        <v>43140.59097222222</v>
      </c>
      <c r="L346" s="4">
        <v>43140</v>
      </c>
      <c r="M346" s="8">
        <v>43140</v>
      </c>
      <c r="N346" s="13"/>
    </row>
    <row r="347" spans="1:14" x14ac:dyDescent="0.15">
      <c r="A347" s="5">
        <v>1800073000000000</v>
      </c>
      <c r="B347" s="2" t="s">
        <v>115</v>
      </c>
      <c r="C347" s="2" t="s">
        <v>116</v>
      </c>
      <c r="D347" s="2" t="s">
        <v>145</v>
      </c>
      <c r="E347" s="2" t="s">
        <v>11</v>
      </c>
      <c r="F347" s="15" t="str">
        <f>"4150"</f>
        <v>4150</v>
      </c>
      <c r="G347" s="2">
        <v>13.685</v>
      </c>
      <c r="H347" s="2" t="s">
        <v>12</v>
      </c>
      <c r="I347" s="2" t="s">
        <v>88</v>
      </c>
      <c r="J347" s="2" t="s">
        <v>50</v>
      </c>
      <c r="K347" s="3">
        <v>43140.59097222222</v>
      </c>
      <c r="L347" s="4">
        <v>43140</v>
      </c>
      <c r="M347" s="8">
        <v>43140</v>
      </c>
      <c r="N347" s="13"/>
    </row>
    <row r="348" spans="1:14" x14ac:dyDescent="0.15">
      <c r="A348" s="5">
        <v>1800073100000000</v>
      </c>
      <c r="B348" s="2" t="s">
        <v>117</v>
      </c>
      <c r="C348" s="2" t="s">
        <v>118</v>
      </c>
      <c r="D348" s="2" t="s">
        <v>145</v>
      </c>
      <c r="E348" s="2" t="s">
        <v>11</v>
      </c>
      <c r="F348" s="15" t="str">
        <f>"2870"</f>
        <v>2870</v>
      </c>
      <c r="G348" s="2">
        <v>42.524999999999999</v>
      </c>
      <c r="H348" s="2" t="s">
        <v>12</v>
      </c>
      <c r="I348" s="2" t="s">
        <v>88</v>
      </c>
      <c r="J348" s="2" t="s">
        <v>50</v>
      </c>
      <c r="K348" s="3">
        <v>43140.59097222222</v>
      </c>
      <c r="L348" s="4">
        <v>43140</v>
      </c>
      <c r="M348" s="8">
        <v>43140</v>
      </c>
      <c r="N348" s="13"/>
    </row>
    <row r="349" spans="1:14" x14ac:dyDescent="0.15">
      <c r="A349" s="5">
        <v>1800073200000000</v>
      </c>
      <c r="B349" s="2" t="s">
        <v>119</v>
      </c>
      <c r="C349" s="2" t="s">
        <v>120</v>
      </c>
      <c r="D349" s="2" t="s">
        <v>145</v>
      </c>
      <c r="E349" s="2" t="s">
        <v>11</v>
      </c>
      <c r="F349" s="15" t="str">
        <f>"2380"</f>
        <v>2380</v>
      </c>
      <c r="G349" s="2">
        <v>63.39</v>
      </c>
      <c r="H349" s="2" t="s">
        <v>12</v>
      </c>
      <c r="I349" s="2" t="s">
        <v>88</v>
      </c>
      <c r="J349" s="2" t="s">
        <v>50</v>
      </c>
      <c r="K349" s="3">
        <v>43140.59097222222</v>
      </c>
      <c r="L349" s="4">
        <v>43140</v>
      </c>
      <c r="M349" s="8">
        <v>43140</v>
      </c>
      <c r="N349" s="13"/>
    </row>
    <row r="350" spans="1:14" x14ac:dyDescent="0.15">
      <c r="A350" s="5">
        <v>1800073300000000</v>
      </c>
      <c r="B350" s="2" t="s">
        <v>121</v>
      </c>
      <c r="C350" s="2" t="s">
        <v>122</v>
      </c>
      <c r="D350" s="2" t="s">
        <v>145</v>
      </c>
      <c r="E350" s="2" t="s">
        <v>11</v>
      </c>
      <c r="F350" s="15" t="str">
        <f>"1500"</f>
        <v>1500</v>
      </c>
      <c r="G350" s="2">
        <v>69.34</v>
      </c>
      <c r="H350" s="2" t="s">
        <v>12</v>
      </c>
      <c r="I350" s="2" t="s">
        <v>88</v>
      </c>
      <c r="J350" s="2" t="s">
        <v>50</v>
      </c>
      <c r="K350" s="3">
        <v>43140.59097222222</v>
      </c>
      <c r="L350" s="4">
        <v>43140</v>
      </c>
      <c r="M350" s="8">
        <v>43140</v>
      </c>
      <c r="N350" s="13"/>
    </row>
    <row r="351" spans="1:14" x14ac:dyDescent="0.15">
      <c r="A351" s="5">
        <v>1800073500000000</v>
      </c>
      <c r="B351" s="2" t="s">
        <v>123</v>
      </c>
      <c r="C351" s="2" t="s">
        <v>124</v>
      </c>
      <c r="D351" s="2" t="s">
        <v>145</v>
      </c>
      <c r="E351" s="2" t="s">
        <v>11</v>
      </c>
      <c r="F351" s="15" t="str">
        <f>"1550"</f>
        <v>1550</v>
      </c>
      <c r="G351" s="2">
        <v>59.95</v>
      </c>
      <c r="H351" s="2" t="s">
        <v>12</v>
      </c>
      <c r="I351" s="2" t="s">
        <v>88</v>
      </c>
      <c r="J351" s="2" t="s">
        <v>50</v>
      </c>
      <c r="K351" s="3">
        <v>43140.59097222222</v>
      </c>
      <c r="L351" s="4">
        <v>43140</v>
      </c>
      <c r="M351" s="8">
        <v>43140</v>
      </c>
      <c r="N351" s="13"/>
    </row>
    <row r="352" spans="1:14" x14ac:dyDescent="0.15">
      <c r="A352" s="5">
        <v>1800073900000000</v>
      </c>
      <c r="B352" s="2" t="s">
        <v>128</v>
      </c>
      <c r="C352" s="2" t="s">
        <v>129</v>
      </c>
      <c r="D352" s="2" t="s">
        <v>141</v>
      </c>
      <c r="E352" s="2" t="s">
        <v>11</v>
      </c>
      <c r="F352" s="15" t="str">
        <f>"5000"</f>
        <v>5000</v>
      </c>
      <c r="G352" s="2">
        <v>10.565</v>
      </c>
      <c r="H352" s="2" t="s">
        <v>12</v>
      </c>
      <c r="I352" s="2" t="s">
        <v>88</v>
      </c>
      <c r="J352" s="2" t="s">
        <v>134</v>
      </c>
      <c r="K352" s="3">
        <v>43140.727777777778</v>
      </c>
      <c r="L352" s="4">
        <v>43140</v>
      </c>
      <c r="M352" s="8">
        <v>43140</v>
      </c>
      <c r="N352" s="13"/>
    </row>
    <row r="353" spans="1:14" x14ac:dyDescent="0.15">
      <c r="A353" s="5">
        <v>1800074100000000</v>
      </c>
      <c r="B353" s="2" t="s">
        <v>135</v>
      </c>
      <c r="C353" s="2" t="s">
        <v>136</v>
      </c>
      <c r="D353" s="2" t="s">
        <v>141</v>
      </c>
      <c r="E353" s="2" t="s">
        <v>11</v>
      </c>
      <c r="F353" s="15" t="str">
        <f>"800"</f>
        <v>800</v>
      </c>
      <c r="G353" s="2">
        <v>147.19999999999999</v>
      </c>
      <c r="H353" s="2" t="s">
        <v>12</v>
      </c>
      <c r="I353" s="2" t="s">
        <v>88</v>
      </c>
      <c r="J353" s="2" t="s">
        <v>14</v>
      </c>
      <c r="K353" s="3">
        <v>43140.727777777778</v>
      </c>
      <c r="L353" s="4">
        <v>43140</v>
      </c>
      <c r="M353" s="8">
        <v>43140</v>
      </c>
      <c r="N353" s="13"/>
    </row>
    <row r="354" spans="1:14" x14ac:dyDescent="0.15">
      <c r="A354" s="5">
        <v>1800075300000000</v>
      </c>
      <c r="B354" s="2" t="s">
        <v>126</v>
      </c>
      <c r="C354" s="2" t="s">
        <v>127</v>
      </c>
      <c r="D354" s="2" t="s">
        <v>141</v>
      </c>
      <c r="E354" s="2" t="s">
        <v>47</v>
      </c>
      <c r="F354" s="15" t="str">
        <f>"2000"</f>
        <v>2000</v>
      </c>
      <c r="G354" s="2">
        <v>90.149000000000001</v>
      </c>
      <c r="H354" s="2" t="s">
        <v>12</v>
      </c>
      <c r="I354" s="2" t="s">
        <v>88</v>
      </c>
      <c r="J354" s="2" t="s">
        <v>137</v>
      </c>
      <c r="K354" s="3">
        <v>43143.395833333336</v>
      </c>
      <c r="L354" s="4">
        <v>43143</v>
      </c>
      <c r="M354" s="8">
        <v>43143</v>
      </c>
      <c r="N354" s="13"/>
    </row>
    <row r="355" spans="1:14" x14ac:dyDescent="0.15">
      <c r="A355" s="5">
        <v>1800076000000000</v>
      </c>
      <c r="B355" s="2" t="s">
        <v>126</v>
      </c>
      <c r="C355" s="2" t="s">
        <v>127</v>
      </c>
      <c r="D355" s="2" t="s">
        <v>141</v>
      </c>
      <c r="E355" s="2" t="s">
        <v>47</v>
      </c>
      <c r="F355" s="15" t="str">
        <f>"1000"</f>
        <v>1000</v>
      </c>
      <c r="G355" s="2">
        <v>92.703999999999994</v>
      </c>
      <c r="H355" s="2" t="s">
        <v>12</v>
      </c>
      <c r="I355" s="2" t="s">
        <v>88</v>
      </c>
      <c r="J355" s="2" t="s">
        <v>137</v>
      </c>
      <c r="K355" s="3">
        <v>43143.615277777775</v>
      </c>
      <c r="L355" s="4">
        <v>43143</v>
      </c>
      <c r="M355" s="8">
        <v>43143</v>
      </c>
      <c r="N355" s="13"/>
    </row>
    <row r="356" spans="1:14" x14ac:dyDescent="0.15">
      <c r="A356" s="5">
        <v>1800077200000000</v>
      </c>
      <c r="B356" s="2" t="s">
        <v>128</v>
      </c>
      <c r="C356" s="2" t="s">
        <v>129</v>
      </c>
      <c r="D356" s="2" t="s">
        <v>141</v>
      </c>
      <c r="E356" s="2" t="s">
        <v>11</v>
      </c>
      <c r="F356" s="15" t="str">
        <f>"5000"</f>
        <v>5000</v>
      </c>
      <c r="G356" s="2">
        <v>10.19</v>
      </c>
      <c r="H356" s="2" t="s">
        <v>12</v>
      </c>
      <c r="I356" s="2" t="s">
        <v>88</v>
      </c>
      <c r="J356" s="2" t="s">
        <v>50</v>
      </c>
      <c r="K356" s="3">
        <v>43143.727083333331</v>
      </c>
      <c r="L356" s="4">
        <v>43143</v>
      </c>
      <c r="M356" s="8">
        <v>43143</v>
      </c>
      <c r="N356" s="13"/>
    </row>
    <row r="357" spans="1:14" x14ac:dyDescent="0.15">
      <c r="A357" s="5">
        <v>1800077500000000</v>
      </c>
      <c r="B357" s="2" t="s">
        <v>111</v>
      </c>
      <c r="C357" s="2" t="s">
        <v>112</v>
      </c>
      <c r="D357" s="2" t="s">
        <v>141</v>
      </c>
      <c r="E357" s="2" t="s">
        <v>47</v>
      </c>
      <c r="F357" s="15" t="str">
        <f>"2000"</f>
        <v>2000</v>
      </c>
      <c r="G357" s="2">
        <v>58.213000000000001</v>
      </c>
      <c r="H357" s="2" t="s">
        <v>12</v>
      </c>
      <c r="I357" s="2" t="s">
        <v>88</v>
      </c>
      <c r="J357" s="2" t="s">
        <v>84</v>
      </c>
      <c r="K357" s="3">
        <v>43144.411805555559</v>
      </c>
      <c r="L357" s="4">
        <v>43144</v>
      </c>
      <c r="M357" s="8">
        <v>43144</v>
      </c>
      <c r="N357" s="13"/>
    </row>
    <row r="358" spans="1:14" x14ac:dyDescent="0.15">
      <c r="A358" s="5">
        <v>1800079000000000</v>
      </c>
      <c r="B358" s="2" t="s">
        <v>86</v>
      </c>
      <c r="C358" s="2" t="s">
        <v>87</v>
      </c>
      <c r="D358" s="2" t="s">
        <v>141</v>
      </c>
      <c r="E358" s="2" t="s">
        <v>11</v>
      </c>
      <c r="F358" s="15" t="str">
        <f>"8000"</f>
        <v>8000</v>
      </c>
      <c r="G358" s="2">
        <v>98.424000000000007</v>
      </c>
      <c r="H358" s="2" t="s">
        <v>12</v>
      </c>
      <c r="I358" s="2" t="s">
        <v>88</v>
      </c>
      <c r="J358" s="2" t="s">
        <v>85</v>
      </c>
      <c r="K358" s="3">
        <v>43144.681944444441</v>
      </c>
      <c r="L358" s="4">
        <v>43144</v>
      </c>
      <c r="M358" s="8">
        <v>43144</v>
      </c>
      <c r="N358" s="13"/>
    </row>
    <row r="359" spans="1:14" x14ac:dyDescent="0.15">
      <c r="A359" s="5">
        <v>1800079100000000</v>
      </c>
      <c r="B359" s="2" t="s">
        <v>86</v>
      </c>
      <c r="C359" s="2" t="s">
        <v>87</v>
      </c>
      <c r="D359" s="2" t="s">
        <v>141</v>
      </c>
      <c r="E359" s="2" t="s">
        <v>11</v>
      </c>
      <c r="F359" s="15" t="str">
        <f>"32000"</f>
        <v>32000</v>
      </c>
      <c r="G359" s="2">
        <v>98.355999999999995</v>
      </c>
      <c r="H359" s="2" t="s">
        <v>12</v>
      </c>
      <c r="I359" s="2" t="s">
        <v>88</v>
      </c>
      <c r="J359" s="2" t="s">
        <v>85</v>
      </c>
      <c r="K359" s="3">
        <v>43144.681944444441</v>
      </c>
      <c r="L359" s="4">
        <v>43145</v>
      </c>
      <c r="M359" s="8">
        <v>43144</v>
      </c>
      <c r="N359" s="13"/>
    </row>
    <row r="360" spans="1:14" x14ac:dyDescent="0.15">
      <c r="A360" s="5">
        <v>1800079200000000</v>
      </c>
      <c r="B360" s="2" t="s">
        <v>115</v>
      </c>
      <c r="C360" s="2" t="s">
        <v>116</v>
      </c>
      <c r="D360" s="2" t="s">
        <v>140</v>
      </c>
      <c r="E360" s="2" t="s">
        <v>47</v>
      </c>
      <c r="F360" s="15" t="str">
        <f>"6000"</f>
        <v>6000</v>
      </c>
      <c r="G360" s="2">
        <v>14.516</v>
      </c>
      <c r="H360" s="2" t="s">
        <v>12</v>
      </c>
      <c r="I360" s="2" t="s">
        <v>88</v>
      </c>
      <c r="J360" s="2" t="s">
        <v>46</v>
      </c>
      <c r="K360" s="3">
        <v>43145.401388888888</v>
      </c>
      <c r="L360" s="4">
        <v>43145</v>
      </c>
      <c r="M360" s="8">
        <v>43145</v>
      </c>
      <c r="N360" s="13"/>
    </row>
    <row r="361" spans="1:14" x14ac:dyDescent="0.15">
      <c r="A361" s="5">
        <v>1800079300000000</v>
      </c>
      <c r="B361" s="2" t="s">
        <v>111</v>
      </c>
      <c r="C361" s="2" t="s">
        <v>112</v>
      </c>
      <c r="D361" s="2" t="s">
        <v>140</v>
      </c>
      <c r="E361" s="2" t="s">
        <v>47</v>
      </c>
      <c r="F361" s="15" t="str">
        <f>"3000"</f>
        <v>3000</v>
      </c>
      <c r="G361" s="2">
        <v>60.024000000000001</v>
      </c>
      <c r="H361" s="2" t="s">
        <v>12</v>
      </c>
      <c r="I361" s="2" t="s">
        <v>88</v>
      </c>
      <c r="J361" s="2" t="s">
        <v>46</v>
      </c>
      <c r="K361" s="3">
        <v>43145.430555555555</v>
      </c>
      <c r="L361" s="4">
        <v>43145</v>
      </c>
      <c r="M361" s="8">
        <v>43145</v>
      </c>
      <c r="N361" s="13"/>
    </row>
    <row r="362" spans="1:14" x14ac:dyDescent="0.15">
      <c r="A362" s="5">
        <v>1800079400000000</v>
      </c>
      <c r="B362" s="2" t="s">
        <v>111</v>
      </c>
      <c r="C362" s="2" t="s">
        <v>112</v>
      </c>
      <c r="D362" s="2" t="s">
        <v>141</v>
      </c>
      <c r="E362" s="2" t="s">
        <v>47</v>
      </c>
      <c r="F362" s="15" t="str">
        <f>"3000"</f>
        <v>3000</v>
      </c>
      <c r="G362" s="2">
        <v>60.024000000000001</v>
      </c>
      <c r="H362" s="2" t="s">
        <v>12</v>
      </c>
      <c r="I362" s="2" t="s">
        <v>88</v>
      </c>
      <c r="J362" s="2" t="s">
        <v>46</v>
      </c>
      <c r="K362" s="3">
        <v>43145.430555555555</v>
      </c>
      <c r="L362" s="4">
        <v>43145</v>
      </c>
      <c r="M362" s="8">
        <v>43145</v>
      </c>
      <c r="N362" s="13"/>
    </row>
    <row r="363" spans="1:14" x14ac:dyDescent="0.15">
      <c r="A363" s="5">
        <v>1800079800000000</v>
      </c>
      <c r="B363" s="2" t="s">
        <v>111</v>
      </c>
      <c r="C363" s="2" t="s">
        <v>112</v>
      </c>
      <c r="D363" s="2" t="s">
        <v>141</v>
      </c>
      <c r="E363" s="2" t="s">
        <v>47</v>
      </c>
      <c r="F363" s="15" t="str">
        <f>"3000"</f>
        <v>3000</v>
      </c>
      <c r="G363" s="2">
        <v>62.643999999999998</v>
      </c>
      <c r="H363" s="2" t="s">
        <v>12</v>
      </c>
      <c r="I363" s="2" t="s">
        <v>88</v>
      </c>
      <c r="J363" s="2" t="s">
        <v>46</v>
      </c>
      <c r="K363" s="3">
        <v>43145.668749999997</v>
      </c>
      <c r="L363" s="4">
        <v>43145</v>
      </c>
      <c r="M363" s="8">
        <v>43145</v>
      </c>
      <c r="N363" s="13"/>
    </row>
    <row r="364" spans="1:14" x14ac:dyDescent="0.15">
      <c r="A364" s="5">
        <v>1800079900000000</v>
      </c>
      <c r="B364" s="2" t="s">
        <v>128</v>
      </c>
      <c r="C364" s="2" t="s">
        <v>129</v>
      </c>
      <c r="D364" s="2" t="s">
        <v>141</v>
      </c>
      <c r="E364" s="2" t="s">
        <v>47</v>
      </c>
      <c r="F364" s="15" t="str">
        <f>"5000"</f>
        <v>5000</v>
      </c>
      <c r="G364" s="2">
        <v>10.664</v>
      </c>
      <c r="H364" s="2" t="s">
        <v>12</v>
      </c>
      <c r="I364" s="2" t="s">
        <v>88</v>
      </c>
      <c r="J364" s="2" t="s">
        <v>84</v>
      </c>
      <c r="K364" s="3">
        <v>43145.683333333334</v>
      </c>
      <c r="L364" s="4">
        <v>43145</v>
      </c>
      <c r="M364" s="8">
        <v>43145</v>
      </c>
      <c r="N364" s="13"/>
    </row>
    <row r="365" spans="1:14" x14ac:dyDescent="0.15">
      <c r="A365" s="5">
        <v>1800080000000000</v>
      </c>
      <c r="B365" s="2" t="s">
        <v>119</v>
      </c>
      <c r="C365" s="2" t="s">
        <v>120</v>
      </c>
      <c r="D365" s="2" t="s">
        <v>141</v>
      </c>
      <c r="E365" s="2" t="s">
        <v>11</v>
      </c>
      <c r="F365" s="15" t="str">
        <f>"2000"</f>
        <v>2000</v>
      </c>
      <c r="G365" s="2">
        <v>63.89</v>
      </c>
      <c r="H365" s="2" t="s">
        <v>12</v>
      </c>
      <c r="I365" s="2" t="s">
        <v>88</v>
      </c>
      <c r="J365" s="2" t="s">
        <v>50</v>
      </c>
      <c r="K365" s="3">
        <v>43145.724999999999</v>
      </c>
      <c r="L365" s="4">
        <v>43145</v>
      </c>
      <c r="M365" s="8">
        <v>43145</v>
      </c>
      <c r="N365" s="13"/>
    </row>
    <row r="366" spans="1:14" x14ac:dyDescent="0.15">
      <c r="A366" s="5">
        <v>1800080300000000</v>
      </c>
      <c r="B366" s="2" t="s">
        <v>91</v>
      </c>
      <c r="C366" s="2" t="s">
        <v>92</v>
      </c>
      <c r="D366" s="2" t="s">
        <v>143</v>
      </c>
      <c r="E366" s="2" t="s">
        <v>11</v>
      </c>
      <c r="F366" s="15" t="str">
        <f>"252"</f>
        <v>252</v>
      </c>
      <c r="G366" s="2">
        <v>67.707999999999998</v>
      </c>
      <c r="H366" s="2" t="s">
        <v>12</v>
      </c>
      <c r="I366" s="2" t="s">
        <v>88</v>
      </c>
      <c r="J366" s="2" t="s">
        <v>134</v>
      </c>
      <c r="K366" s="3">
        <v>43145.729166666664</v>
      </c>
      <c r="L366" s="4">
        <v>43145</v>
      </c>
      <c r="M366" s="8">
        <v>43145</v>
      </c>
      <c r="N366" s="13"/>
    </row>
    <row r="367" spans="1:14" x14ac:dyDescent="0.15">
      <c r="A367" s="5">
        <v>1800080400000000</v>
      </c>
      <c r="B367" s="2" t="s">
        <v>91</v>
      </c>
      <c r="C367" s="2" t="s">
        <v>92</v>
      </c>
      <c r="D367" s="2" t="s">
        <v>144</v>
      </c>
      <c r="E367" s="2" t="s">
        <v>11</v>
      </c>
      <c r="F367" s="15" t="str">
        <f>"341"</f>
        <v>341</v>
      </c>
      <c r="G367" s="2">
        <v>67.707999999999998</v>
      </c>
      <c r="H367" s="2" t="s">
        <v>12</v>
      </c>
      <c r="I367" s="2" t="s">
        <v>88</v>
      </c>
      <c r="J367" s="2" t="s">
        <v>134</v>
      </c>
      <c r="K367" s="3">
        <v>43145.729166666664</v>
      </c>
      <c r="L367" s="4">
        <v>43145</v>
      </c>
      <c r="M367" s="8">
        <v>43145</v>
      </c>
      <c r="N367" s="13"/>
    </row>
    <row r="368" spans="1:14" x14ac:dyDescent="0.15">
      <c r="A368" s="5">
        <v>1800080600000000</v>
      </c>
      <c r="B368" s="2" t="s">
        <v>91</v>
      </c>
      <c r="C368" s="2" t="s">
        <v>92</v>
      </c>
      <c r="D368" s="2" t="s">
        <v>145</v>
      </c>
      <c r="E368" s="2" t="s">
        <v>11</v>
      </c>
      <c r="F368" s="15" t="str">
        <f>"410"</f>
        <v>410</v>
      </c>
      <c r="G368" s="2">
        <v>67.707999999999998</v>
      </c>
      <c r="H368" s="2" t="s">
        <v>12</v>
      </c>
      <c r="I368" s="2" t="s">
        <v>88</v>
      </c>
      <c r="J368" s="2" t="s">
        <v>134</v>
      </c>
      <c r="K368" s="3">
        <v>43145.729166666664</v>
      </c>
      <c r="L368" s="4">
        <v>43145</v>
      </c>
      <c r="M368" s="8">
        <v>43145</v>
      </c>
      <c r="N368" s="13"/>
    </row>
    <row r="369" spans="1:14" x14ac:dyDescent="0.15">
      <c r="A369" s="5">
        <v>1800080700000000</v>
      </c>
      <c r="B369" s="2" t="s">
        <v>91</v>
      </c>
      <c r="C369" s="2" t="s">
        <v>92</v>
      </c>
      <c r="D369" s="2" t="s">
        <v>146</v>
      </c>
      <c r="E369" s="2" t="s">
        <v>11</v>
      </c>
      <c r="F369" s="15" t="str">
        <f>"3235"</f>
        <v>3235</v>
      </c>
      <c r="G369" s="2">
        <v>67.707999999999998</v>
      </c>
      <c r="H369" s="2" t="s">
        <v>12</v>
      </c>
      <c r="I369" s="2" t="s">
        <v>88</v>
      </c>
      <c r="J369" s="2" t="s">
        <v>134</v>
      </c>
      <c r="K369" s="3">
        <v>43145.729166666664</v>
      </c>
      <c r="L369" s="4">
        <v>43145</v>
      </c>
      <c r="M369" s="8">
        <v>43145</v>
      </c>
      <c r="N369" s="13"/>
    </row>
    <row r="370" spans="1:14" x14ac:dyDescent="0.15">
      <c r="A370" s="5">
        <v>1800080900000000</v>
      </c>
      <c r="B370" s="2" t="s">
        <v>91</v>
      </c>
      <c r="C370" s="2" t="s">
        <v>92</v>
      </c>
      <c r="D370" s="2" t="s">
        <v>140</v>
      </c>
      <c r="E370" s="2" t="s">
        <v>11</v>
      </c>
      <c r="F370" s="15" t="str">
        <f>"4960"</f>
        <v>4960</v>
      </c>
      <c r="G370" s="2">
        <v>67.707999999999998</v>
      </c>
      <c r="H370" s="2" t="s">
        <v>12</v>
      </c>
      <c r="I370" s="2" t="s">
        <v>88</v>
      </c>
      <c r="J370" s="2" t="s">
        <v>134</v>
      </c>
      <c r="K370" s="3">
        <v>43145.729166666664</v>
      </c>
      <c r="L370" s="4">
        <v>43145</v>
      </c>
      <c r="M370" s="8">
        <v>43145</v>
      </c>
      <c r="N370" s="13"/>
    </row>
    <row r="371" spans="1:14" x14ac:dyDescent="0.15">
      <c r="A371" s="5">
        <v>1800081000000000</v>
      </c>
      <c r="B371" s="2" t="s">
        <v>91</v>
      </c>
      <c r="C371" s="2" t="s">
        <v>92</v>
      </c>
      <c r="D371" s="2" t="s">
        <v>139</v>
      </c>
      <c r="E371" s="2" t="s">
        <v>11</v>
      </c>
      <c r="F371" s="15" t="str">
        <f>"3131"</f>
        <v>3131</v>
      </c>
      <c r="G371" s="2">
        <v>67.707999999999998</v>
      </c>
      <c r="H371" s="2" t="s">
        <v>12</v>
      </c>
      <c r="I371" s="2" t="s">
        <v>88</v>
      </c>
      <c r="J371" s="2" t="s">
        <v>134</v>
      </c>
      <c r="K371" s="3">
        <v>43145.729166666664</v>
      </c>
      <c r="L371" s="4">
        <v>43145</v>
      </c>
      <c r="M371" s="8">
        <v>43145</v>
      </c>
      <c r="N371" s="13"/>
    </row>
    <row r="372" spans="1:14" x14ac:dyDescent="0.15">
      <c r="A372" s="5">
        <v>1800082600000000</v>
      </c>
      <c r="B372" s="2" t="s">
        <v>132</v>
      </c>
      <c r="C372" s="2" t="s">
        <v>133</v>
      </c>
      <c r="D372" s="2" t="s">
        <v>141</v>
      </c>
      <c r="E372" s="2" t="s">
        <v>47</v>
      </c>
      <c r="F372" s="15" t="str">
        <f>"1000"</f>
        <v>1000</v>
      </c>
      <c r="G372" s="2">
        <v>104.95</v>
      </c>
      <c r="H372" s="2" t="s">
        <v>12</v>
      </c>
      <c r="I372" s="2" t="s">
        <v>88</v>
      </c>
      <c r="J372" s="2" t="s">
        <v>125</v>
      </c>
      <c r="K372" s="3">
        <v>43146.40625</v>
      </c>
      <c r="L372" s="4">
        <v>43146</v>
      </c>
      <c r="M372" s="8">
        <v>43146</v>
      </c>
      <c r="N372" s="13"/>
    </row>
    <row r="373" spans="1:14" x14ac:dyDescent="0.15">
      <c r="A373" s="5">
        <v>1800083100000000</v>
      </c>
      <c r="B373" s="2" t="s">
        <v>99</v>
      </c>
      <c r="C373" s="2" t="s">
        <v>100</v>
      </c>
      <c r="D373" s="2" t="s">
        <v>141</v>
      </c>
      <c r="E373" s="2" t="s">
        <v>47</v>
      </c>
      <c r="F373" s="15" t="str">
        <f>"5000"</f>
        <v>5000</v>
      </c>
      <c r="G373" s="2">
        <v>19.247</v>
      </c>
      <c r="H373" s="2" t="s">
        <v>12</v>
      </c>
      <c r="I373" s="2" t="s">
        <v>88</v>
      </c>
      <c r="J373" s="2" t="s">
        <v>46</v>
      </c>
      <c r="K373" s="3">
        <v>43146.649305555555</v>
      </c>
      <c r="L373" s="4">
        <v>43146</v>
      </c>
      <c r="M373" s="8">
        <v>43146</v>
      </c>
      <c r="N373" s="13"/>
    </row>
    <row r="374" spans="1:14" x14ac:dyDescent="0.15">
      <c r="A374" s="5">
        <v>1800083800000000</v>
      </c>
      <c r="B374" s="2" t="s">
        <v>113</v>
      </c>
      <c r="C374" s="2" t="s">
        <v>114</v>
      </c>
      <c r="D374" s="2" t="s">
        <v>141</v>
      </c>
      <c r="E374" s="2" t="s">
        <v>47</v>
      </c>
      <c r="F374" s="15" t="str">
        <f>"1000"</f>
        <v>1000</v>
      </c>
      <c r="G374" s="2">
        <v>88.058000000000007</v>
      </c>
      <c r="H374" s="2" t="s">
        <v>12</v>
      </c>
      <c r="I374" s="2" t="s">
        <v>88</v>
      </c>
      <c r="J374" s="2" t="s">
        <v>46</v>
      </c>
      <c r="K374" s="3">
        <v>43147.385416666664</v>
      </c>
      <c r="L374" s="4">
        <v>43147</v>
      </c>
      <c r="M374" s="8">
        <v>43147</v>
      </c>
      <c r="N374" s="13"/>
    </row>
    <row r="375" spans="1:14" x14ac:dyDescent="0.15">
      <c r="A375" s="5">
        <v>1800084600000000</v>
      </c>
      <c r="B375" s="2" t="s">
        <v>86</v>
      </c>
      <c r="C375" s="2" t="s">
        <v>87</v>
      </c>
      <c r="D375" s="2" t="s">
        <v>144</v>
      </c>
      <c r="E375" s="2" t="s">
        <v>11</v>
      </c>
      <c r="F375" s="15" t="str">
        <f>"1110"</f>
        <v>1110</v>
      </c>
      <c r="G375" s="2" t="str">
        <f>"102"</f>
        <v>102</v>
      </c>
      <c r="H375" s="2" t="s">
        <v>12</v>
      </c>
      <c r="I375" s="2" t="s">
        <v>88</v>
      </c>
      <c r="J375" s="2" t="s">
        <v>125</v>
      </c>
      <c r="K375" s="3">
        <v>43147.578472222223</v>
      </c>
      <c r="L375" s="4">
        <v>43147</v>
      </c>
      <c r="M375" s="8">
        <v>43147</v>
      </c>
      <c r="N375" s="13"/>
    </row>
    <row r="376" spans="1:14" x14ac:dyDescent="0.15">
      <c r="A376" s="5">
        <v>1800084800000000</v>
      </c>
      <c r="B376" s="2" t="s">
        <v>89</v>
      </c>
      <c r="C376" s="2" t="s">
        <v>90</v>
      </c>
      <c r="D376" s="2" t="s">
        <v>144</v>
      </c>
      <c r="E376" s="2" t="s">
        <v>11</v>
      </c>
      <c r="F376" s="15" t="str">
        <f>"2520"</f>
        <v>2520</v>
      </c>
      <c r="G376" s="2">
        <v>33.68</v>
      </c>
      <c r="H376" s="2" t="s">
        <v>12</v>
      </c>
      <c r="I376" s="2" t="s">
        <v>88</v>
      </c>
      <c r="J376" s="2" t="s">
        <v>125</v>
      </c>
      <c r="K376" s="3">
        <v>43147.578472222223</v>
      </c>
      <c r="L376" s="4">
        <v>43147</v>
      </c>
      <c r="M376" s="8">
        <v>43147</v>
      </c>
      <c r="N376" s="13"/>
    </row>
    <row r="377" spans="1:14" x14ac:dyDescent="0.15">
      <c r="A377" s="5">
        <v>1800084900000000</v>
      </c>
      <c r="B377" s="2" t="s">
        <v>91</v>
      </c>
      <c r="C377" s="2" t="s">
        <v>92</v>
      </c>
      <c r="D377" s="2" t="s">
        <v>144</v>
      </c>
      <c r="E377" s="2" t="s">
        <v>11</v>
      </c>
      <c r="F377" s="15" t="str">
        <f>"940"</f>
        <v>940</v>
      </c>
      <c r="G377" s="2">
        <v>67.7</v>
      </c>
      <c r="H377" s="2" t="s">
        <v>12</v>
      </c>
      <c r="I377" s="2" t="s">
        <v>88</v>
      </c>
      <c r="J377" s="2" t="s">
        <v>125</v>
      </c>
      <c r="K377" s="3">
        <v>43147.578472222223</v>
      </c>
      <c r="L377" s="4">
        <v>43147</v>
      </c>
      <c r="M377" s="8">
        <v>43147</v>
      </c>
      <c r="N377" s="13"/>
    </row>
    <row r="378" spans="1:14" x14ac:dyDescent="0.15">
      <c r="A378" s="5">
        <v>1800085200000000</v>
      </c>
      <c r="B378" s="2" t="s">
        <v>93</v>
      </c>
      <c r="C378" s="2" t="s">
        <v>94</v>
      </c>
      <c r="D378" s="2" t="s">
        <v>144</v>
      </c>
      <c r="E378" s="2" t="s">
        <v>11</v>
      </c>
      <c r="F378" s="15" t="str">
        <f>"4350"</f>
        <v>4350</v>
      </c>
      <c r="G378" s="2">
        <v>25.22</v>
      </c>
      <c r="H378" s="2" t="s">
        <v>12</v>
      </c>
      <c r="I378" s="2" t="s">
        <v>88</v>
      </c>
      <c r="J378" s="2" t="s">
        <v>125</v>
      </c>
      <c r="K378" s="3">
        <v>43147.578472222223</v>
      </c>
      <c r="L378" s="4">
        <v>43147</v>
      </c>
      <c r="M378" s="8">
        <v>43147</v>
      </c>
      <c r="N378" s="13"/>
    </row>
    <row r="379" spans="1:14" x14ac:dyDescent="0.15">
      <c r="A379" s="5">
        <v>1800085300000000</v>
      </c>
      <c r="B379" s="2" t="s">
        <v>95</v>
      </c>
      <c r="C379" s="2" t="s">
        <v>96</v>
      </c>
      <c r="D379" s="2" t="s">
        <v>144</v>
      </c>
      <c r="E379" s="2" t="s">
        <v>11</v>
      </c>
      <c r="F379" s="15" t="str">
        <f>"1880"</f>
        <v>1880</v>
      </c>
      <c r="G379" s="2">
        <v>64.650000000000006</v>
      </c>
      <c r="H379" s="2" t="s">
        <v>12</v>
      </c>
      <c r="I379" s="2" t="s">
        <v>88</v>
      </c>
      <c r="J379" s="2" t="s">
        <v>125</v>
      </c>
      <c r="K379" s="3">
        <v>43147.578472222223</v>
      </c>
      <c r="L379" s="4">
        <v>43147</v>
      </c>
      <c r="M379" s="8">
        <v>43147</v>
      </c>
      <c r="N379" s="13"/>
    </row>
    <row r="380" spans="1:14" x14ac:dyDescent="0.15">
      <c r="A380" s="18">
        <v>1800085400000000</v>
      </c>
      <c r="B380" s="19" t="s">
        <v>97</v>
      </c>
      <c r="C380" s="19" t="s">
        <v>98</v>
      </c>
      <c r="D380" s="19" t="s">
        <v>144</v>
      </c>
      <c r="E380" s="19" t="s">
        <v>11</v>
      </c>
      <c r="F380" s="20" t="str">
        <f>"2480"</f>
        <v>2480</v>
      </c>
      <c r="G380" s="19">
        <v>21.5</v>
      </c>
      <c r="H380" s="19" t="s">
        <v>12</v>
      </c>
      <c r="I380" s="19" t="s">
        <v>88</v>
      </c>
      <c r="J380" s="19" t="s">
        <v>125</v>
      </c>
      <c r="K380" s="21">
        <v>43147.578472222223</v>
      </c>
      <c r="L380" s="29">
        <v>43147</v>
      </c>
      <c r="M380" s="22">
        <v>43147</v>
      </c>
      <c r="N380" s="13" t="s">
        <v>148</v>
      </c>
    </row>
    <row r="381" spans="1:14" x14ac:dyDescent="0.15">
      <c r="A381" s="5">
        <v>1800085500000000</v>
      </c>
      <c r="B381" s="2" t="s">
        <v>99</v>
      </c>
      <c r="C381" s="2" t="s">
        <v>100</v>
      </c>
      <c r="D381" s="2" t="s">
        <v>144</v>
      </c>
      <c r="E381" s="2" t="s">
        <v>11</v>
      </c>
      <c r="F381" s="15" t="str">
        <f>"3900"</f>
        <v>3900</v>
      </c>
      <c r="G381" s="2">
        <v>19.53</v>
      </c>
      <c r="H381" s="2" t="s">
        <v>12</v>
      </c>
      <c r="I381" s="2" t="s">
        <v>88</v>
      </c>
      <c r="J381" s="2" t="s">
        <v>125</v>
      </c>
      <c r="K381" s="3">
        <v>43147.578472222223</v>
      </c>
      <c r="L381" s="4">
        <v>43147</v>
      </c>
      <c r="M381" s="8">
        <v>43147</v>
      </c>
      <c r="N381" s="13"/>
    </row>
    <row r="382" spans="1:14" x14ac:dyDescent="0.15">
      <c r="A382" s="5">
        <v>1800085700000000</v>
      </c>
      <c r="B382" s="2" t="s">
        <v>101</v>
      </c>
      <c r="C382" s="2" t="s">
        <v>102</v>
      </c>
      <c r="D382" s="2" t="s">
        <v>144</v>
      </c>
      <c r="E382" s="2" t="s">
        <v>11</v>
      </c>
      <c r="F382" s="15" t="str">
        <f>"870"</f>
        <v>870</v>
      </c>
      <c r="G382" s="2">
        <v>103.85</v>
      </c>
      <c r="H382" s="2" t="s">
        <v>12</v>
      </c>
      <c r="I382" s="2" t="s">
        <v>88</v>
      </c>
      <c r="J382" s="2" t="s">
        <v>125</v>
      </c>
      <c r="K382" s="3">
        <v>43147.578472222223</v>
      </c>
      <c r="L382" s="4">
        <v>43147</v>
      </c>
      <c r="M382" s="8">
        <v>43147</v>
      </c>
      <c r="N382" s="13"/>
    </row>
    <row r="383" spans="1:14" x14ac:dyDescent="0.15">
      <c r="A383" s="5">
        <v>1800086200000000</v>
      </c>
      <c r="B383" s="2" t="s">
        <v>103</v>
      </c>
      <c r="C383" s="2" t="s">
        <v>104</v>
      </c>
      <c r="D383" s="2" t="s">
        <v>144</v>
      </c>
      <c r="E383" s="2" t="s">
        <v>11</v>
      </c>
      <c r="F383" s="15" t="str">
        <f>"1540"</f>
        <v>1540</v>
      </c>
      <c r="G383" s="2">
        <v>72.680000000000007</v>
      </c>
      <c r="H383" s="2" t="s">
        <v>12</v>
      </c>
      <c r="I383" s="2" t="s">
        <v>88</v>
      </c>
      <c r="J383" s="2" t="s">
        <v>52</v>
      </c>
      <c r="K383" s="3">
        <v>43147.578472222223</v>
      </c>
      <c r="L383" s="4">
        <v>43147</v>
      </c>
      <c r="M383" s="8">
        <v>43147</v>
      </c>
      <c r="N383" s="13"/>
    </row>
    <row r="384" spans="1:14" x14ac:dyDescent="0.15">
      <c r="A384" s="5">
        <v>1800086400000000</v>
      </c>
      <c r="B384" s="2" t="s">
        <v>105</v>
      </c>
      <c r="C384" s="2" t="s">
        <v>106</v>
      </c>
      <c r="D384" s="2" t="s">
        <v>144</v>
      </c>
      <c r="E384" s="2" t="s">
        <v>11</v>
      </c>
      <c r="F384" s="15" t="str">
        <f>"1000"</f>
        <v>1000</v>
      </c>
      <c r="G384" s="2">
        <v>62.88</v>
      </c>
      <c r="H384" s="2" t="s">
        <v>12</v>
      </c>
      <c r="I384" s="2" t="s">
        <v>88</v>
      </c>
      <c r="J384" s="2" t="s">
        <v>125</v>
      </c>
      <c r="K384" s="3">
        <v>43147.578472222223</v>
      </c>
      <c r="L384" s="4">
        <v>43147</v>
      </c>
      <c r="M384" s="8">
        <v>43147</v>
      </c>
      <c r="N384" s="13"/>
    </row>
    <row r="385" spans="1:14" x14ac:dyDescent="0.15">
      <c r="A385" s="5">
        <v>1800086700000000</v>
      </c>
      <c r="B385" s="2" t="s">
        <v>107</v>
      </c>
      <c r="C385" s="2" t="s">
        <v>108</v>
      </c>
      <c r="D385" s="2" t="s">
        <v>144</v>
      </c>
      <c r="E385" s="2" t="s">
        <v>11</v>
      </c>
      <c r="F385" s="15" t="str">
        <f>"510"</f>
        <v>510</v>
      </c>
      <c r="G385" s="2">
        <v>176.8</v>
      </c>
      <c r="H385" s="2" t="s">
        <v>12</v>
      </c>
      <c r="I385" s="2" t="s">
        <v>88</v>
      </c>
      <c r="J385" s="2" t="s">
        <v>125</v>
      </c>
      <c r="K385" s="3">
        <v>43147.578472222223</v>
      </c>
      <c r="L385" s="4">
        <v>43147</v>
      </c>
      <c r="M385" s="8">
        <v>43147</v>
      </c>
      <c r="N385" s="13"/>
    </row>
    <row r="386" spans="1:14" x14ac:dyDescent="0.15">
      <c r="A386" s="5">
        <v>1800086800000000</v>
      </c>
      <c r="B386" s="2" t="s">
        <v>111</v>
      </c>
      <c r="C386" s="2" t="s">
        <v>112</v>
      </c>
      <c r="D386" s="2" t="s">
        <v>144</v>
      </c>
      <c r="E386" s="2" t="s">
        <v>11</v>
      </c>
      <c r="F386" s="15" t="str">
        <f>"2000"</f>
        <v>2000</v>
      </c>
      <c r="G386" s="2">
        <v>62.66</v>
      </c>
      <c r="H386" s="2" t="s">
        <v>12</v>
      </c>
      <c r="I386" s="2" t="s">
        <v>88</v>
      </c>
      <c r="J386" s="2" t="s">
        <v>125</v>
      </c>
      <c r="K386" s="3">
        <v>43147.578472222223</v>
      </c>
      <c r="L386" s="4">
        <v>43147</v>
      </c>
      <c r="M386" s="8">
        <v>43147</v>
      </c>
      <c r="N386" s="13"/>
    </row>
    <row r="387" spans="1:14" x14ac:dyDescent="0.15">
      <c r="A387" s="5">
        <v>1800086900000000</v>
      </c>
      <c r="B387" s="2" t="s">
        <v>113</v>
      </c>
      <c r="C387" s="2" t="s">
        <v>114</v>
      </c>
      <c r="D387" s="2" t="s">
        <v>144</v>
      </c>
      <c r="E387" s="2" t="s">
        <v>11</v>
      </c>
      <c r="F387" s="15" t="str">
        <f>"960"</f>
        <v>960</v>
      </c>
      <c r="G387" s="2">
        <v>87.8</v>
      </c>
      <c r="H387" s="2" t="s">
        <v>12</v>
      </c>
      <c r="I387" s="2" t="s">
        <v>88</v>
      </c>
      <c r="J387" s="2" t="s">
        <v>125</v>
      </c>
      <c r="K387" s="3">
        <v>43147.578472222223</v>
      </c>
      <c r="L387" s="4">
        <v>43147</v>
      </c>
      <c r="M387" s="8">
        <v>43147</v>
      </c>
      <c r="N387" s="13"/>
    </row>
    <row r="388" spans="1:14" x14ac:dyDescent="0.15">
      <c r="A388" s="5">
        <v>1800087000000000</v>
      </c>
      <c r="B388" s="2" t="s">
        <v>115</v>
      </c>
      <c r="C388" s="2" t="s">
        <v>116</v>
      </c>
      <c r="D388" s="2" t="s">
        <v>144</v>
      </c>
      <c r="E388" s="2" t="s">
        <v>11</v>
      </c>
      <c r="F388" s="15" t="str">
        <f>"3860"</f>
        <v>3860</v>
      </c>
      <c r="G388" s="2">
        <v>14.705</v>
      </c>
      <c r="H388" s="2" t="s">
        <v>12</v>
      </c>
      <c r="I388" s="2" t="s">
        <v>88</v>
      </c>
      <c r="J388" s="2" t="s">
        <v>125</v>
      </c>
      <c r="K388" s="3">
        <v>43147.578472222223</v>
      </c>
      <c r="L388" s="4">
        <v>43147</v>
      </c>
      <c r="M388" s="8">
        <v>43147</v>
      </c>
      <c r="N388" s="13"/>
    </row>
    <row r="389" spans="1:14" x14ac:dyDescent="0.15">
      <c r="A389" s="5">
        <v>1800087100000000</v>
      </c>
      <c r="B389" s="2" t="s">
        <v>117</v>
      </c>
      <c r="C389" s="2" t="s">
        <v>118</v>
      </c>
      <c r="D389" s="2" t="s">
        <v>144</v>
      </c>
      <c r="E389" s="2" t="s">
        <v>11</v>
      </c>
      <c r="F389" s="15" t="str">
        <f>"2640"</f>
        <v>2640</v>
      </c>
      <c r="G389" s="2">
        <v>43.62</v>
      </c>
      <c r="H389" s="2" t="s">
        <v>12</v>
      </c>
      <c r="I389" s="2" t="s">
        <v>88</v>
      </c>
      <c r="J389" s="2" t="s">
        <v>125</v>
      </c>
      <c r="K389" s="3">
        <v>43147.578472222223</v>
      </c>
      <c r="L389" s="4">
        <v>43147</v>
      </c>
      <c r="M389" s="8">
        <v>43147</v>
      </c>
      <c r="N389" s="13"/>
    </row>
    <row r="390" spans="1:14" x14ac:dyDescent="0.15">
      <c r="A390" s="5">
        <v>1800087200000000</v>
      </c>
      <c r="B390" s="2" t="s">
        <v>119</v>
      </c>
      <c r="C390" s="2" t="s">
        <v>120</v>
      </c>
      <c r="D390" s="2" t="s">
        <v>144</v>
      </c>
      <c r="E390" s="2" t="s">
        <v>11</v>
      </c>
      <c r="F390" s="15" t="str">
        <f>"2190"</f>
        <v>2190</v>
      </c>
      <c r="G390" s="2">
        <v>64.5</v>
      </c>
      <c r="H390" s="2" t="s">
        <v>12</v>
      </c>
      <c r="I390" s="2" t="s">
        <v>88</v>
      </c>
      <c r="J390" s="2" t="s">
        <v>125</v>
      </c>
      <c r="K390" s="3">
        <v>43147.578472222223</v>
      </c>
      <c r="L390" s="4">
        <v>43147</v>
      </c>
      <c r="M390" s="8">
        <v>43147</v>
      </c>
      <c r="N390" s="13"/>
    </row>
    <row r="391" spans="1:14" x14ac:dyDescent="0.15">
      <c r="A391" s="5">
        <v>1800087300000000</v>
      </c>
      <c r="B391" s="2" t="s">
        <v>121</v>
      </c>
      <c r="C391" s="2" t="s">
        <v>122</v>
      </c>
      <c r="D391" s="2" t="s">
        <v>144</v>
      </c>
      <c r="E391" s="2" t="s">
        <v>11</v>
      </c>
      <c r="F391" s="15" t="str">
        <f>"1340"</f>
        <v>1340</v>
      </c>
      <c r="G391" s="2">
        <v>72.16</v>
      </c>
      <c r="H391" s="2" t="s">
        <v>12</v>
      </c>
      <c r="I391" s="2" t="s">
        <v>88</v>
      </c>
      <c r="J391" s="2" t="s">
        <v>125</v>
      </c>
      <c r="K391" s="3">
        <v>43147.578472222223</v>
      </c>
      <c r="L391" s="4">
        <v>43147</v>
      </c>
      <c r="M391" s="8">
        <v>43147</v>
      </c>
      <c r="N391" s="13"/>
    </row>
    <row r="392" spans="1:14" x14ac:dyDescent="0.15">
      <c r="A392" s="5">
        <v>1800087500000000</v>
      </c>
      <c r="B392" s="2" t="s">
        <v>123</v>
      </c>
      <c r="C392" s="2" t="s">
        <v>124</v>
      </c>
      <c r="D392" s="2" t="s">
        <v>144</v>
      </c>
      <c r="E392" s="2" t="s">
        <v>11</v>
      </c>
      <c r="F392" s="15" t="str">
        <f>"1420"</f>
        <v>1420</v>
      </c>
      <c r="G392" s="2">
        <v>56.1</v>
      </c>
      <c r="H392" s="2" t="s">
        <v>12</v>
      </c>
      <c r="I392" s="2" t="s">
        <v>88</v>
      </c>
      <c r="J392" s="2" t="s">
        <v>52</v>
      </c>
      <c r="K392" s="3">
        <v>43147.578472222223</v>
      </c>
      <c r="L392" s="4">
        <v>43147</v>
      </c>
      <c r="M392" s="8">
        <v>43147</v>
      </c>
      <c r="N392" s="13"/>
    </row>
    <row r="393" spans="1:14" x14ac:dyDescent="0.15">
      <c r="A393" s="5">
        <v>1800089500000000</v>
      </c>
      <c r="B393" s="2" t="s">
        <v>128</v>
      </c>
      <c r="C393" s="2" t="s">
        <v>129</v>
      </c>
      <c r="D393" s="2" t="s">
        <v>141</v>
      </c>
      <c r="E393" s="2" t="s">
        <v>11</v>
      </c>
      <c r="F393" s="15" t="str">
        <f>"10000"</f>
        <v>10000</v>
      </c>
      <c r="G393" s="2">
        <v>10.038</v>
      </c>
      <c r="H393" s="2" t="s">
        <v>12</v>
      </c>
      <c r="I393" s="2" t="s">
        <v>88</v>
      </c>
      <c r="J393" s="2" t="s">
        <v>84</v>
      </c>
      <c r="K393" s="3">
        <v>43147.670138888891</v>
      </c>
      <c r="L393" s="4">
        <v>43147</v>
      </c>
      <c r="M393" s="8">
        <v>43147</v>
      </c>
      <c r="N393" s="13"/>
    </row>
    <row r="394" spans="1:14" x14ac:dyDescent="0.15">
      <c r="A394" s="5">
        <v>1800089700000000</v>
      </c>
      <c r="B394" s="2" t="s">
        <v>126</v>
      </c>
      <c r="C394" s="2" t="s">
        <v>127</v>
      </c>
      <c r="D394" s="2" t="s">
        <v>141</v>
      </c>
      <c r="E394" s="2" t="s">
        <v>11</v>
      </c>
      <c r="F394" s="15" t="str">
        <f>"1000"</f>
        <v>1000</v>
      </c>
      <c r="G394" s="2">
        <v>91.3</v>
      </c>
      <c r="H394" s="2" t="s">
        <v>12</v>
      </c>
      <c r="I394" s="2" t="s">
        <v>88</v>
      </c>
      <c r="J394" s="2" t="s">
        <v>134</v>
      </c>
      <c r="K394" s="3">
        <v>43147.728472222225</v>
      </c>
      <c r="L394" s="4">
        <v>43147</v>
      </c>
      <c r="M394" s="8">
        <v>43147</v>
      </c>
      <c r="N394" s="13"/>
    </row>
    <row r="395" spans="1:14" x14ac:dyDescent="0.15">
      <c r="A395" s="5">
        <v>1800089800000000</v>
      </c>
      <c r="B395" s="2" t="s">
        <v>128</v>
      </c>
      <c r="C395" s="2" t="s">
        <v>129</v>
      </c>
      <c r="D395" s="2" t="s">
        <v>141</v>
      </c>
      <c r="E395" s="2" t="s">
        <v>11</v>
      </c>
      <c r="F395" s="15" t="str">
        <f>"10000"</f>
        <v>10000</v>
      </c>
      <c r="G395" s="2">
        <v>10.02</v>
      </c>
      <c r="H395" s="2" t="s">
        <v>12</v>
      </c>
      <c r="I395" s="2" t="s">
        <v>88</v>
      </c>
      <c r="J395" s="2" t="s">
        <v>134</v>
      </c>
      <c r="K395" s="3">
        <v>43147.728472222225</v>
      </c>
      <c r="L395" s="4">
        <v>43147</v>
      </c>
      <c r="M395" s="8">
        <v>43147</v>
      </c>
      <c r="N395" s="13"/>
    </row>
    <row r="396" spans="1:14" x14ac:dyDescent="0.15">
      <c r="A396" s="5">
        <v>1800098900000000</v>
      </c>
      <c r="B396" s="2" t="s">
        <v>128</v>
      </c>
      <c r="C396" s="2" t="s">
        <v>129</v>
      </c>
      <c r="D396" s="2" t="s">
        <v>141</v>
      </c>
      <c r="E396" s="2" t="s">
        <v>11</v>
      </c>
      <c r="F396" s="15" t="str">
        <f>"8000"</f>
        <v>8000</v>
      </c>
      <c r="G396" s="2">
        <v>9.8960000000000008</v>
      </c>
      <c r="H396" s="2" t="s">
        <v>12</v>
      </c>
      <c r="I396" s="2" t="s">
        <v>88</v>
      </c>
      <c r="J396" s="2" t="s">
        <v>50</v>
      </c>
      <c r="K396" s="3">
        <v>43154.722916666666</v>
      </c>
      <c r="L396" s="4">
        <v>43154</v>
      </c>
      <c r="M396" s="8">
        <v>43154</v>
      </c>
      <c r="N396" s="13"/>
    </row>
    <row r="397" spans="1:14" x14ac:dyDescent="0.15">
      <c r="A397" s="5">
        <v>1800099200000000</v>
      </c>
      <c r="B397" s="2" t="s">
        <v>128</v>
      </c>
      <c r="C397" s="2" t="s">
        <v>129</v>
      </c>
      <c r="D397" s="2" t="s">
        <v>141</v>
      </c>
      <c r="E397" s="2" t="s">
        <v>47</v>
      </c>
      <c r="F397" s="15" t="str">
        <f>"3000"</f>
        <v>3000</v>
      </c>
      <c r="G397" s="2">
        <v>10.255000000000001</v>
      </c>
      <c r="H397" s="2" t="s">
        <v>12</v>
      </c>
      <c r="I397" s="2" t="s">
        <v>88</v>
      </c>
      <c r="J397" s="2" t="s">
        <v>125</v>
      </c>
      <c r="K397" s="3">
        <v>43157.67083333333</v>
      </c>
      <c r="L397" s="4">
        <v>43157</v>
      </c>
      <c r="M397" s="8">
        <v>43157</v>
      </c>
      <c r="N397" s="13"/>
    </row>
    <row r="398" spans="1:14" x14ac:dyDescent="0.15">
      <c r="A398" s="5">
        <v>1800099600000000</v>
      </c>
      <c r="B398" s="2" t="s">
        <v>135</v>
      </c>
      <c r="C398" s="2" t="s">
        <v>136</v>
      </c>
      <c r="D398" s="2" t="s">
        <v>141</v>
      </c>
      <c r="E398" s="2" t="s">
        <v>47</v>
      </c>
      <c r="F398" s="15" t="str">
        <f>"1000"</f>
        <v>1000</v>
      </c>
      <c r="G398" s="2">
        <v>161.90199999999999</v>
      </c>
      <c r="H398" s="2" t="s">
        <v>12</v>
      </c>
      <c r="I398" s="2" t="s">
        <v>88</v>
      </c>
      <c r="J398" s="2" t="s">
        <v>52</v>
      </c>
      <c r="K398" s="3">
        <v>43158.399305555555</v>
      </c>
      <c r="L398" s="4">
        <v>43158</v>
      </c>
      <c r="M398" s="8">
        <v>43158</v>
      </c>
      <c r="N398" s="13"/>
    </row>
    <row r="399" spans="1:14" x14ac:dyDescent="0.15">
      <c r="A399" s="5">
        <v>1800099700000000</v>
      </c>
      <c r="B399" s="2" t="s">
        <v>126</v>
      </c>
      <c r="C399" s="2" t="s">
        <v>127</v>
      </c>
      <c r="D399" s="2" t="s">
        <v>141</v>
      </c>
      <c r="E399" s="2" t="s">
        <v>11</v>
      </c>
      <c r="F399" s="15" t="str">
        <f>"2000"</f>
        <v>2000</v>
      </c>
      <c r="G399" s="2">
        <v>70.843000000000004</v>
      </c>
      <c r="H399" s="2" t="s">
        <v>12</v>
      </c>
      <c r="I399" s="2" t="s">
        <v>88</v>
      </c>
      <c r="J399" s="2" t="s">
        <v>134</v>
      </c>
      <c r="K399" s="3">
        <v>43158.441666666666</v>
      </c>
      <c r="L399" s="4">
        <v>43158</v>
      </c>
      <c r="M399" s="8">
        <v>43158</v>
      </c>
      <c r="N399" s="13"/>
    </row>
    <row r="400" spans="1:14" x14ac:dyDescent="0.15">
      <c r="A400" s="5">
        <v>1800100100000000</v>
      </c>
      <c r="B400" s="2" t="s">
        <v>132</v>
      </c>
      <c r="C400" s="2" t="s">
        <v>133</v>
      </c>
      <c r="D400" s="2" t="s">
        <v>141</v>
      </c>
      <c r="E400" s="2" t="s">
        <v>11</v>
      </c>
      <c r="F400" s="15" t="str">
        <f>"1000"</f>
        <v>1000</v>
      </c>
      <c r="G400" s="2">
        <v>102.45</v>
      </c>
      <c r="H400" s="2" t="s">
        <v>12</v>
      </c>
      <c r="I400" s="2" t="s">
        <v>88</v>
      </c>
      <c r="J400" s="2" t="s">
        <v>50</v>
      </c>
      <c r="K400" s="3">
        <v>43158.710416666669</v>
      </c>
      <c r="L400" s="4">
        <v>43158</v>
      </c>
      <c r="M400" s="8">
        <v>43158</v>
      </c>
      <c r="N400" s="13"/>
    </row>
    <row r="401" spans="1:14" x14ac:dyDescent="0.15">
      <c r="A401" s="5">
        <v>1800100200000000</v>
      </c>
      <c r="B401" s="2" t="s">
        <v>126</v>
      </c>
      <c r="C401" s="2" t="s">
        <v>127</v>
      </c>
      <c r="D401" s="2" t="s">
        <v>141</v>
      </c>
      <c r="E401" s="2" t="s">
        <v>11</v>
      </c>
      <c r="F401" s="15" t="str">
        <f>"2000"</f>
        <v>2000</v>
      </c>
      <c r="G401" s="2">
        <v>70.52</v>
      </c>
      <c r="H401" s="2" t="s">
        <v>12</v>
      </c>
      <c r="I401" s="2" t="s">
        <v>88</v>
      </c>
      <c r="J401" s="2" t="s">
        <v>50</v>
      </c>
      <c r="K401" s="3">
        <v>43158.710416666669</v>
      </c>
      <c r="L401" s="4">
        <v>43158</v>
      </c>
      <c r="M401" s="8">
        <v>43158</v>
      </c>
      <c r="N401" s="13"/>
    </row>
    <row r="402" spans="1:14" x14ac:dyDescent="0.15">
      <c r="A402" s="5">
        <v>1800100900000000</v>
      </c>
      <c r="B402" s="2" t="s">
        <v>128</v>
      </c>
      <c r="C402" s="2" t="s">
        <v>129</v>
      </c>
      <c r="D402" s="2" t="s">
        <v>141</v>
      </c>
      <c r="E402" s="2" t="s">
        <v>11</v>
      </c>
      <c r="F402" s="15" t="str">
        <f>"10000"</f>
        <v>10000</v>
      </c>
      <c r="G402" s="2">
        <v>9.7759999999999998</v>
      </c>
      <c r="H402" s="2" t="s">
        <v>12</v>
      </c>
      <c r="I402" s="2" t="s">
        <v>88</v>
      </c>
      <c r="J402" s="2" t="s">
        <v>125</v>
      </c>
      <c r="K402" s="3">
        <v>43159.718055555553</v>
      </c>
      <c r="L402" s="4">
        <v>43159</v>
      </c>
      <c r="M402" s="8">
        <v>43159</v>
      </c>
      <c r="N402" s="13"/>
    </row>
    <row r="403" spans="1:14" x14ac:dyDescent="0.15">
      <c r="A403" s="5">
        <v>1800101200000000</v>
      </c>
      <c r="B403" s="2" t="s">
        <v>117</v>
      </c>
      <c r="C403" s="2" t="s">
        <v>118</v>
      </c>
      <c r="D403" s="2" t="s">
        <v>141</v>
      </c>
      <c r="E403" s="2" t="s">
        <v>47</v>
      </c>
      <c r="F403" s="15" t="str">
        <f>"2000"</f>
        <v>2000</v>
      </c>
      <c r="G403" s="2">
        <v>46.686</v>
      </c>
      <c r="H403" s="2" t="s">
        <v>12</v>
      </c>
      <c r="I403" s="2" t="s">
        <v>88</v>
      </c>
      <c r="J403" s="2" t="s">
        <v>46</v>
      </c>
      <c r="K403" s="3">
        <v>43160.387499999997</v>
      </c>
      <c r="L403" s="4">
        <v>43160</v>
      </c>
      <c r="M403" s="8">
        <v>43160</v>
      </c>
      <c r="N403" s="13"/>
    </row>
    <row r="404" spans="1:14" x14ac:dyDescent="0.15">
      <c r="A404" s="5">
        <v>1800101300000000</v>
      </c>
      <c r="B404" s="2" t="s">
        <v>111</v>
      </c>
      <c r="C404" s="2" t="s">
        <v>112</v>
      </c>
      <c r="D404" s="2" t="s">
        <v>141</v>
      </c>
      <c r="E404" s="2" t="s">
        <v>11</v>
      </c>
      <c r="F404" s="15" t="str">
        <f>"4000"</f>
        <v>4000</v>
      </c>
      <c r="G404" s="2">
        <v>59.911999999999999</v>
      </c>
      <c r="H404" s="2" t="s">
        <v>12</v>
      </c>
      <c r="I404" s="2" t="s">
        <v>88</v>
      </c>
      <c r="J404" s="2" t="s">
        <v>46</v>
      </c>
      <c r="K404" s="3">
        <v>43160.399305555555</v>
      </c>
      <c r="L404" s="4">
        <v>43160</v>
      </c>
      <c r="M404" s="8">
        <v>43160</v>
      </c>
      <c r="N404" s="13"/>
    </row>
    <row r="405" spans="1:14" x14ac:dyDescent="0.15">
      <c r="A405" s="5">
        <v>1800101600000000</v>
      </c>
      <c r="B405" s="2" t="s">
        <v>113</v>
      </c>
      <c r="C405" s="2" t="s">
        <v>114</v>
      </c>
      <c r="D405" s="2" t="s">
        <v>141</v>
      </c>
      <c r="E405" s="2" t="s">
        <v>47</v>
      </c>
      <c r="F405" s="15" t="str">
        <f>"1000"</f>
        <v>1000</v>
      </c>
      <c r="G405" s="2">
        <v>89.549000000000007</v>
      </c>
      <c r="H405" s="2" t="s">
        <v>12</v>
      </c>
      <c r="I405" s="2" t="s">
        <v>88</v>
      </c>
      <c r="J405" s="2" t="s">
        <v>46</v>
      </c>
      <c r="K405" s="3">
        <v>43160.5</v>
      </c>
      <c r="L405" s="4">
        <v>43160</v>
      </c>
      <c r="M405" s="8">
        <v>43160</v>
      </c>
      <c r="N405" s="13"/>
    </row>
    <row r="406" spans="1:14" x14ac:dyDescent="0.15">
      <c r="A406" s="5">
        <v>1800102000000000</v>
      </c>
      <c r="B406" s="2" t="s">
        <v>115</v>
      </c>
      <c r="C406" s="2" t="s">
        <v>116</v>
      </c>
      <c r="D406" s="2" t="s">
        <v>140</v>
      </c>
      <c r="E406" s="2" t="s">
        <v>11</v>
      </c>
      <c r="F406" s="15" t="str">
        <f>"5000"</f>
        <v>5000</v>
      </c>
      <c r="G406" s="2">
        <v>14.205</v>
      </c>
      <c r="H406" s="2" t="s">
        <v>12</v>
      </c>
      <c r="I406" s="2" t="s">
        <v>88</v>
      </c>
      <c r="J406" s="2" t="s">
        <v>134</v>
      </c>
      <c r="K406" s="3">
        <v>43160.709027777775</v>
      </c>
      <c r="L406" s="4">
        <v>43160</v>
      </c>
      <c r="M406" s="8">
        <v>43160</v>
      </c>
      <c r="N406" s="13"/>
    </row>
    <row r="407" spans="1:14" x14ac:dyDescent="0.15">
      <c r="A407" s="5">
        <v>1800102800000000</v>
      </c>
      <c r="B407" s="2" t="s">
        <v>117</v>
      </c>
      <c r="C407" s="2" t="s">
        <v>118</v>
      </c>
      <c r="D407" s="2" t="s">
        <v>140</v>
      </c>
      <c r="E407" s="2" t="s">
        <v>11</v>
      </c>
      <c r="F407" s="15" t="str">
        <f>"2000"</f>
        <v>2000</v>
      </c>
      <c r="G407" s="2">
        <v>44.844999999999999</v>
      </c>
      <c r="H407" s="2" t="s">
        <v>12</v>
      </c>
      <c r="I407" s="2" t="s">
        <v>88</v>
      </c>
      <c r="J407" s="2" t="s">
        <v>50</v>
      </c>
      <c r="K407" s="3">
        <v>43161.717361111114</v>
      </c>
      <c r="L407" s="4">
        <v>43161</v>
      </c>
      <c r="M407" s="8">
        <v>43161</v>
      </c>
      <c r="N407" s="13"/>
    </row>
    <row r="408" spans="1:14" x14ac:dyDescent="0.15">
      <c r="A408" s="5">
        <v>1800103200000000</v>
      </c>
      <c r="B408" s="2" t="s">
        <v>99</v>
      </c>
      <c r="C408" s="2" t="s">
        <v>100</v>
      </c>
      <c r="D408" s="2" t="s">
        <v>140</v>
      </c>
      <c r="E408" s="2" t="s">
        <v>11</v>
      </c>
      <c r="F408" s="15" t="str">
        <f>"1000"</f>
        <v>1000</v>
      </c>
      <c r="G408" s="2">
        <v>17.395</v>
      </c>
      <c r="H408" s="2" t="s">
        <v>12</v>
      </c>
      <c r="I408" s="2" t="s">
        <v>88</v>
      </c>
      <c r="J408" s="2" t="s">
        <v>50</v>
      </c>
      <c r="K408" s="3">
        <v>43161.719444444447</v>
      </c>
      <c r="L408" s="4">
        <v>43161</v>
      </c>
      <c r="M408" s="8">
        <v>43161</v>
      </c>
      <c r="N408" s="13"/>
    </row>
    <row r="409" spans="1:14" x14ac:dyDescent="0.15">
      <c r="A409" s="5">
        <v>1800103300000000</v>
      </c>
      <c r="B409" s="2" t="s">
        <v>126</v>
      </c>
      <c r="C409" s="2" t="s">
        <v>127</v>
      </c>
      <c r="D409" s="2" t="s">
        <v>141</v>
      </c>
      <c r="E409" s="2" t="s">
        <v>11</v>
      </c>
      <c r="F409" s="15" t="str">
        <f>"2000"</f>
        <v>2000</v>
      </c>
      <c r="G409" s="2">
        <v>69.7</v>
      </c>
      <c r="H409" s="2" t="s">
        <v>12</v>
      </c>
      <c r="I409" s="2" t="s">
        <v>88</v>
      </c>
      <c r="J409" s="2" t="s">
        <v>50</v>
      </c>
      <c r="K409" s="3">
        <v>43161.724999999999</v>
      </c>
      <c r="L409" s="4">
        <v>43161</v>
      </c>
      <c r="M409" s="8">
        <v>43161</v>
      </c>
      <c r="N409" s="13"/>
    </row>
    <row r="410" spans="1:14" x14ac:dyDescent="0.15">
      <c r="A410" s="5">
        <v>1800103400000000</v>
      </c>
      <c r="B410" s="2" t="s">
        <v>103</v>
      </c>
      <c r="C410" s="2" t="s">
        <v>104</v>
      </c>
      <c r="D410" s="2" t="s">
        <v>141</v>
      </c>
      <c r="E410" s="2" t="s">
        <v>47</v>
      </c>
      <c r="F410" s="15" t="str">
        <f>"1000"</f>
        <v>1000</v>
      </c>
      <c r="G410" s="2">
        <v>74.375</v>
      </c>
      <c r="H410" s="2" t="s">
        <v>12</v>
      </c>
      <c r="I410" s="2" t="s">
        <v>88</v>
      </c>
      <c r="J410" s="2" t="s">
        <v>14</v>
      </c>
      <c r="K410" s="3">
        <v>43164.418749999997</v>
      </c>
      <c r="L410" s="4">
        <v>43164</v>
      </c>
      <c r="M410" s="8">
        <v>43164</v>
      </c>
      <c r="N410" s="13"/>
    </row>
    <row r="411" spans="1:14" x14ac:dyDescent="0.15">
      <c r="A411" s="5">
        <v>1800103900000000</v>
      </c>
      <c r="B411" s="2" t="s">
        <v>93</v>
      </c>
      <c r="C411" s="2" t="s">
        <v>94</v>
      </c>
      <c r="D411" s="2" t="s">
        <v>141</v>
      </c>
      <c r="E411" s="2" t="s">
        <v>11</v>
      </c>
      <c r="F411" s="15" t="str">
        <f>"5000"</f>
        <v>5000</v>
      </c>
      <c r="G411" s="2">
        <v>22.62</v>
      </c>
      <c r="H411" s="2" t="s">
        <v>12</v>
      </c>
      <c r="I411" s="2" t="s">
        <v>88</v>
      </c>
      <c r="J411" s="2" t="s">
        <v>46</v>
      </c>
      <c r="K411" s="3">
        <v>43164.65902777778</v>
      </c>
      <c r="L411" s="4">
        <v>43164</v>
      </c>
      <c r="M411" s="8">
        <v>43164</v>
      </c>
      <c r="N411" s="13"/>
    </row>
    <row r="412" spans="1:14" x14ac:dyDescent="0.15">
      <c r="A412" s="5">
        <v>1800104300000000</v>
      </c>
      <c r="B412" s="2" t="s">
        <v>93</v>
      </c>
      <c r="C412" s="2" t="s">
        <v>94</v>
      </c>
      <c r="D412" s="2" t="s">
        <v>142</v>
      </c>
      <c r="E412" s="2" t="s">
        <v>11</v>
      </c>
      <c r="F412" s="15" t="str">
        <f>"22000"</f>
        <v>22000</v>
      </c>
      <c r="G412" s="2">
        <v>23.007999999999999</v>
      </c>
      <c r="H412" s="2" t="s">
        <v>12</v>
      </c>
      <c r="I412" s="2" t="s">
        <v>88</v>
      </c>
      <c r="J412" s="2" t="s">
        <v>125</v>
      </c>
      <c r="K412" s="3">
        <v>43165.461805555555</v>
      </c>
      <c r="L412" s="4">
        <v>43165</v>
      </c>
      <c r="M412" s="8">
        <v>43165</v>
      </c>
      <c r="N412" s="13"/>
    </row>
    <row r="413" spans="1:14" x14ac:dyDescent="0.15">
      <c r="A413" s="5">
        <v>1800104500000000</v>
      </c>
      <c r="B413" s="2" t="s">
        <v>93</v>
      </c>
      <c r="C413" s="2" t="s">
        <v>94</v>
      </c>
      <c r="D413" s="2" t="s">
        <v>143</v>
      </c>
      <c r="E413" s="2" t="s">
        <v>11</v>
      </c>
      <c r="F413" s="15" t="str">
        <f>"2500"</f>
        <v>2500</v>
      </c>
      <c r="G413" s="2">
        <v>23.007999999999999</v>
      </c>
      <c r="H413" s="2" t="s">
        <v>12</v>
      </c>
      <c r="I413" s="2" t="s">
        <v>88</v>
      </c>
      <c r="J413" s="2" t="s">
        <v>125</v>
      </c>
      <c r="K413" s="3">
        <v>43165.461805555555</v>
      </c>
      <c r="L413" s="4">
        <v>43165</v>
      </c>
      <c r="M413" s="8">
        <v>43165</v>
      </c>
      <c r="N413" s="13"/>
    </row>
    <row r="414" spans="1:14" x14ac:dyDescent="0.15">
      <c r="A414" s="5">
        <v>1800104800000000</v>
      </c>
      <c r="B414" s="2" t="s">
        <v>93</v>
      </c>
      <c r="C414" s="2" t="s">
        <v>94</v>
      </c>
      <c r="D414" s="2" t="s">
        <v>144</v>
      </c>
      <c r="E414" s="2" t="s">
        <v>11</v>
      </c>
      <c r="F414" s="15" t="str">
        <f>"4205"</f>
        <v>4205</v>
      </c>
      <c r="G414" s="2">
        <v>23.007999999999999</v>
      </c>
      <c r="H414" s="2" t="s">
        <v>12</v>
      </c>
      <c r="I414" s="2" t="s">
        <v>88</v>
      </c>
      <c r="J414" s="2" t="s">
        <v>125</v>
      </c>
      <c r="K414" s="3">
        <v>43165.461805555555</v>
      </c>
      <c r="L414" s="4">
        <v>43165</v>
      </c>
      <c r="M414" s="8">
        <v>43165</v>
      </c>
      <c r="N414" s="13"/>
    </row>
    <row r="415" spans="1:14" x14ac:dyDescent="0.15">
      <c r="A415" s="5">
        <v>1800105000000000</v>
      </c>
      <c r="B415" s="2" t="s">
        <v>93</v>
      </c>
      <c r="C415" s="2" t="s">
        <v>94</v>
      </c>
      <c r="D415" s="2" t="s">
        <v>145</v>
      </c>
      <c r="E415" s="2" t="s">
        <v>11</v>
      </c>
      <c r="F415" s="15" t="str">
        <f>"4050"</f>
        <v>4050</v>
      </c>
      <c r="G415" s="2">
        <v>23.007999999999999</v>
      </c>
      <c r="H415" s="2" t="s">
        <v>12</v>
      </c>
      <c r="I415" s="2" t="s">
        <v>88</v>
      </c>
      <c r="J415" s="2" t="s">
        <v>125</v>
      </c>
      <c r="K415" s="3">
        <v>43165.461805555555</v>
      </c>
      <c r="L415" s="4">
        <v>43165</v>
      </c>
      <c r="M415" s="8">
        <v>43165</v>
      </c>
      <c r="N415" s="13"/>
    </row>
    <row r="416" spans="1:14" x14ac:dyDescent="0.15">
      <c r="A416" s="5">
        <v>1800105100000000</v>
      </c>
      <c r="B416" s="2" t="s">
        <v>93</v>
      </c>
      <c r="C416" s="2" t="s">
        <v>94</v>
      </c>
      <c r="D416" s="2" t="s">
        <v>146</v>
      </c>
      <c r="E416" s="2" t="s">
        <v>11</v>
      </c>
      <c r="F416" s="15" t="str">
        <f>"32600"</f>
        <v>32600</v>
      </c>
      <c r="G416" s="2">
        <v>23.007999999999999</v>
      </c>
      <c r="H416" s="2" t="s">
        <v>12</v>
      </c>
      <c r="I416" s="2" t="s">
        <v>88</v>
      </c>
      <c r="J416" s="2" t="s">
        <v>125</v>
      </c>
      <c r="K416" s="3">
        <v>43165.461805555555</v>
      </c>
      <c r="L416" s="4">
        <v>43165</v>
      </c>
      <c r="M416" s="8">
        <v>43165</v>
      </c>
      <c r="N416" s="13"/>
    </row>
    <row r="417" spans="1:14" x14ac:dyDescent="0.15">
      <c r="A417" s="5">
        <v>1800105300000000</v>
      </c>
      <c r="B417" s="2" t="s">
        <v>93</v>
      </c>
      <c r="C417" s="2" t="s">
        <v>94</v>
      </c>
      <c r="D417" s="2" t="s">
        <v>140</v>
      </c>
      <c r="E417" s="2" t="s">
        <v>11</v>
      </c>
      <c r="F417" s="15" t="str">
        <f>"4000"</f>
        <v>4000</v>
      </c>
      <c r="G417" s="2">
        <v>23.007999999999999</v>
      </c>
      <c r="H417" s="2" t="s">
        <v>12</v>
      </c>
      <c r="I417" s="2" t="s">
        <v>88</v>
      </c>
      <c r="J417" s="2" t="s">
        <v>125</v>
      </c>
      <c r="K417" s="3">
        <v>43165.461805555555</v>
      </c>
      <c r="L417" s="4">
        <v>43165</v>
      </c>
      <c r="M417" s="8">
        <v>43165</v>
      </c>
      <c r="N417" s="13"/>
    </row>
    <row r="418" spans="1:14" x14ac:dyDescent="0.15">
      <c r="A418" s="5">
        <v>1800105400000000</v>
      </c>
      <c r="B418" s="2" t="s">
        <v>93</v>
      </c>
      <c r="C418" s="2" t="s">
        <v>94</v>
      </c>
      <c r="D418" s="2" t="s">
        <v>141</v>
      </c>
      <c r="E418" s="2" t="s">
        <v>11</v>
      </c>
      <c r="F418" s="15" t="str">
        <f>"10000"</f>
        <v>10000</v>
      </c>
      <c r="G418" s="2">
        <v>23.007999999999999</v>
      </c>
      <c r="H418" s="2" t="s">
        <v>12</v>
      </c>
      <c r="I418" s="2" t="s">
        <v>88</v>
      </c>
      <c r="J418" s="2" t="s">
        <v>125</v>
      </c>
      <c r="K418" s="3">
        <v>43165.461805555555</v>
      </c>
      <c r="L418" s="4">
        <v>43165</v>
      </c>
      <c r="M418" s="8">
        <v>43165</v>
      </c>
      <c r="N418" s="13"/>
    </row>
    <row r="419" spans="1:14" x14ac:dyDescent="0.15">
      <c r="A419" s="5">
        <v>1800105500000000</v>
      </c>
      <c r="B419" s="2" t="s">
        <v>93</v>
      </c>
      <c r="C419" s="2" t="s">
        <v>94</v>
      </c>
      <c r="D419" s="2" t="s">
        <v>139</v>
      </c>
      <c r="E419" s="2" t="s">
        <v>11</v>
      </c>
      <c r="F419" s="15" t="str">
        <f>"32500"</f>
        <v>32500</v>
      </c>
      <c r="G419" s="2">
        <v>23.007999999999999</v>
      </c>
      <c r="H419" s="2" t="s">
        <v>12</v>
      </c>
      <c r="I419" s="2" t="s">
        <v>88</v>
      </c>
      <c r="J419" s="2" t="s">
        <v>125</v>
      </c>
      <c r="K419" s="3">
        <v>43165.461805555555</v>
      </c>
      <c r="L419" s="4">
        <v>43165</v>
      </c>
      <c r="M419" s="8">
        <v>43165</v>
      </c>
      <c r="N419" s="13"/>
    </row>
    <row r="420" spans="1:14" x14ac:dyDescent="0.15">
      <c r="A420" s="5">
        <v>1800106000000000</v>
      </c>
      <c r="B420" s="2" t="s">
        <v>103</v>
      </c>
      <c r="C420" s="2" t="s">
        <v>104</v>
      </c>
      <c r="D420" s="2" t="s">
        <v>143</v>
      </c>
      <c r="E420" s="2" t="s">
        <v>47</v>
      </c>
      <c r="F420" s="15" t="str">
        <f>"700"</f>
        <v>700</v>
      </c>
      <c r="G420" s="2">
        <v>75.432000000000002</v>
      </c>
      <c r="H420" s="2" t="s">
        <v>12</v>
      </c>
      <c r="I420" s="2" t="s">
        <v>88</v>
      </c>
      <c r="J420" s="2" t="s">
        <v>14</v>
      </c>
      <c r="K420" s="3">
        <v>43165.461805555555</v>
      </c>
      <c r="L420" s="4">
        <v>43165</v>
      </c>
      <c r="M420" s="8">
        <v>43165</v>
      </c>
      <c r="N420" s="13"/>
    </row>
    <row r="421" spans="1:14" x14ac:dyDescent="0.15">
      <c r="A421" s="5">
        <v>1800106100000000</v>
      </c>
      <c r="B421" s="2" t="s">
        <v>103</v>
      </c>
      <c r="C421" s="2" t="s">
        <v>104</v>
      </c>
      <c r="D421" s="2" t="s">
        <v>144</v>
      </c>
      <c r="E421" s="2" t="s">
        <v>47</v>
      </c>
      <c r="F421" s="15" t="str">
        <f>"1280"</f>
        <v>1280</v>
      </c>
      <c r="G421" s="2">
        <v>75.432000000000002</v>
      </c>
      <c r="H421" s="2" t="s">
        <v>12</v>
      </c>
      <c r="I421" s="2" t="s">
        <v>88</v>
      </c>
      <c r="J421" s="2" t="s">
        <v>14</v>
      </c>
      <c r="K421" s="3">
        <v>43165.461805555555</v>
      </c>
      <c r="L421" s="4">
        <v>43165</v>
      </c>
      <c r="M421" s="8">
        <v>43165</v>
      </c>
      <c r="N421" s="13"/>
    </row>
    <row r="422" spans="1:14" x14ac:dyDescent="0.15">
      <c r="A422" s="5">
        <v>1800106300000000</v>
      </c>
      <c r="B422" s="2" t="s">
        <v>103</v>
      </c>
      <c r="C422" s="2" t="s">
        <v>104</v>
      </c>
      <c r="D422" s="2" t="s">
        <v>145</v>
      </c>
      <c r="E422" s="2" t="s">
        <v>47</v>
      </c>
      <c r="F422" s="15" t="str">
        <f>"1275"</f>
        <v>1275</v>
      </c>
      <c r="G422" s="2">
        <v>75.432000000000002</v>
      </c>
      <c r="H422" s="2" t="s">
        <v>12</v>
      </c>
      <c r="I422" s="2" t="s">
        <v>88</v>
      </c>
      <c r="J422" s="2" t="s">
        <v>14</v>
      </c>
      <c r="K422" s="3">
        <v>43165.461805555555</v>
      </c>
      <c r="L422" s="4">
        <v>43165</v>
      </c>
      <c r="M422" s="8">
        <v>43165</v>
      </c>
      <c r="N422" s="13"/>
    </row>
    <row r="423" spans="1:14" x14ac:dyDescent="0.15">
      <c r="A423" s="5">
        <v>1800106400000000</v>
      </c>
      <c r="B423" s="2" t="s">
        <v>103</v>
      </c>
      <c r="C423" s="2" t="s">
        <v>104</v>
      </c>
      <c r="D423" s="2" t="s">
        <v>146</v>
      </c>
      <c r="E423" s="2" t="s">
        <v>47</v>
      </c>
      <c r="F423" s="15" t="str">
        <f>"9900"</f>
        <v>9900</v>
      </c>
      <c r="G423" s="2">
        <v>75.432000000000002</v>
      </c>
      <c r="H423" s="2" t="s">
        <v>12</v>
      </c>
      <c r="I423" s="2" t="s">
        <v>88</v>
      </c>
      <c r="J423" s="2" t="s">
        <v>14</v>
      </c>
      <c r="K423" s="3">
        <v>43165.461805555555</v>
      </c>
      <c r="L423" s="4">
        <v>43165</v>
      </c>
      <c r="M423" s="8">
        <v>43165</v>
      </c>
      <c r="N423" s="13"/>
    </row>
    <row r="424" spans="1:14" x14ac:dyDescent="0.15">
      <c r="A424" s="5">
        <v>1800106600000000</v>
      </c>
      <c r="B424" s="2" t="s">
        <v>103</v>
      </c>
      <c r="C424" s="2" t="s">
        <v>104</v>
      </c>
      <c r="D424" s="2" t="s">
        <v>139</v>
      </c>
      <c r="E424" s="2" t="s">
        <v>47</v>
      </c>
      <c r="F424" s="15" t="str">
        <f>"9500"</f>
        <v>9500</v>
      </c>
      <c r="G424" s="2">
        <v>75.432000000000002</v>
      </c>
      <c r="H424" s="2" t="s">
        <v>12</v>
      </c>
      <c r="I424" s="2" t="s">
        <v>88</v>
      </c>
      <c r="J424" s="2" t="s">
        <v>14</v>
      </c>
      <c r="K424" s="3">
        <v>43165.461805555555</v>
      </c>
      <c r="L424" s="4">
        <v>43165</v>
      </c>
      <c r="M424" s="8">
        <v>43165</v>
      </c>
      <c r="N424" s="13"/>
    </row>
    <row r="425" spans="1:14" x14ac:dyDescent="0.15">
      <c r="A425" s="5">
        <v>1800107000000000</v>
      </c>
      <c r="B425" s="2" t="s">
        <v>113</v>
      </c>
      <c r="C425" s="2" t="s">
        <v>114</v>
      </c>
      <c r="D425" s="2" t="s">
        <v>141</v>
      </c>
      <c r="E425" s="2" t="s">
        <v>47</v>
      </c>
      <c r="F425" s="15" t="str">
        <f>"1000"</f>
        <v>1000</v>
      </c>
      <c r="G425" s="2">
        <v>90.186000000000007</v>
      </c>
      <c r="H425" s="2" t="s">
        <v>12</v>
      </c>
      <c r="I425" s="2" t="s">
        <v>88</v>
      </c>
      <c r="J425" s="2" t="s">
        <v>84</v>
      </c>
      <c r="K425" s="3">
        <v>43165.461805555555</v>
      </c>
      <c r="L425" s="4">
        <v>43165</v>
      </c>
      <c r="M425" s="8">
        <v>43165</v>
      </c>
      <c r="N425" s="13"/>
    </row>
    <row r="426" spans="1:14" x14ac:dyDescent="0.15">
      <c r="A426" s="5">
        <v>1800110600000000</v>
      </c>
      <c r="B426" s="2" t="s">
        <v>113</v>
      </c>
      <c r="C426" s="2" t="s">
        <v>114</v>
      </c>
      <c r="D426" s="2" t="s">
        <v>141</v>
      </c>
      <c r="E426" s="2" t="s">
        <v>47</v>
      </c>
      <c r="F426" s="15" t="str">
        <f>"1000"</f>
        <v>1000</v>
      </c>
      <c r="G426" s="2">
        <v>92.715999999999994</v>
      </c>
      <c r="H426" s="2" t="s">
        <v>12</v>
      </c>
      <c r="I426" s="2" t="s">
        <v>88</v>
      </c>
      <c r="J426" s="2" t="s">
        <v>46</v>
      </c>
      <c r="K426" s="3">
        <v>43166.720833333333</v>
      </c>
      <c r="L426" s="4">
        <v>43166</v>
      </c>
      <c r="M426" s="8">
        <v>43166</v>
      </c>
      <c r="N426" s="13"/>
    </row>
    <row r="427" spans="1:14" x14ac:dyDescent="0.15">
      <c r="A427" s="5">
        <v>1800112600000000</v>
      </c>
      <c r="B427" s="2" t="s">
        <v>135</v>
      </c>
      <c r="C427" s="2" t="s">
        <v>136</v>
      </c>
      <c r="D427" s="2" t="s">
        <v>141</v>
      </c>
      <c r="E427" s="2" t="s">
        <v>47</v>
      </c>
      <c r="F427" s="15" t="str">
        <f>"2000"</f>
        <v>2000</v>
      </c>
      <c r="G427" s="2">
        <v>167.05</v>
      </c>
      <c r="H427" s="2" t="s">
        <v>12</v>
      </c>
      <c r="I427" s="2" t="s">
        <v>88</v>
      </c>
      <c r="J427" s="2" t="s">
        <v>50</v>
      </c>
      <c r="K427" s="3">
        <v>43167.709722222222</v>
      </c>
      <c r="L427" s="4">
        <v>43167</v>
      </c>
      <c r="M427" s="8">
        <v>43167</v>
      </c>
      <c r="N427" s="13"/>
    </row>
    <row r="428" spans="1:14" x14ac:dyDescent="0.15">
      <c r="A428" s="5">
        <v>1800112700000000</v>
      </c>
      <c r="B428" s="2" t="s">
        <v>99</v>
      </c>
      <c r="C428" s="2" t="s">
        <v>100</v>
      </c>
      <c r="D428" s="2" t="s">
        <v>141</v>
      </c>
      <c r="E428" s="2" t="s">
        <v>11</v>
      </c>
      <c r="F428" s="15" t="str">
        <f>"5000"</f>
        <v>5000</v>
      </c>
      <c r="G428" s="2">
        <v>17.434999999999999</v>
      </c>
      <c r="H428" s="2" t="s">
        <v>12</v>
      </c>
      <c r="I428" s="2" t="s">
        <v>88</v>
      </c>
      <c r="J428" s="2" t="s">
        <v>50</v>
      </c>
      <c r="K428" s="3">
        <v>43167.709722222222</v>
      </c>
      <c r="L428" s="4">
        <v>43167</v>
      </c>
      <c r="M428" s="8">
        <v>43167</v>
      </c>
      <c r="N428" s="13"/>
    </row>
    <row r="429" spans="1:14" x14ac:dyDescent="0.15">
      <c r="A429" s="5">
        <v>1800112800000000</v>
      </c>
      <c r="B429" s="2" t="s">
        <v>111</v>
      </c>
      <c r="C429" s="2" t="s">
        <v>112</v>
      </c>
      <c r="D429" s="2" t="s">
        <v>141</v>
      </c>
      <c r="E429" s="2" t="s">
        <v>11</v>
      </c>
      <c r="F429" s="15" t="str">
        <f>"2000"</f>
        <v>2000</v>
      </c>
      <c r="G429" s="2">
        <v>57.26</v>
      </c>
      <c r="H429" s="2" t="s">
        <v>12</v>
      </c>
      <c r="I429" s="2" t="s">
        <v>88</v>
      </c>
      <c r="J429" s="2" t="s">
        <v>50</v>
      </c>
      <c r="K429" s="3">
        <v>43167.709722222222</v>
      </c>
      <c r="L429" s="4">
        <v>43167</v>
      </c>
      <c r="M429" s="8">
        <v>43167</v>
      </c>
      <c r="N429" s="13"/>
    </row>
    <row r="430" spans="1:14" x14ac:dyDescent="0.15">
      <c r="A430" s="5">
        <v>1800114100000000</v>
      </c>
      <c r="B430" s="2" t="s">
        <v>128</v>
      </c>
      <c r="C430" s="2" t="s">
        <v>129</v>
      </c>
      <c r="D430" s="2" t="s">
        <v>141</v>
      </c>
      <c r="E430" s="2" t="s">
        <v>11</v>
      </c>
      <c r="F430" s="15" t="str">
        <f>"10000"</f>
        <v>10000</v>
      </c>
      <c r="G430" s="2">
        <v>9.3460000000000001</v>
      </c>
      <c r="H430" s="2" t="s">
        <v>12</v>
      </c>
      <c r="I430" s="2" t="s">
        <v>88</v>
      </c>
      <c r="J430" s="2" t="s">
        <v>50</v>
      </c>
      <c r="K430" s="3">
        <v>43168.68472222222</v>
      </c>
      <c r="L430" s="4">
        <v>43168</v>
      </c>
      <c r="M430" s="8">
        <v>43168</v>
      </c>
      <c r="N430" s="13"/>
    </row>
    <row r="431" spans="1:14" x14ac:dyDescent="0.15">
      <c r="A431" s="5">
        <v>1800114300000000</v>
      </c>
      <c r="B431" s="2" t="s">
        <v>132</v>
      </c>
      <c r="C431" s="2" t="s">
        <v>133</v>
      </c>
      <c r="D431" s="2" t="s">
        <v>141</v>
      </c>
      <c r="E431" s="2" t="s">
        <v>47</v>
      </c>
      <c r="F431" s="15" t="str">
        <f>"1000"</f>
        <v>1000</v>
      </c>
      <c r="G431" s="2">
        <v>105.7</v>
      </c>
      <c r="H431" s="2" t="s">
        <v>12</v>
      </c>
      <c r="I431" s="2" t="s">
        <v>88</v>
      </c>
      <c r="J431" s="2" t="s">
        <v>50</v>
      </c>
      <c r="K431" s="3">
        <v>43168.68472222222</v>
      </c>
      <c r="L431" s="4">
        <v>43168</v>
      </c>
      <c r="M431" s="8">
        <v>43168</v>
      </c>
      <c r="N431" s="13"/>
    </row>
    <row r="432" spans="1:14" x14ac:dyDescent="0.15">
      <c r="A432" s="5">
        <v>1800116700000000</v>
      </c>
      <c r="B432" s="2" t="s">
        <v>126</v>
      </c>
      <c r="C432" s="2" t="s">
        <v>127</v>
      </c>
      <c r="D432" s="2" t="s">
        <v>141</v>
      </c>
      <c r="E432" s="2" t="s">
        <v>11</v>
      </c>
      <c r="F432" s="15" t="str">
        <f>"1000"</f>
        <v>1000</v>
      </c>
      <c r="G432" s="2">
        <v>68.08</v>
      </c>
      <c r="H432" s="2" t="s">
        <v>12</v>
      </c>
      <c r="I432" s="2" t="s">
        <v>88</v>
      </c>
      <c r="J432" s="2" t="s">
        <v>85</v>
      </c>
      <c r="K432" s="3">
        <v>43173.661805555559</v>
      </c>
      <c r="L432" s="4">
        <v>43173</v>
      </c>
      <c r="M432" s="8">
        <v>43173</v>
      </c>
      <c r="N432" s="13"/>
    </row>
    <row r="433" spans="1:14" x14ac:dyDescent="0.15">
      <c r="A433" s="5">
        <v>1800116800000000</v>
      </c>
      <c r="B433" s="2" t="s">
        <v>103</v>
      </c>
      <c r="C433" s="2" t="s">
        <v>104</v>
      </c>
      <c r="D433" s="2" t="s">
        <v>141</v>
      </c>
      <c r="E433" s="2" t="s">
        <v>11</v>
      </c>
      <c r="F433" s="15" t="str">
        <f>"1000"</f>
        <v>1000</v>
      </c>
      <c r="G433" s="2">
        <v>73.22</v>
      </c>
      <c r="H433" s="2" t="s">
        <v>12</v>
      </c>
      <c r="I433" s="2" t="s">
        <v>88</v>
      </c>
      <c r="J433" s="2" t="s">
        <v>85</v>
      </c>
      <c r="K433" s="3">
        <v>43173.662499999999</v>
      </c>
      <c r="L433" s="4">
        <v>43173</v>
      </c>
      <c r="M433" s="8">
        <v>43173</v>
      </c>
      <c r="N433" s="13"/>
    </row>
    <row r="434" spans="1:14" x14ac:dyDescent="0.15">
      <c r="A434" s="5">
        <v>1800117100000000</v>
      </c>
      <c r="B434" s="2" t="s">
        <v>135</v>
      </c>
      <c r="C434" s="2" t="s">
        <v>136</v>
      </c>
      <c r="D434" s="2" t="s">
        <v>141</v>
      </c>
      <c r="E434" s="2" t="s">
        <v>47</v>
      </c>
      <c r="F434" s="15" t="str">
        <f>"500"</f>
        <v>500</v>
      </c>
      <c r="G434" s="2">
        <v>173.05</v>
      </c>
      <c r="H434" s="2" t="s">
        <v>12</v>
      </c>
      <c r="I434" s="2" t="s">
        <v>88</v>
      </c>
      <c r="J434" s="2" t="s">
        <v>52</v>
      </c>
      <c r="K434" s="3">
        <v>43174.45208333333</v>
      </c>
      <c r="L434" s="4">
        <v>43174</v>
      </c>
      <c r="M434" s="8">
        <v>43174</v>
      </c>
      <c r="N434" s="13"/>
    </row>
    <row r="435" spans="1:14" x14ac:dyDescent="0.15">
      <c r="A435" s="5">
        <v>1800118800000000</v>
      </c>
      <c r="B435" s="2" t="s">
        <v>126</v>
      </c>
      <c r="C435" s="2" t="s">
        <v>127</v>
      </c>
      <c r="D435" s="2" t="s">
        <v>141</v>
      </c>
      <c r="E435" s="2" t="s">
        <v>11</v>
      </c>
      <c r="F435" s="15" t="str">
        <f>"2000"</f>
        <v>2000</v>
      </c>
      <c r="G435" s="2">
        <v>66.66</v>
      </c>
      <c r="H435" s="2" t="s">
        <v>12</v>
      </c>
      <c r="I435" s="2" t="s">
        <v>88</v>
      </c>
      <c r="J435" s="2" t="s">
        <v>130</v>
      </c>
      <c r="K435" s="3">
        <v>43175.720833333333</v>
      </c>
      <c r="L435" s="4">
        <v>43175</v>
      </c>
      <c r="M435" s="8">
        <v>43175</v>
      </c>
      <c r="N435" s="13"/>
    </row>
    <row r="436" spans="1:14" x14ac:dyDescent="0.15">
      <c r="A436" s="5">
        <v>1800118900000000</v>
      </c>
      <c r="B436" s="2" t="s">
        <v>113</v>
      </c>
      <c r="C436" s="2" t="s">
        <v>114</v>
      </c>
      <c r="D436" s="2" t="s">
        <v>141</v>
      </c>
      <c r="E436" s="2" t="s">
        <v>47</v>
      </c>
      <c r="F436" s="15" t="str">
        <f>"1000"</f>
        <v>1000</v>
      </c>
      <c r="G436" s="2">
        <v>95.21</v>
      </c>
      <c r="H436" s="2" t="s">
        <v>12</v>
      </c>
      <c r="I436" s="2" t="s">
        <v>88</v>
      </c>
      <c r="J436" s="2" t="s">
        <v>130</v>
      </c>
      <c r="K436" s="3">
        <v>43175.720833333333</v>
      </c>
      <c r="L436" s="4">
        <v>43175</v>
      </c>
      <c r="M436" s="8">
        <v>43175</v>
      </c>
      <c r="N436" s="13"/>
    </row>
    <row r="437" spans="1:14" x14ac:dyDescent="0.15">
      <c r="A437" s="5">
        <v>1800119300000000</v>
      </c>
      <c r="B437" s="2" t="s">
        <v>111</v>
      </c>
      <c r="C437" s="2" t="s">
        <v>112</v>
      </c>
      <c r="D437" s="2" t="s">
        <v>141</v>
      </c>
      <c r="E437" s="2" t="s">
        <v>47</v>
      </c>
      <c r="F437" s="15" t="str">
        <f>"1000"</f>
        <v>1000</v>
      </c>
      <c r="G437" s="2">
        <v>59.1</v>
      </c>
      <c r="H437" s="2" t="s">
        <v>12</v>
      </c>
      <c r="I437" s="2" t="s">
        <v>88</v>
      </c>
      <c r="J437" s="2" t="s">
        <v>125</v>
      </c>
      <c r="K437" s="3">
        <v>43178.729166666664</v>
      </c>
      <c r="L437" s="4">
        <v>43178</v>
      </c>
      <c r="M437" s="8">
        <v>43178</v>
      </c>
      <c r="N437" s="13"/>
    </row>
    <row r="438" spans="1:14" x14ac:dyDescent="0.15">
      <c r="A438" s="5">
        <v>1800119400000000</v>
      </c>
      <c r="B438" s="2" t="s">
        <v>126</v>
      </c>
      <c r="C438" s="2" t="s">
        <v>127</v>
      </c>
      <c r="D438" s="2" t="s">
        <v>141</v>
      </c>
      <c r="E438" s="2" t="s">
        <v>11</v>
      </c>
      <c r="F438" s="15" t="str">
        <f>"2000"</f>
        <v>2000</v>
      </c>
      <c r="G438" s="2">
        <v>66.66</v>
      </c>
      <c r="H438" s="2" t="s">
        <v>12</v>
      </c>
      <c r="I438" s="2" t="s">
        <v>88</v>
      </c>
      <c r="J438" s="2" t="s">
        <v>125</v>
      </c>
      <c r="K438" s="3">
        <v>43178.729166666664</v>
      </c>
      <c r="L438" s="4">
        <v>43178</v>
      </c>
      <c r="M438" s="8">
        <v>43178</v>
      </c>
      <c r="N438" s="13"/>
    </row>
    <row r="439" spans="1:14" x14ac:dyDescent="0.15">
      <c r="A439" s="5">
        <v>1800120700000000</v>
      </c>
      <c r="B439" s="2" t="s">
        <v>89</v>
      </c>
      <c r="C439" s="2" t="s">
        <v>90</v>
      </c>
      <c r="D439" s="2" t="s">
        <v>141</v>
      </c>
      <c r="E439" s="2" t="s">
        <v>47</v>
      </c>
      <c r="F439" s="15" t="str">
        <f>"5000"</f>
        <v>5000</v>
      </c>
      <c r="G439" s="2">
        <v>35.420999999999999</v>
      </c>
      <c r="H439" s="2" t="s">
        <v>12</v>
      </c>
      <c r="I439" s="2" t="s">
        <v>88</v>
      </c>
      <c r="J439" s="2" t="s">
        <v>84</v>
      </c>
      <c r="K439" s="3">
        <v>43179.490277777775</v>
      </c>
      <c r="L439" s="4">
        <v>43179</v>
      </c>
      <c r="M439" s="8">
        <v>43179</v>
      </c>
      <c r="N439" s="13"/>
    </row>
    <row r="440" spans="1:14" x14ac:dyDescent="0.15">
      <c r="A440" s="5">
        <v>1800124900000000</v>
      </c>
      <c r="B440" s="2" t="s">
        <v>111</v>
      </c>
      <c r="C440" s="2" t="s">
        <v>112</v>
      </c>
      <c r="D440" s="2" t="s">
        <v>142</v>
      </c>
      <c r="E440" s="2" t="s">
        <v>11</v>
      </c>
      <c r="F440" s="15" t="str">
        <f>"4000"</f>
        <v>4000</v>
      </c>
      <c r="G440" s="2">
        <v>56.78</v>
      </c>
      <c r="H440" s="2" t="s">
        <v>12</v>
      </c>
      <c r="I440" s="2" t="s">
        <v>88</v>
      </c>
      <c r="J440" s="2" t="s">
        <v>67</v>
      </c>
      <c r="K440" s="3">
        <v>43180.48541666667</v>
      </c>
      <c r="L440" s="4">
        <v>43180</v>
      </c>
      <c r="M440" s="8">
        <v>43180</v>
      </c>
      <c r="N440" s="13"/>
    </row>
    <row r="441" spans="1:14" x14ac:dyDescent="0.15">
      <c r="A441" s="5">
        <v>1800125100000000</v>
      </c>
      <c r="B441" s="2" t="s">
        <v>111</v>
      </c>
      <c r="C441" s="2" t="s">
        <v>112</v>
      </c>
      <c r="D441" s="2" t="s">
        <v>143</v>
      </c>
      <c r="E441" s="2" t="s">
        <v>11</v>
      </c>
      <c r="F441" s="15" t="str">
        <f>"600"</f>
        <v>600</v>
      </c>
      <c r="G441" s="2">
        <v>56.78</v>
      </c>
      <c r="H441" s="2" t="s">
        <v>12</v>
      </c>
      <c r="I441" s="2" t="s">
        <v>88</v>
      </c>
      <c r="J441" s="2" t="s">
        <v>67</v>
      </c>
      <c r="K441" s="3">
        <v>43180.48541666667</v>
      </c>
      <c r="L441" s="4">
        <v>43180</v>
      </c>
      <c r="M441" s="8">
        <v>43180</v>
      </c>
      <c r="N441" s="13"/>
    </row>
    <row r="442" spans="1:14" x14ac:dyDescent="0.15">
      <c r="A442" s="5">
        <v>1800125200000000</v>
      </c>
      <c r="B442" s="2" t="s">
        <v>111</v>
      </c>
      <c r="C442" s="2" t="s">
        <v>112</v>
      </c>
      <c r="D442" s="2" t="s">
        <v>144</v>
      </c>
      <c r="E442" s="2" t="s">
        <v>11</v>
      </c>
      <c r="F442" s="15" t="str">
        <f>"930"</f>
        <v>930</v>
      </c>
      <c r="G442" s="2">
        <v>56.78</v>
      </c>
      <c r="H442" s="2" t="s">
        <v>12</v>
      </c>
      <c r="I442" s="2" t="s">
        <v>88</v>
      </c>
      <c r="J442" s="2" t="s">
        <v>67</v>
      </c>
      <c r="K442" s="3">
        <v>43180.48541666667</v>
      </c>
      <c r="L442" s="4">
        <v>43180</v>
      </c>
      <c r="M442" s="8">
        <v>43180</v>
      </c>
      <c r="N442" s="13"/>
    </row>
    <row r="443" spans="1:14" x14ac:dyDescent="0.15">
      <c r="A443" s="5">
        <v>1800125400000000</v>
      </c>
      <c r="B443" s="2" t="s">
        <v>111</v>
      </c>
      <c r="C443" s="2" t="s">
        <v>112</v>
      </c>
      <c r="D443" s="2" t="s">
        <v>145</v>
      </c>
      <c r="E443" s="2" t="s">
        <v>11</v>
      </c>
      <c r="F443" s="15" t="str">
        <f>"950"</f>
        <v>950</v>
      </c>
      <c r="G443" s="2">
        <v>56.78</v>
      </c>
      <c r="H443" s="2" t="s">
        <v>12</v>
      </c>
      <c r="I443" s="2" t="s">
        <v>88</v>
      </c>
      <c r="J443" s="2" t="s">
        <v>67</v>
      </c>
      <c r="K443" s="3">
        <v>43180.48541666667</v>
      </c>
      <c r="L443" s="4">
        <v>43180</v>
      </c>
      <c r="M443" s="8">
        <v>43180</v>
      </c>
      <c r="N443" s="13"/>
    </row>
    <row r="444" spans="1:14" x14ac:dyDescent="0.15">
      <c r="A444" s="5">
        <v>1800125500000000</v>
      </c>
      <c r="B444" s="2" t="s">
        <v>111</v>
      </c>
      <c r="C444" s="2" t="s">
        <v>112</v>
      </c>
      <c r="D444" s="2" t="s">
        <v>146</v>
      </c>
      <c r="E444" s="2" t="s">
        <v>11</v>
      </c>
      <c r="F444" s="15" t="str">
        <f>"7400"</f>
        <v>7400</v>
      </c>
      <c r="G444" s="2">
        <v>56.78</v>
      </c>
      <c r="H444" s="2" t="s">
        <v>12</v>
      </c>
      <c r="I444" s="2" t="s">
        <v>88</v>
      </c>
      <c r="J444" s="2" t="s">
        <v>67</v>
      </c>
      <c r="K444" s="3">
        <v>43180.48541666667</v>
      </c>
      <c r="L444" s="4">
        <v>43180</v>
      </c>
      <c r="M444" s="8">
        <v>43180</v>
      </c>
      <c r="N444" s="13"/>
    </row>
    <row r="445" spans="1:14" x14ac:dyDescent="0.15">
      <c r="A445" s="5">
        <v>1800125700000000</v>
      </c>
      <c r="B445" s="2" t="s">
        <v>111</v>
      </c>
      <c r="C445" s="2" t="s">
        <v>112</v>
      </c>
      <c r="D445" s="2" t="s">
        <v>141</v>
      </c>
      <c r="E445" s="2" t="s">
        <v>11</v>
      </c>
      <c r="F445" s="15" t="str">
        <f>"2000"</f>
        <v>2000</v>
      </c>
      <c r="G445" s="2">
        <v>56.78</v>
      </c>
      <c r="H445" s="2" t="s">
        <v>12</v>
      </c>
      <c r="I445" s="2" t="s">
        <v>88</v>
      </c>
      <c r="J445" s="2" t="s">
        <v>67</v>
      </c>
      <c r="K445" s="3">
        <v>43180.48541666667</v>
      </c>
      <c r="L445" s="4">
        <v>43180</v>
      </c>
      <c r="M445" s="8">
        <v>43180</v>
      </c>
      <c r="N445" s="13"/>
    </row>
    <row r="446" spans="1:14" x14ac:dyDescent="0.15">
      <c r="A446" s="5">
        <v>1800125800000000</v>
      </c>
      <c r="B446" s="2" t="s">
        <v>111</v>
      </c>
      <c r="C446" s="2" t="s">
        <v>112</v>
      </c>
      <c r="D446" s="2" t="s">
        <v>139</v>
      </c>
      <c r="E446" s="2" t="s">
        <v>11</v>
      </c>
      <c r="F446" s="15" t="str">
        <f>"7400"</f>
        <v>7400</v>
      </c>
      <c r="G446" s="2">
        <v>56.78</v>
      </c>
      <c r="H446" s="2" t="s">
        <v>12</v>
      </c>
      <c r="I446" s="2" t="s">
        <v>88</v>
      </c>
      <c r="J446" s="2" t="s">
        <v>67</v>
      </c>
      <c r="K446" s="3">
        <v>43180.48541666667</v>
      </c>
      <c r="L446" s="4">
        <v>43180</v>
      </c>
      <c r="M446" s="8">
        <v>43180</v>
      </c>
      <c r="N446" s="13"/>
    </row>
    <row r="447" spans="1:14" x14ac:dyDescent="0.15">
      <c r="A447" s="5">
        <v>1800126400000000</v>
      </c>
      <c r="B447" s="2" t="s">
        <v>89</v>
      </c>
      <c r="C447" s="2" t="s">
        <v>90</v>
      </c>
      <c r="D447" s="2" t="s">
        <v>141</v>
      </c>
      <c r="E447" s="2" t="s">
        <v>47</v>
      </c>
      <c r="F447" s="15" t="str">
        <f>"5000"</f>
        <v>5000</v>
      </c>
      <c r="G447" s="2">
        <v>36.484000000000002</v>
      </c>
      <c r="H447" s="2" t="s">
        <v>12</v>
      </c>
      <c r="I447" s="2" t="s">
        <v>88</v>
      </c>
      <c r="J447" s="2" t="s">
        <v>84</v>
      </c>
      <c r="K447" s="3">
        <v>43181.400694444441</v>
      </c>
      <c r="L447" s="4">
        <v>43181</v>
      </c>
      <c r="M447" s="8">
        <v>43181</v>
      </c>
      <c r="N447" s="13"/>
    </row>
    <row r="448" spans="1:14" x14ac:dyDescent="0.15">
      <c r="A448" s="5">
        <v>1800126700000000</v>
      </c>
      <c r="B448" s="2" t="s">
        <v>126</v>
      </c>
      <c r="C448" s="2" t="s">
        <v>127</v>
      </c>
      <c r="D448" s="2" t="s">
        <v>141</v>
      </c>
      <c r="E448" s="2" t="s">
        <v>11</v>
      </c>
      <c r="F448" s="15" t="str">
        <f>"5000"</f>
        <v>5000</v>
      </c>
      <c r="G448" s="2">
        <v>64.475999999999999</v>
      </c>
      <c r="H448" s="2" t="s">
        <v>12</v>
      </c>
      <c r="I448" s="2" t="s">
        <v>88</v>
      </c>
      <c r="J448" s="2" t="s">
        <v>84</v>
      </c>
      <c r="K448" s="3">
        <v>43181.429861111108</v>
      </c>
      <c r="L448" s="4">
        <v>43181</v>
      </c>
      <c r="M448" s="8">
        <v>43181</v>
      </c>
      <c r="N448" s="13"/>
    </row>
    <row r="449" spans="1:14" x14ac:dyDescent="0.15">
      <c r="A449" s="5">
        <v>1800134800000000</v>
      </c>
      <c r="B449" s="2" t="s">
        <v>93</v>
      </c>
      <c r="C449" s="2" t="s">
        <v>94</v>
      </c>
      <c r="D449" s="2" t="s">
        <v>141</v>
      </c>
      <c r="E449" s="2" t="s">
        <v>11</v>
      </c>
      <c r="F449" s="15" t="str">
        <f>"1500"</f>
        <v>1500</v>
      </c>
      <c r="G449" s="2">
        <v>21.347999999999999</v>
      </c>
      <c r="H449" s="2" t="s">
        <v>12</v>
      </c>
      <c r="I449" s="2" t="s">
        <v>88</v>
      </c>
      <c r="J449" s="2" t="s">
        <v>84</v>
      </c>
      <c r="K449" s="3">
        <v>43182.459722222222</v>
      </c>
      <c r="L449" s="4">
        <v>43182</v>
      </c>
      <c r="M449" s="8">
        <v>43182</v>
      </c>
      <c r="N449" s="13"/>
    </row>
    <row r="450" spans="1:14" x14ac:dyDescent="0.15">
      <c r="A450" s="5">
        <v>1800135900000000</v>
      </c>
      <c r="B450" s="2" t="s">
        <v>89</v>
      </c>
      <c r="C450" s="2" t="s">
        <v>90</v>
      </c>
      <c r="D450" s="2" t="s">
        <v>141</v>
      </c>
      <c r="E450" s="2" t="s">
        <v>47</v>
      </c>
      <c r="F450" s="15" t="str">
        <f>"3000"</f>
        <v>3000</v>
      </c>
      <c r="G450" s="2">
        <v>36.86</v>
      </c>
      <c r="H450" s="2" t="s">
        <v>12</v>
      </c>
      <c r="I450" s="2" t="s">
        <v>88</v>
      </c>
      <c r="J450" s="2" t="s">
        <v>125</v>
      </c>
      <c r="K450" s="3">
        <v>43185.4375</v>
      </c>
      <c r="L450" s="4">
        <v>43185</v>
      </c>
      <c r="M450" s="8">
        <v>43185</v>
      </c>
      <c r="N450" s="13"/>
    </row>
    <row r="451" spans="1:14" x14ac:dyDescent="0.15">
      <c r="A451" s="5">
        <v>1800136800000000</v>
      </c>
      <c r="B451" s="2" t="s">
        <v>117</v>
      </c>
      <c r="C451" s="2" t="s">
        <v>118</v>
      </c>
      <c r="D451" s="2" t="s">
        <v>141</v>
      </c>
      <c r="E451" s="2" t="s">
        <v>11</v>
      </c>
      <c r="F451" s="15" t="str">
        <f>"2000"</f>
        <v>2000</v>
      </c>
      <c r="G451" s="2">
        <v>42.35</v>
      </c>
      <c r="H451" s="2" t="s">
        <v>12</v>
      </c>
      <c r="I451" s="2" t="s">
        <v>88</v>
      </c>
      <c r="J451" s="2" t="s">
        <v>50</v>
      </c>
      <c r="K451" s="3">
        <v>43185.724999999999</v>
      </c>
      <c r="L451" s="4">
        <v>43185</v>
      </c>
      <c r="M451" s="8">
        <v>43185</v>
      </c>
      <c r="N451" s="13"/>
    </row>
    <row r="452" spans="1:14" x14ac:dyDescent="0.15">
      <c r="A452" s="5">
        <v>1800139400000000</v>
      </c>
      <c r="B452" s="2" t="s">
        <v>103</v>
      </c>
      <c r="C452" s="2" t="s">
        <v>104</v>
      </c>
      <c r="D452" s="2" t="s">
        <v>141</v>
      </c>
      <c r="E452" s="2" t="s">
        <v>11</v>
      </c>
      <c r="F452" s="15" t="str">
        <f>"1000"</f>
        <v>1000</v>
      </c>
      <c r="G452" s="2">
        <v>70.5</v>
      </c>
      <c r="H452" s="2" t="s">
        <v>12</v>
      </c>
      <c r="I452" s="2" t="s">
        <v>88</v>
      </c>
      <c r="J452" s="2" t="s">
        <v>50</v>
      </c>
      <c r="K452" s="3">
        <v>43186.72152777778</v>
      </c>
      <c r="L452" s="4">
        <v>43186</v>
      </c>
      <c r="M452" s="8">
        <v>43186</v>
      </c>
      <c r="N452" s="13"/>
    </row>
    <row r="453" spans="1:14" x14ac:dyDescent="0.15">
      <c r="A453" s="5">
        <v>1800141300000000</v>
      </c>
      <c r="B453" s="2" t="s">
        <v>135</v>
      </c>
      <c r="C453" s="2" t="s">
        <v>136</v>
      </c>
      <c r="D453" s="2" t="s">
        <v>141</v>
      </c>
      <c r="E453" s="2" t="s">
        <v>11</v>
      </c>
      <c r="F453" s="15" t="str">
        <f>"500"</f>
        <v>500</v>
      </c>
      <c r="G453" s="2">
        <v>159.05000000000001</v>
      </c>
      <c r="H453" s="2" t="s">
        <v>12</v>
      </c>
      <c r="I453" s="2" t="s">
        <v>88</v>
      </c>
      <c r="J453" s="2" t="s">
        <v>51</v>
      </c>
      <c r="K453" s="3">
        <v>43187.727083333331</v>
      </c>
      <c r="L453" s="4">
        <v>43187</v>
      </c>
      <c r="M453" s="8">
        <v>43187</v>
      </c>
      <c r="N453" s="13"/>
    </row>
    <row r="454" spans="1:14" x14ac:dyDescent="0.15">
      <c r="A454" s="5">
        <v>1800141400000000</v>
      </c>
      <c r="B454" s="2" t="s">
        <v>93</v>
      </c>
      <c r="C454" s="2" t="s">
        <v>94</v>
      </c>
      <c r="D454" s="2" t="s">
        <v>141</v>
      </c>
      <c r="E454" s="2" t="s">
        <v>11</v>
      </c>
      <c r="F454" s="15" t="str">
        <f>"3500"</f>
        <v>3500</v>
      </c>
      <c r="G454" s="2">
        <v>21.43</v>
      </c>
      <c r="H454" s="2" t="s">
        <v>12</v>
      </c>
      <c r="I454" s="2" t="s">
        <v>88</v>
      </c>
      <c r="J454" s="2" t="s">
        <v>51</v>
      </c>
      <c r="K454" s="3">
        <v>43187.727083333331</v>
      </c>
      <c r="L454" s="4">
        <v>43187</v>
      </c>
      <c r="M454" s="8">
        <v>43187</v>
      </c>
      <c r="N454" s="13"/>
    </row>
    <row r="455" spans="1:14" x14ac:dyDescent="0.15">
      <c r="A455" s="5">
        <v>1800141600000000</v>
      </c>
      <c r="B455" s="2" t="s">
        <v>113</v>
      </c>
      <c r="C455" s="2" t="s">
        <v>114</v>
      </c>
      <c r="D455" s="2" t="s">
        <v>141</v>
      </c>
      <c r="E455" s="2" t="s">
        <v>47</v>
      </c>
      <c r="F455" s="15" t="str">
        <f>"2000"</f>
        <v>2000</v>
      </c>
      <c r="G455" s="2">
        <v>99.393000000000001</v>
      </c>
      <c r="H455" s="2" t="s">
        <v>12</v>
      </c>
      <c r="I455" s="2" t="s">
        <v>88</v>
      </c>
      <c r="J455" s="2" t="s">
        <v>84</v>
      </c>
      <c r="K455" s="3">
        <v>43188.381249999999</v>
      </c>
      <c r="L455" s="4">
        <v>43188</v>
      </c>
      <c r="M455" s="8">
        <v>43188</v>
      </c>
      <c r="N455" s="13"/>
    </row>
    <row r="456" spans="1:14" x14ac:dyDescent="0.15">
      <c r="A456" s="5">
        <v>1800141700000000</v>
      </c>
      <c r="B456" s="2" t="s">
        <v>86</v>
      </c>
      <c r="C456" s="2" t="s">
        <v>87</v>
      </c>
      <c r="D456" s="2" t="s">
        <v>139</v>
      </c>
      <c r="E456" s="2" t="s">
        <v>11</v>
      </c>
      <c r="F456" s="15" t="str">
        <f>"700"</f>
        <v>700</v>
      </c>
      <c r="G456" s="2">
        <v>99.48</v>
      </c>
      <c r="H456" s="2" t="s">
        <v>12</v>
      </c>
      <c r="I456" s="2" t="s">
        <v>88</v>
      </c>
      <c r="J456" s="2" t="s">
        <v>50</v>
      </c>
      <c r="K456" s="3">
        <v>43188.491666666669</v>
      </c>
      <c r="L456" s="4">
        <v>43188</v>
      </c>
      <c r="M456" s="8">
        <v>43188</v>
      </c>
      <c r="N456" s="13"/>
    </row>
    <row r="457" spans="1:14" x14ac:dyDescent="0.15">
      <c r="A457" s="5">
        <v>1800141900000000</v>
      </c>
      <c r="B457" s="2" t="s">
        <v>89</v>
      </c>
      <c r="C457" s="2" t="s">
        <v>90</v>
      </c>
      <c r="D457" s="2" t="s">
        <v>139</v>
      </c>
      <c r="E457" s="2" t="s">
        <v>11</v>
      </c>
      <c r="F457" s="15" t="str">
        <f>"1900"</f>
        <v>1900</v>
      </c>
      <c r="G457" s="2">
        <v>36.61</v>
      </c>
      <c r="H457" s="2" t="s">
        <v>12</v>
      </c>
      <c r="I457" s="2" t="s">
        <v>88</v>
      </c>
      <c r="J457" s="2" t="s">
        <v>50</v>
      </c>
      <c r="K457" s="3">
        <v>43188.491666666669</v>
      </c>
      <c r="L457" s="4">
        <v>43188</v>
      </c>
      <c r="M457" s="8">
        <v>43188</v>
      </c>
      <c r="N457" s="13"/>
    </row>
    <row r="458" spans="1:14" x14ac:dyDescent="0.15">
      <c r="A458" s="5">
        <v>1800142000000000</v>
      </c>
      <c r="B458" s="2" t="s">
        <v>91</v>
      </c>
      <c r="C458" s="2" t="s">
        <v>92</v>
      </c>
      <c r="D458" s="2" t="s">
        <v>139</v>
      </c>
      <c r="E458" s="2" t="s">
        <v>11</v>
      </c>
      <c r="F458" s="15" t="str">
        <f>"600"</f>
        <v>600</v>
      </c>
      <c r="G458" s="2">
        <v>65.260000000000005</v>
      </c>
      <c r="H458" s="2" t="s">
        <v>12</v>
      </c>
      <c r="I458" s="2" t="s">
        <v>88</v>
      </c>
      <c r="J458" s="2" t="s">
        <v>50</v>
      </c>
      <c r="K458" s="3">
        <v>43188.491666666669</v>
      </c>
      <c r="L458" s="4">
        <v>43188</v>
      </c>
      <c r="M458" s="8">
        <v>43188</v>
      </c>
      <c r="N458" s="13"/>
    </row>
    <row r="459" spans="1:14" x14ac:dyDescent="0.15">
      <c r="A459" s="23">
        <v>1800085400000000</v>
      </c>
      <c r="B459" s="24" t="s">
        <v>97</v>
      </c>
      <c r="C459" s="24" t="s">
        <v>98</v>
      </c>
      <c r="D459" s="24" t="s">
        <v>144</v>
      </c>
      <c r="E459" s="24" t="s">
        <v>47</v>
      </c>
      <c r="F459" s="25" t="str">
        <f>"2480"</f>
        <v>2480</v>
      </c>
      <c r="G459" s="24">
        <v>21.5</v>
      </c>
      <c r="H459" s="24" t="s">
        <v>12</v>
      </c>
      <c r="I459" s="24" t="s">
        <v>88</v>
      </c>
      <c r="J459" s="24" t="s">
        <v>125</v>
      </c>
      <c r="K459" s="26">
        <v>43147.578472222223</v>
      </c>
      <c r="L459" s="28">
        <v>43147</v>
      </c>
      <c r="M459" s="27">
        <v>43147</v>
      </c>
      <c r="N459" s="13" t="s">
        <v>148</v>
      </c>
    </row>
    <row r="460" spans="1:14" x14ac:dyDescent="0.15">
      <c r="A460" s="5">
        <v>1800142300000000</v>
      </c>
      <c r="B460" s="2" t="s">
        <v>93</v>
      </c>
      <c r="C460" s="2" t="s">
        <v>94</v>
      </c>
      <c r="D460" s="2" t="s">
        <v>139</v>
      </c>
      <c r="E460" s="2" t="s">
        <v>11</v>
      </c>
      <c r="F460" s="15" t="str">
        <f>"4000"</f>
        <v>4000</v>
      </c>
      <c r="G460" s="2">
        <v>21.6</v>
      </c>
      <c r="H460" s="2" t="s">
        <v>12</v>
      </c>
      <c r="I460" s="2" t="s">
        <v>88</v>
      </c>
      <c r="J460" s="2" t="s">
        <v>50</v>
      </c>
      <c r="K460" s="3">
        <v>43188.492361111108</v>
      </c>
      <c r="L460" s="4">
        <v>43188</v>
      </c>
      <c r="M460" s="8">
        <v>43188</v>
      </c>
      <c r="N460" s="13"/>
    </row>
    <row r="461" spans="1:14" x14ac:dyDescent="0.15">
      <c r="A461" s="5">
        <v>1800142400000000</v>
      </c>
      <c r="B461" s="2" t="s">
        <v>95</v>
      </c>
      <c r="C461" s="2" t="s">
        <v>96</v>
      </c>
      <c r="D461" s="2" t="s">
        <v>139</v>
      </c>
      <c r="E461" s="2" t="s">
        <v>11</v>
      </c>
      <c r="F461" s="15" t="str">
        <f>"1300"</f>
        <v>1300</v>
      </c>
      <c r="G461" s="2">
        <v>60.17</v>
      </c>
      <c r="H461" s="2" t="s">
        <v>12</v>
      </c>
      <c r="I461" s="2" t="s">
        <v>88</v>
      </c>
      <c r="J461" s="2" t="s">
        <v>50</v>
      </c>
      <c r="K461" s="3">
        <v>43188.492361111108</v>
      </c>
      <c r="L461" s="4">
        <v>43188</v>
      </c>
      <c r="M461" s="8">
        <v>43188</v>
      </c>
      <c r="N461" s="13"/>
    </row>
    <row r="462" spans="1:14" x14ac:dyDescent="0.15">
      <c r="A462" s="5">
        <v>1800142500000000</v>
      </c>
      <c r="B462" s="2" t="s">
        <v>97</v>
      </c>
      <c r="C462" s="2" t="s">
        <v>98</v>
      </c>
      <c r="D462" s="2" t="s">
        <v>139</v>
      </c>
      <c r="E462" s="2" t="s">
        <v>11</v>
      </c>
      <c r="F462" s="15" t="str">
        <f>"1900"</f>
        <v>1900</v>
      </c>
      <c r="G462" s="2">
        <v>21.11</v>
      </c>
      <c r="H462" s="2" t="s">
        <v>12</v>
      </c>
      <c r="I462" s="2" t="s">
        <v>88</v>
      </c>
      <c r="J462" s="2" t="s">
        <v>50</v>
      </c>
      <c r="K462" s="3">
        <v>43188.492361111108</v>
      </c>
      <c r="L462" s="4">
        <v>43188</v>
      </c>
      <c r="M462" s="8">
        <v>43188</v>
      </c>
      <c r="N462" s="13"/>
    </row>
    <row r="463" spans="1:14" x14ac:dyDescent="0.15">
      <c r="A463" s="5">
        <v>1800142600000000</v>
      </c>
      <c r="B463" s="2" t="s">
        <v>99</v>
      </c>
      <c r="C463" s="2" t="s">
        <v>100</v>
      </c>
      <c r="D463" s="2" t="s">
        <v>139</v>
      </c>
      <c r="E463" s="2" t="s">
        <v>11</v>
      </c>
      <c r="F463" s="15" t="str">
        <f>"3000"</f>
        <v>3000</v>
      </c>
      <c r="G463" s="2">
        <v>16.850000000000001</v>
      </c>
      <c r="H463" s="2" t="s">
        <v>12</v>
      </c>
      <c r="I463" s="2" t="s">
        <v>88</v>
      </c>
      <c r="J463" s="2" t="s">
        <v>50</v>
      </c>
      <c r="K463" s="3">
        <v>43188.492361111108</v>
      </c>
      <c r="L463" s="4">
        <v>43188</v>
      </c>
      <c r="M463" s="8">
        <v>43188</v>
      </c>
      <c r="N463" s="13"/>
    </row>
    <row r="464" spans="1:14" x14ac:dyDescent="0.15">
      <c r="A464" s="5">
        <v>1800142800000000</v>
      </c>
      <c r="B464" s="2" t="s">
        <v>101</v>
      </c>
      <c r="C464" s="2" t="s">
        <v>102</v>
      </c>
      <c r="D464" s="2" t="s">
        <v>139</v>
      </c>
      <c r="E464" s="2" t="s">
        <v>11</v>
      </c>
      <c r="F464" s="15" t="str">
        <f>"500"</f>
        <v>500</v>
      </c>
      <c r="G464" s="2">
        <v>110.4</v>
      </c>
      <c r="H464" s="2" t="s">
        <v>12</v>
      </c>
      <c r="I464" s="2" t="s">
        <v>88</v>
      </c>
      <c r="J464" s="2" t="s">
        <v>50</v>
      </c>
      <c r="K464" s="3">
        <v>43188.492361111108</v>
      </c>
      <c r="L464" s="4">
        <v>43188</v>
      </c>
      <c r="M464" s="8">
        <v>43188</v>
      </c>
      <c r="N464" s="13"/>
    </row>
    <row r="465" spans="1:14" x14ac:dyDescent="0.15">
      <c r="A465" s="5">
        <v>1800143300000000</v>
      </c>
      <c r="B465" s="2" t="s">
        <v>103</v>
      </c>
      <c r="C465" s="2" t="s">
        <v>104</v>
      </c>
      <c r="D465" s="2" t="s">
        <v>139</v>
      </c>
      <c r="E465" s="2" t="s">
        <v>11</v>
      </c>
      <c r="F465" s="15" t="str">
        <f>"800"</f>
        <v>800</v>
      </c>
      <c r="G465" s="2">
        <v>70.72</v>
      </c>
      <c r="H465" s="2" t="s">
        <v>12</v>
      </c>
      <c r="I465" s="2" t="s">
        <v>88</v>
      </c>
      <c r="J465" s="2" t="s">
        <v>50</v>
      </c>
      <c r="K465" s="3">
        <v>43188.492361111108</v>
      </c>
      <c r="L465" s="4">
        <v>43188</v>
      </c>
      <c r="M465" s="8">
        <v>43188</v>
      </c>
      <c r="N465" s="13"/>
    </row>
    <row r="466" spans="1:14" x14ac:dyDescent="0.15">
      <c r="A466" s="5">
        <v>1800143500000000</v>
      </c>
      <c r="B466" s="2" t="s">
        <v>105</v>
      </c>
      <c r="C466" s="2" t="s">
        <v>106</v>
      </c>
      <c r="D466" s="2" t="s">
        <v>139</v>
      </c>
      <c r="E466" s="2" t="s">
        <v>11</v>
      </c>
      <c r="F466" s="15" t="str">
        <f>"900"</f>
        <v>900</v>
      </c>
      <c r="G466" s="2">
        <v>63.7</v>
      </c>
      <c r="H466" s="2" t="s">
        <v>12</v>
      </c>
      <c r="I466" s="2" t="s">
        <v>88</v>
      </c>
      <c r="J466" s="2" t="s">
        <v>50</v>
      </c>
      <c r="K466" s="3">
        <v>43188.492361111108</v>
      </c>
      <c r="L466" s="4">
        <v>43188</v>
      </c>
      <c r="M466" s="8">
        <v>43188</v>
      </c>
      <c r="N466" s="13"/>
    </row>
    <row r="467" spans="1:14" x14ac:dyDescent="0.15">
      <c r="A467" s="5">
        <v>1800143800000000</v>
      </c>
      <c r="B467" s="2" t="s">
        <v>107</v>
      </c>
      <c r="C467" s="2" t="s">
        <v>108</v>
      </c>
      <c r="D467" s="2" t="s">
        <v>139</v>
      </c>
      <c r="E467" s="2" t="s">
        <v>11</v>
      </c>
      <c r="F467" s="15" t="str">
        <f>"500"</f>
        <v>500</v>
      </c>
      <c r="G467" s="2">
        <v>183.35</v>
      </c>
      <c r="H467" s="2" t="s">
        <v>12</v>
      </c>
      <c r="I467" s="2" t="s">
        <v>88</v>
      </c>
      <c r="J467" s="2" t="s">
        <v>50</v>
      </c>
      <c r="K467" s="3">
        <v>43188.492361111108</v>
      </c>
      <c r="L467" s="4">
        <v>43188</v>
      </c>
      <c r="M467" s="8">
        <v>43188</v>
      </c>
      <c r="N467" s="13"/>
    </row>
    <row r="468" spans="1:14" x14ac:dyDescent="0.15">
      <c r="A468" s="5">
        <v>1800143900000000</v>
      </c>
      <c r="B468" s="2" t="s">
        <v>111</v>
      </c>
      <c r="C468" s="2" t="s">
        <v>112</v>
      </c>
      <c r="D468" s="2" t="s">
        <v>139</v>
      </c>
      <c r="E468" s="2" t="s">
        <v>11</v>
      </c>
      <c r="F468" s="15" t="str">
        <f>"1600"</f>
        <v>1600</v>
      </c>
      <c r="G468" s="2">
        <v>56.58</v>
      </c>
      <c r="H468" s="2" t="s">
        <v>12</v>
      </c>
      <c r="I468" s="2" t="s">
        <v>88</v>
      </c>
      <c r="J468" s="2" t="s">
        <v>50</v>
      </c>
      <c r="K468" s="3">
        <v>43188.492361111108</v>
      </c>
      <c r="L468" s="4">
        <v>43188</v>
      </c>
      <c r="M468" s="8">
        <v>43188</v>
      </c>
      <c r="N468" s="13"/>
    </row>
    <row r="469" spans="1:14" x14ac:dyDescent="0.15">
      <c r="A469" s="5">
        <v>1800144000000000</v>
      </c>
      <c r="B469" s="2" t="s">
        <v>113</v>
      </c>
      <c r="C469" s="2" t="s">
        <v>114</v>
      </c>
      <c r="D469" s="2" t="s">
        <v>139</v>
      </c>
      <c r="E469" s="2" t="s">
        <v>11</v>
      </c>
      <c r="F469" s="15" t="str">
        <f>"600"</f>
        <v>600</v>
      </c>
      <c r="G469" s="2">
        <v>98.5</v>
      </c>
      <c r="H469" s="2" t="s">
        <v>12</v>
      </c>
      <c r="I469" s="2" t="s">
        <v>88</v>
      </c>
      <c r="J469" s="2" t="s">
        <v>50</v>
      </c>
      <c r="K469" s="3">
        <v>43188.492361111108</v>
      </c>
      <c r="L469" s="4">
        <v>43188</v>
      </c>
      <c r="M469" s="8">
        <v>43188</v>
      </c>
      <c r="N469" s="13"/>
    </row>
    <row r="470" spans="1:14" x14ac:dyDescent="0.15">
      <c r="A470" s="5">
        <v>1800144100000000</v>
      </c>
      <c r="B470" s="2" t="s">
        <v>115</v>
      </c>
      <c r="C470" s="2" t="s">
        <v>116</v>
      </c>
      <c r="D470" s="2" t="s">
        <v>139</v>
      </c>
      <c r="E470" s="2" t="s">
        <v>11</v>
      </c>
      <c r="F470" s="15" t="str">
        <f>"3000"</f>
        <v>3000</v>
      </c>
      <c r="G470" s="2">
        <v>13.75</v>
      </c>
      <c r="H470" s="2" t="s">
        <v>12</v>
      </c>
      <c r="I470" s="2" t="s">
        <v>88</v>
      </c>
      <c r="J470" s="2" t="s">
        <v>50</v>
      </c>
      <c r="K470" s="3">
        <v>43188.492361111108</v>
      </c>
      <c r="L470" s="4">
        <v>43188</v>
      </c>
      <c r="M470" s="8">
        <v>43188</v>
      </c>
      <c r="N470" s="13"/>
    </row>
    <row r="471" spans="1:14" x14ac:dyDescent="0.15">
      <c r="A471" s="5">
        <v>1800144200000000</v>
      </c>
      <c r="B471" s="2" t="s">
        <v>117</v>
      </c>
      <c r="C471" s="2" t="s">
        <v>118</v>
      </c>
      <c r="D471" s="2" t="s">
        <v>139</v>
      </c>
      <c r="E471" s="2" t="s">
        <v>11</v>
      </c>
      <c r="F471" s="15" t="str">
        <f>"2000"</f>
        <v>2000</v>
      </c>
      <c r="G471" s="2">
        <v>42.86</v>
      </c>
      <c r="H471" s="2" t="s">
        <v>12</v>
      </c>
      <c r="I471" s="2" t="s">
        <v>88</v>
      </c>
      <c r="J471" s="2" t="s">
        <v>50</v>
      </c>
      <c r="K471" s="3">
        <v>43188.492361111108</v>
      </c>
      <c r="L471" s="4">
        <v>43188</v>
      </c>
      <c r="M471" s="8">
        <v>43188</v>
      </c>
      <c r="N471" s="13"/>
    </row>
    <row r="472" spans="1:14" x14ac:dyDescent="0.15">
      <c r="A472" s="5">
        <v>1800144300000000</v>
      </c>
      <c r="B472" s="2" t="s">
        <v>119</v>
      </c>
      <c r="C472" s="2" t="s">
        <v>120</v>
      </c>
      <c r="D472" s="2" t="s">
        <v>139</v>
      </c>
      <c r="E472" s="2" t="s">
        <v>11</v>
      </c>
      <c r="F472" s="15" t="str">
        <f>"1600"</f>
        <v>1600</v>
      </c>
      <c r="G472" s="2">
        <v>65.33</v>
      </c>
      <c r="H472" s="2" t="s">
        <v>12</v>
      </c>
      <c r="I472" s="2" t="s">
        <v>88</v>
      </c>
      <c r="J472" s="2" t="s">
        <v>50</v>
      </c>
      <c r="K472" s="3">
        <v>43188.492361111108</v>
      </c>
      <c r="L472" s="4">
        <v>43188</v>
      </c>
      <c r="M472" s="8">
        <v>43188</v>
      </c>
      <c r="N472" s="13"/>
    </row>
    <row r="473" spans="1:14" x14ac:dyDescent="0.15">
      <c r="A473" s="5">
        <v>1800144400000000</v>
      </c>
      <c r="B473" s="2" t="s">
        <v>121</v>
      </c>
      <c r="C473" s="2" t="s">
        <v>122</v>
      </c>
      <c r="D473" s="2" t="s">
        <v>139</v>
      </c>
      <c r="E473" s="2" t="s">
        <v>11</v>
      </c>
      <c r="F473" s="15" t="str">
        <f>"900"</f>
        <v>900</v>
      </c>
      <c r="G473" s="2">
        <v>71.34</v>
      </c>
      <c r="H473" s="2" t="s">
        <v>12</v>
      </c>
      <c r="I473" s="2" t="s">
        <v>88</v>
      </c>
      <c r="J473" s="2" t="s">
        <v>50</v>
      </c>
      <c r="K473" s="3">
        <v>43188.492361111108</v>
      </c>
      <c r="L473" s="4">
        <v>43188</v>
      </c>
      <c r="M473" s="8">
        <v>43188</v>
      </c>
      <c r="N473" s="13"/>
    </row>
    <row r="474" spans="1:14" x14ac:dyDescent="0.15">
      <c r="A474" s="5">
        <v>1800144600000000</v>
      </c>
      <c r="B474" s="2" t="s">
        <v>123</v>
      </c>
      <c r="C474" s="2" t="s">
        <v>124</v>
      </c>
      <c r="D474" s="2" t="s">
        <v>139</v>
      </c>
      <c r="E474" s="2" t="s">
        <v>11</v>
      </c>
      <c r="F474" s="15" t="str">
        <f>"900"</f>
        <v>900</v>
      </c>
      <c r="G474" s="2">
        <v>54.25</v>
      </c>
      <c r="H474" s="2" t="s">
        <v>12</v>
      </c>
      <c r="I474" s="2" t="s">
        <v>88</v>
      </c>
      <c r="J474" s="2" t="s">
        <v>50</v>
      </c>
      <c r="K474" s="3">
        <v>43188.492361111108</v>
      </c>
      <c r="L474" s="4">
        <v>43188</v>
      </c>
      <c r="M474" s="11">
        <v>43188</v>
      </c>
      <c r="N474" s="14"/>
    </row>
  </sheetData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3"/>
  <sheetViews>
    <sheetView workbookViewId="0">
      <selection activeCell="C3" sqref="C3"/>
    </sheetView>
  </sheetViews>
  <sheetFormatPr baseColWidth="10" defaultRowHeight="14" x14ac:dyDescent="0.15"/>
  <sheetData>
    <row r="3" spans="2:3" x14ac:dyDescent="0.15">
      <c r="B3">
        <v>20000</v>
      </c>
      <c r="C3">
        <f>B3*0.91</f>
        <v>18200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LZG_COMPLIANCE</vt:lpstr>
      <vt:lpstr>Feuil2</vt:lpstr>
    </vt:vector>
  </TitlesOfParts>
  <Company>LAZARD FRERES BANQUE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DROUILLY, Amélie</dc:creator>
  <cp:lastModifiedBy>Utilisateur de Microsoft Office</cp:lastModifiedBy>
  <dcterms:created xsi:type="dcterms:W3CDTF">2019-01-10T15:03:53Z</dcterms:created>
  <dcterms:modified xsi:type="dcterms:W3CDTF">2019-01-16T17:11:24Z</dcterms:modified>
</cp:coreProperties>
</file>