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chartsheets/sheet2.xml" ContentType="application/vnd.openxmlformats-officedocument.spreadsheetml.chart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ml.chartshapes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5.xml" ContentType="application/vnd.openxmlformats-officedocument.drawingml.chartshapes+xml"/>
  <Override PartName="/xl/drawings/drawing6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drawings/drawing7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17430" windowHeight="14730" tabRatio="500" xr2:uid="{00000000-000D-0000-FFFF-FFFF00000000}"/>
  </bookViews>
  <sheets>
    <sheet name="Graphique1" sheetId="5" r:id="rId1"/>
    <sheet name="LOG NAV" sheetId="4" r:id="rId2"/>
    <sheet name="Graphique2" sheetId="3" r:id="rId3"/>
    <sheet name="Data" sheetId="2" r:id="rId4"/>
    <sheet name="PREPARATION nav" sheetId="1" r:id="rId5"/>
  </sheets>
  <externalReferences>
    <externalReference r:id="rId6"/>
    <externalReference r:id="rId7"/>
  </externalReferences>
  <definedNames>
    <definedName name="_05_10_2016" localSheetId="1">[1]!AVION[AVION]</definedName>
    <definedName name="_05_10_2016">AVION1[AVION]</definedName>
    <definedName name="Arrivee" localSheetId="3">'[2]PREPARATION nav'!$D$13</definedName>
    <definedName name="Arrivee" localSheetId="1">'[2]PREPARATION nav'!$D$13</definedName>
    <definedName name="Arrivee">'PREPARATION nav'!$D$13</definedName>
    <definedName name="Autono">'PREPARATION nav'!$I$3</definedName>
    <definedName name="Autovol">'LOG NAV'!$F$39</definedName>
    <definedName name="Choix">'PREPARATION nav'!$C$36</definedName>
    <definedName name="Conso" localSheetId="3">'[2]PREPARATION nav'!$J$3</definedName>
    <definedName name="Conso" localSheetId="1">'[2]PREPARATION nav'!$J$3</definedName>
    <definedName name="Conso">'PREPARATION nav'!$J$3</definedName>
    <definedName name="COUT" localSheetId="1">[1]!Tableau3[[#Totals],[TOTAL ]]</definedName>
    <definedName name="COUT">#REF!</definedName>
    <definedName name="derive1">'[2]LOG NAV'!$D$4</definedName>
    <definedName name="derive2">'[2]LOG NAV'!$D$10</definedName>
    <definedName name="derive3">'[2]LOG NAV'!$D$14</definedName>
    <definedName name="derive4">'[2]LOG NAV'!$D$18</definedName>
    <definedName name="derive5">'LOG NAV'!$D$22</definedName>
    <definedName name="dtg">'[2]LOG NAV'!$F$30</definedName>
    <definedName name="ETA">'PREPARATION nav'!$G$3</definedName>
    <definedName name="ETD" localSheetId="3">'[2]PREPARATION nav'!$F$3</definedName>
    <definedName name="ETD" localSheetId="1">'[2]PREPARATION nav'!$F$3</definedName>
    <definedName name="ETD">'PREPARATION nav'!$F$3</definedName>
    <definedName name="FACTURES">#REF!</definedName>
    <definedName name="fuel" localSheetId="3">'[2]PREPARATION nav'!$I$4</definedName>
    <definedName name="fuel" localSheetId="1">'[2]PREPARATION nav'!$I$4</definedName>
    <definedName name="fuel">'PREPARATION nav'!$I$4</definedName>
    <definedName name="heuredualac">[2]!Tableau11[[#Totals],[dual]]</definedName>
    <definedName name="heuresingleac">[2]!Tableau11[[#Totals],[single]]</definedName>
    <definedName name="latitude1">[2]CALCUL!$J$4</definedName>
    <definedName name="latitude10">[2]CALCUL!$J$13</definedName>
    <definedName name="latitude11">[2]CALCUL!$J$14</definedName>
    <definedName name="latitude12">[2]CALCUL!$J$15</definedName>
    <definedName name="latitude2">[2]CALCUL!$J$5</definedName>
    <definedName name="latitude3">[2]CALCUL!$J$6</definedName>
    <definedName name="latitude4">[2]CALCUL!$J$7</definedName>
    <definedName name="latitude5">[2]CALCUL!$J$8</definedName>
    <definedName name="latitude6">[2]CALCUL!$J$9</definedName>
    <definedName name="latitude7">[2]CALCUL!$J$10</definedName>
    <definedName name="latitude8">[2]CALCUL!$J$11</definedName>
    <definedName name="latitude9">[2]CALCUL!$J$12</definedName>
    <definedName name="longitude1">[2]CALCUL!$K$4</definedName>
    <definedName name="longitude10">[2]CALCUL!$K$13</definedName>
    <definedName name="longitude11">[2]CALCUL!$K$14</definedName>
    <definedName name="longitude12">[2]CALCUL!$K$15</definedName>
    <definedName name="longitude2">[2]CALCUL!$K$5</definedName>
    <definedName name="longitude3">[2]CALCUL!$K$6</definedName>
    <definedName name="longitude4">[2]CALCUL!$K$7</definedName>
    <definedName name="longitude5">[2]CALCUL!$K$8</definedName>
    <definedName name="longitude6">[2]CALCUL!$K$9</definedName>
    <definedName name="longitude7">[2]CALCUL!$K$10</definedName>
    <definedName name="longitude8">[2]CALCUL!$K$11</definedName>
    <definedName name="longitude9">[2]CALCUL!$K$12</definedName>
    <definedName name="LTC">'[2]Tableau de bord'!$H$18</definedName>
    <definedName name="Point1" localSheetId="3">'[2]PREPARATION nav'!$D$8</definedName>
    <definedName name="Point1" localSheetId="1">'[2]PREPARATION nav'!$D$8</definedName>
    <definedName name="Point1">'PREPARATION nav'!$D$8</definedName>
    <definedName name="Point2" localSheetId="3">'[2]PREPARATION nav'!$D$9</definedName>
    <definedName name="Point2" localSheetId="1">'[2]PREPARATION nav'!$D$9</definedName>
    <definedName name="Point2">'PREPARATION nav'!$D$9</definedName>
    <definedName name="Point3" localSheetId="3">'[2]PREPARATION nav'!$D$10</definedName>
    <definedName name="Point3" localSheetId="1">'[2]PREPARATION nav'!$D$10</definedName>
    <definedName name="Point3">'PREPARATION nav'!$D$10</definedName>
    <definedName name="Point4" localSheetId="3">'[2]PREPARATION nav'!$D$11</definedName>
    <definedName name="Point4" localSheetId="1">'[2]PREPARATION nav'!$D$11</definedName>
    <definedName name="Point4">'PREPARATION nav'!$D$11</definedName>
    <definedName name="Point5" localSheetId="3">'[2]PREPARATION nav'!$D$12</definedName>
    <definedName name="Point5" localSheetId="1">'[2]PREPARATION nav'!$D$12</definedName>
    <definedName name="Point5">'PREPARATION nav'!$D$12</definedName>
    <definedName name="route1">[2]CALCUL!$D$18</definedName>
    <definedName name="route2">[2]CALCUL!$I$18</definedName>
    <definedName name="route3">[2]CALCUL!$D$36</definedName>
    <definedName name="route4">[2]CALCUL!$I$36</definedName>
    <definedName name="route5">[2]CALCUL!$D$55</definedName>
    <definedName name="route6">[2]CALCUL!$I$55</definedName>
    <definedName name="seul">[2]!Tableau11[[#Totals],[single]]</definedName>
    <definedName name="SOMMETOTALE" localSheetId="1">[1]!Tableau3[[#Totals],[TOTAL ]]</definedName>
    <definedName name="SOMMETOTALE">#REF!</definedName>
    <definedName name="TANK">'PREPARATION nav'!$I$5</definedName>
    <definedName name="TAS" localSheetId="3">'[2]PREPARATION nav'!$H$6</definedName>
    <definedName name="TAS" localSheetId="1">'[2]PREPARATION nav'!$H$6</definedName>
    <definedName name="TAS">'PREPARATION nav'!$H$6</definedName>
    <definedName name="totalac">'[2]ANCIEN CV'!$G$275</definedName>
    <definedName name="totalacd">'[2]ANCIEN CV'!$L$275</definedName>
    <definedName name="totalacland">'[2]ANCIEN CV'!$I$275</definedName>
    <definedName name="totalacs">'[2]ANCIEN CV'!$K$275</definedName>
    <definedName name="totalanciencarnet">[2]!Tableau11[[#Totals],[TIME OF FLIGHT]]</definedName>
    <definedName name="totalfuel">'LOG NAV'!$G$39</definedName>
    <definedName name="totalp1d">[2]CARNET_DE_VOL!$U$23</definedName>
    <definedName name="totalp2d">[2]CARNET_DE_VOL!$U$44</definedName>
    <definedName name="totalp3d">[2]CARNET_DE_VOL!$U$65</definedName>
    <definedName name="totalp3s">[2]CARNET_DE_VOL!$T$65</definedName>
    <definedName name="totalp4d">[2]CARNET_DE_VOL!$U$86</definedName>
    <definedName name="totalp4s">[2]CARNET_DE_VOL!$T$86</definedName>
    <definedName name="totalp5d">[2]CARNET_DE_VOL!$U$107</definedName>
    <definedName name="totalp5s">[2]CARNET_DE_VOL!$T$107</definedName>
    <definedName name="totalp6d">[2]CARNET_DE_VOL!$U$128</definedName>
    <definedName name="totalp6s">[2]CARNET_DE_VOL!$T$128</definedName>
    <definedName name="totalp7d">[2]CARNET_DE_VOL!$U$149</definedName>
    <definedName name="totalp7s">[2]CARNET_DE_VOL!$T$149</definedName>
    <definedName name="totalpage1s">[2]CARNET_DE_VOL!$T$23</definedName>
    <definedName name="totalseul">[2]!Tableau11[[#Totals],[single]]</definedName>
    <definedName name="totalsingllep2">[2]CARNET_DE_VOL!$T$44</definedName>
    <definedName name="TOTSEUL">[2]!Tableau11[[#Totals],[single]]</definedName>
    <definedName name="Ttnc">'[2]Tableau de bord'!$I$7</definedName>
    <definedName name="Ttt">'[2]LOG NAV'!$G$30</definedName>
    <definedName name="Ttth" localSheetId="3">'[2]PREPARATION nav'!$I$6</definedName>
    <definedName name="Ttth" localSheetId="1">'[2]PREPARATION nav'!$I$6</definedName>
    <definedName name="Ttth">'PREPARATION nav'!$I$6</definedName>
    <definedName name="UTC">'[2]Tableau de bord'!$I$18</definedName>
    <definedName name="variable">[2]CALCUL!$P$2</definedName>
    <definedName name="Vfb">'LOG NAV'!#REF!</definedName>
    <definedName name="WINd" localSheetId="3">'[2]PREPARATION nav'!$J$6</definedName>
    <definedName name="WINd" localSheetId="1">'[2]PREPARATION nav'!$J$6</definedName>
    <definedName name="WINd">'PREPARATION nav'!$J$6</definedName>
    <definedName name="WINf" localSheetId="3">'[2]PREPARATION nav'!$K$6</definedName>
    <definedName name="WINf" localSheetId="1">'[2]PREPARATION nav'!$K$6</definedName>
    <definedName name="WINf">'PREPARATION nav'!$K$6</definedName>
    <definedName name="_xlnm.Print_Area" localSheetId="1">'LOG NAV'!$A$1:$L$40</definedName>
    <definedName name="_xlnm.Print_Area" localSheetId="4">'PREPARATION nav'!$A$16:$K$38</definedName>
  </definedNames>
  <calcPr calcId="171027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6" i="1" l="1"/>
  <c r="F1" i="1"/>
  <c r="E13" i="1"/>
  <c r="F18" i="1"/>
  <c r="F19" i="1"/>
  <c r="F17" i="1"/>
  <c r="E32" i="1"/>
  <c r="E30" i="1"/>
  <c r="E28" i="1"/>
  <c r="E27" i="1"/>
  <c r="E25" i="1"/>
  <c r="E24" i="1"/>
  <c r="E23" i="1"/>
  <c r="E22" i="1"/>
  <c r="H4" i="1"/>
  <c r="H6" i="1"/>
  <c r="F35" i="4"/>
  <c r="G35" i="4"/>
  <c r="G36" i="4"/>
  <c r="G37" i="4"/>
  <c r="G38" i="4"/>
  <c r="G39" i="4"/>
  <c r="G40" i="4"/>
  <c r="F40" i="4"/>
  <c r="F39" i="4"/>
  <c r="J34" i="4"/>
  <c r="I28" i="4"/>
  <c r="L31" i="4"/>
  <c r="L30" i="4"/>
  <c r="J30" i="4"/>
  <c r="F27" i="4"/>
  <c r="C29" i="4"/>
  <c r="D26" i="4"/>
  <c r="E26" i="4"/>
  <c r="G26" i="4"/>
  <c r="F23" i="4"/>
  <c r="C25" i="4"/>
  <c r="D22" i="4"/>
  <c r="E22" i="4"/>
  <c r="G22" i="4"/>
  <c r="F19" i="4"/>
  <c r="C21" i="4"/>
  <c r="D18" i="4"/>
  <c r="E18" i="4"/>
  <c r="G18" i="4"/>
  <c r="F15" i="4"/>
  <c r="C17" i="4"/>
  <c r="D14" i="4"/>
  <c r="E14" i="4"/>
  <c r="G14" i="4"/>
  <c r="F11" i="4"/>
  <c r="C13" i="4"/>
  <c r="D10" i="4"/>
  <c r="E10" i="4"/>
  <c r="G10" i="4"/>
  <c r="F5" i="4"/>
  <c r="C7" i="4"/>
  <c r="D4" i="4"/>
  <c r="E4" i="4"/>
  <c r="G4" i="4"/>
  <c r="G30" i="4"/>
  <c r="F30" i="4"/>
  <c r="J29" i="4"/>
  <c r="F7" i="4"/>
  <c r="F10" i="4"/>
  <c r="F13" i="4"/>
  <c r="F14" i="4"/>
  <c r="F17" i="4"/>
  <c r="F18" i="4"/>
  <c r="F21" i="4"/>
  <c r="F22" i="4"/>
  <c r="F25" i="4"/>
  <c r="F26" i="4"/>
  <c r="F29" i="4"/>
  <c r="B29" i="4"/>
  <c r="J28" i="4"/>
  <c r="I24" i="4"/>
  <c r="L27" i="4"/>
  <c r="C27" i="4"/>
  <c r="B27" i="4"/>
  <c r="J25" i="4"/>
  <c r="B25" i="4"/>
  <c r="J24" i="4"/>
  <c r="I20" i="4"/>
  <c r="L23" i="4"/>
  <c r="C23" i="4"/>
  <c r="B23" i="4"/>
  <c r="J21" i="4"/>
  <c r="B21" i="4"/>
  <c r="J20" i="4"/>
  <c r="I16" i="4"/>
  <c r="L19" i="4"/>
  <c r="C19" i="4"/>
  <c r="B19" i="4"/>
  <c r="J17" i="4"/>
  <c r="B17" i="4"/>
  <c r="J16" i="4"/>
  <c r="I12" i="4"/>
  <c r="L15" i="4"/>
  <c r="C15" i="4"/>
  <c r="B15" i="4"/>
  <c r="L13" i="4"/>
  <c r="J13" i="4"/>
  <c r="B13" i="4"/>
  <c r="J12" i="4"/>
  <c r="I6" i="4"/>
  <c r="L11" i="4"/>
  <c r="C11" i="4"/>
  <c r="B11" i="4"/>
  <c r="J8" i="4"/>
  <c r="I2" i="4"/>
  <c r="B7" i="4"/>
  <c r="J6" i="4"/>
  <c r="L5" i="4"/>
  <c r="C5" i="4"/>
  <c r="B5" i="4"/>
  <c r="L4" i="4"/>
  <c r="F4" i="4"/>
  <c r="J3" i="4"/>
  <c r="J2" i="4"/>
  <c r="F25" i="2"/>
  <c r="F26" i="2"/>
  <c r="F27" i="2"/>
  <c r="F28" i="2"/>
  <c r="F29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30" i="2"/>
  <c r="H1" i="2"/>
  <c r="I1" i="2"/>
  <c r="J1" i="2"/>
  <c r="K1" i="2"/>
  <c r="L1" i="2"/>
  <c r="M1" i="2"/>
  <c r="N1" i="2"/>
  <c r="O1" i="2"/>
  <c r="P1" i="2"/>
  <c r="Q1" i="2"/>
  <c r="D32" i="1"/>
  <c r="F32" i="1"/>
  <c r="D30" i="1"/>
  <c r="F30" i="1"/>
  <c r="C28" i="1"/>
  <c r="D28" i="1"/>
  <c r="F28" i="1"/>
  <c r="D25" i="1"/>
  <c r="F25" i="1"/>
  <c r="D23" i="1"/>
  <c r="F23" i="1"/>
  <c r="D24" i="1"/>
  <c r="F24" i="1"/>
  <c r="D22" i="1"/>
  <c r="F22" i="1"/>
  <c r="E33" i="1"/>
  <c r="D33" i="1"/>
  <c r="F33" i="1"/>
  <c r="F35" i="1"/>
  <c r="D35" i="1"/>
  <c r="E35" i="1"/>
  <c r="D27" i="1"/>
  <c r="F27" i="1"/>
  <c r="F34" i="1"/>
  <c r="D34" i="1"/>
  <c r="E34" i="1"/>
  <c r="A21" i="1"/>
  <c r="A20" i="1"/>
  <c r="A19" i="1"/>
  <c r="A18" i="1"/>
  <c r="A3" i="1"/>
  <c r="C17" i="1"/>
  <c r="D13" i="1"/>
  <c r="E12" i="1"/>
  <c r="E11" i="1"/>
  <c r="E10" i="1"/>
  <c r="E9" i="1"/>
  <c r="E8" i="1"/>
  <c r="I7" i="1"/>
  <c r="D7" i="1"/>
  <c r="E7" i="1"/>
  <c r="I6" i="1"/>
  <c r="C4" i="1"/>
  <c r="K3" i="1"/>
  <c r="J3" i="1"/>
  <c r="I3" i="1"/>
  <c r="G3" i="1"/>
  <c r="C3" i="1"/>
  <c r="G1" i="1"/>
</calcChain>
</file>

<file path=xl/sharedStrings.xml><?xml version="1.0" encoding="utf-8"?>
<sst xmlns="http://schemas.openxmlformats.org/spreadsheetml/2006/main" count="440" uniqueCount="298">
  <si>
    <t>PREPARATION D'UNE NAVIGATION VERS</t>
  </si>
  <si>
    <t>Date:</t>
  </si>
  <si>
    <t>time</t>
  </si>
  <si>
    <t>ETD</t>
  </si>
  <si>
    <t>ETA</t>
  </si>
  <si>
    <t>AVION</t>
  </si>
  <si>
    <t>AUTONOMIE</t>
  </si>
  <si>
    <t>Consumption</t>
  </si>
  <si>
    <t>FUEL</t>
  </si>
  <si>
    <t>AERODROME</t>
  </si>
  <si>
    <t>PH-AML</t>
  </si>
  <si>
    <t>Départ</t>
  </si>
  <si>
    <t>Arrivée</t>
  </si>
  <si>
    <t>TYPE DE VOL</t>
  </si>
  <si>
    <t>EBSP</t>
  </si>
  <si>
    <t>EBCI</t>
  </si>
  <si>
    <t>ALTERNATE</t>
  </si>
  <si>
    <t>Tas/IAS kt</t>
  </si>
  <si>
    <t>Time Fly</t>
  </si>
  <si>
    <t>Win/dir</t>
  </si>
  <si>
    <t>Win/kt</t>
  </si>
  <si>
    <t>NAV</t>
  </si>
  <si>
    <t>EBLG</t>
  </si>
  <si>
    <t>ATIS</t>
  </si>
  <si>
    <t>DEPART</t>
  </si>
  <si>
    <t>Cout</t>
  </si>
  <si>
    <t>Point tournant 1</t>
  </si>
  <si>
    <t xml:space="preserve">LA SOURCE </t>
  </si>
  <si>
    <t>Point tournant 2</t>
  </si>
  <si>
    <t>SPI</t>
  </si>
  <si>
    <t>Point tournant 3</t>
  </si>
  <si>
    <t>SE</t>
  </si>
  <si>
    <t>Point tournant 4</t>
  </si>
  <si>
    <t>SA</t>
  </si>
  <si>
    <t>Point tournant 5</t>
  </si>
  <si>
    <t>ARRIVEE</t>
  </si>
  <si>
    <t>DEVIS DE CENTRAGE</t>
  </si>
  <si>
    <t>date du vol</t>
  </si>
  <si>
    <t>empty w</t>
  </si>
  <si>
    <t>PILOTE</t>
  </si>
  <si>
    <t>PENDERS Bernard</t>
  </si>
  <si>
    <t>empty cg</t>
  </si>
  <si>
    <t>Max Weight</t>
  </si>
  <si>
    <t>Item</t>
  </si>
  <si>
    <t>weight kg</t>
  </si>
  <si>
    <t>weight lbs</t>
  </si>
  <si>
    <t>arm</t>
  </si>
  <si>
    <t>moment</t>
  </si>
  <si>
    <t>Pilote</t>
  </si>
  <si>
    <t>Copilote</t>
  </si>
  <si>
    <t>Passagers</t>
  </si>
  <si>
    <t>Huile</t>
  </si>
  <si>
    <t>Fuel Takeoff</t>
  </si>
  <si>
    <t>Fuel Landing</t>
  </si>
  <si>
    <t>Bag 1</t>
  </si>
  <si>
    <t>Bag 2</t>
  </si>
  <si>
    <t>Empty Aircraft</t>
  </si>
  <si>
    <t>Total Take Off</t>
  </si>
  <si>
    <t>Total Landing</t>
  </si>
  <si>
    <t>Type</t>
  </si>
  <si>
    <t>PU</t>
  </si>
  <si>
    <t>TAS</t>
  </si>
  <si>
    <t>cgF</t>
  </si>
  <si>
    <t>cgB</t>
  </si>
  <si>
    <t>Consomation</t>
  </si>
  <si>
    <t>max weight</t>
  </si>
  <si>
    <t>arm pic</t>
  </si>
  <si>
    <t>arm oil</t>
  </si>
  <si>
    <t>oil</t>
  </si>
  <si>
    <t>arm bg 1</t>
  </si>
  <si>
    <t>arm bg 2</t>
  </si>
  <si>
    <t>arm Fuel</t>
  </si>
  <si>
    <t>arm PAX</t>
  </si>
  <si>
    <t>Graphique</t>
  </si>
  <si>
    <t>INSTRUCTEUR</t>
  </si>
  <si>
    <t>PRIX</t>
  </si>
  <si>
    <t>Colonne1</t>
  </si>
  <si>
    <t>LANDING</t>
  </si>
  <si>
    <t>Colonne2</t>
  </si>
  <si>
    <t>Date revalidation</t>
  </si>
  <si>
    <t>OO-ALD</t>
  </si>
  <si>
    <t>C150</t>
  </si>
  <si>
    <t>Graphique1</t>
  </si>
  <si>
    <t>MENDES Benoit</t>
  </si>
  <si>
    <t>Médical général</t>
  </si>
  <si>
    <t>OO-ALE</t>
  </si>
  <si>
    <t>C172M</t>
  </si>
  <si>
    <t>CLAESSEN Nicolas</t>
  </si>
  <si>
    <t>ECG</t>
  </si>
  <si>
    <t>OO-CMT</t>
  </si>
  <si>
    <t>C-172</t>
  </si>
  <si>
    <t>ELP</t>
  </si>
  <si>
    <t>OO-CNW</t>
  </si>
  <si>
    <t>CLAUDE Georges</t>
  </si>
  <si>
    <t>SEP</t>
  </si>
  <si>
    <t>OO-EHO</t>
  </si>
  <si>
    <t>ROTHEUTH Guy</t>
  </si>
  <si>
    <t>OO-JRB</t>
  </si>
  <si>
    <t>C-150</t>
  </si>
  <si>
    <t>DE COSTER Thibault</t>
  </si>
  <si>
    <t>OO-FMX</t>
  </si>
  <si>
    <t>C172N</t>
  </si>
  <si>
    <t>OO-MCT</t>
  </si>
  <si>
    <t>R22</t>
  </si>
  <si>
    <t>OO-SIW</t>
  </si>
  <si>
    <t>OO-SPA</t>
  </si>
  <si>
    <t>C-206</t>
  </si>
  <si>
    <t>OO-SPC</t>
  </si>
  <si>
    <t>OO-SPE</t>
  </si>
  <si>
    <t>OO-SPP</t>
  </si>
  <si>
    <t>C152</t>
  </si>
  <si>
    <t>IOAC</t>
  </si>
  <si>
    <t>lat</t>
  </si>
  <si>
    <t>long</t>
  </si>
  <si>
    <t>lieu</t>
  </si>
  <si>
    <t>PISTE</t>
  </si>
  <si>
    <t>ALT SECURITE</t>
  </si>
  <si>
    <t>INFO1</t>
  </si>
  <si>
    <t>INFO2</t>
  </si>
  <si>
    <t>RNAV2</t>
  </si>
  <si>
    <t>RNAV</t>
  </si>
  <si>
    <t>Colonne3</t>
  </si>
  <si>
    <t xml:space="preserve">RADIO </t>
  </si>
  <si>
    <t>Approche</t>
  </si>
  <si>
    <t>proche</t>
  </si>
  <si>
    <t>OO-SPQ</t>
  </si>
  <si>
    <t>PA28</t>
  </si>
  <si>
    <t>BUN</t>
  </si>
  <si>
    <t>VOR BUN 110.600</t>
  </si>
  <si>
    <t>BELGA 129.325</t>
  </si>
  <si>
    <t>BRU INFO 126.900</t>
  </si>
  <si>
    <t>LNO 112.800</t>
  </si>
  <si>
    <t>FLO 112.050</t>
  </si>
  <si>
    <t>110.600</t>
  </si>
  <si>
    <t>OO-SPT</t>
  </si>
  <si>
    <t>C-152</t>
  </si>
  <si>
    <t>CINEY</t>
  </si>
  <si>
    <t xml:space="preserve">Ciney </t>
  </si>
  <si>
    <t>Ville</t>
  </si>
  <si>
    <t>SPI 113.100</t>
  </si>
  <si>
    <t>HUL 117.550</t>
  </si>
  <si>
    <t>-</t>
  </si>
  <si>
    <t>EBNM</t>
  </si>
  <si>
    <t>OO-SPU</t>
  </si>
  <si>
    <t>CMB</t>
  </si>
  <si>
    <t>VOR CMB 112.600</t>
  </si>
  <si>
    <t>112.600</t>
  </si>
  <si>
    <t>C182</t>
  </si>
  <si>
    <t>Graphique2</t>
  </si>
  <si>
    <t>COO</t>
  </si>
  <si>
    <t>COO bassin</t>
  </si>
  <si>
    <t>Bassin hydroélectrique</t>
  </si>
  <si>
    <t>126.900</t>
  </si>
  <si>
    <t>DAUSSOULX</t>
  </si>
  <si>
    <t>Daussoulx ( Namur)</t>
  </si>
  <si>
    <t>Echangeur autoroutier</t>
  </si>
  <si>
    <t>E</t>
  </si>
  <si>
    <t>ECHO (EBCI)</t>
  </si>
  <si>
    <t>Spy station essence autoroute</t>
  </si>
  <si>
    <t>UNITE</t>
  </si>
  <si>
    <t>EAST HASSELT</t>
  </si>
  <si>
    <t>EAST Exit Hasselt</t>
  </si>
  <si>
    <t>EBAW</t>
  </si>
  <si>
    <t>Antwerpen/Deurne</t>
  </si>
  <si>
    <t>11/29 39 ft</t>
  </si>
  <si>
    <t>BUN 110.600</t>
  </si>
  <si>
    <t>135.200 </t>
  </si>
  <si>
    <t>121.900 </t>
  </si>
  <si>
    <t>EBST</t>
  </si>
  <si>
    <t>124.200 </t>
  </si>
  <si>
    <t>LOCAL</t>
  </si>
  <si>
    <t>EBCF</t>
  </si>
  <si>
    <t>Cerfontaine</t>
  </si>
  <si>
    <t>12/30 990 ft</t>
  </si>
  <si>
    <t>bELGA 129.325</t>
  </si>
  <si>
    <t>bRU INFO 126.900</t>
  </si>
  <si>
    <t>Aeroport de Charleroi</t>
  </si>
  <si>
    <t>25/07 614 ft</t>
  </si>
  <si>
    <t>121.800</t>
  </si>
  <si>
    <t>121.300</t>
  </si>
  <si>
    <t>133.125</t>
  </si>
  <si>
    <t>Aéroport Liège Bierset</t>
  </si>
  <si>
    <t>05R/23L 659 ft</t>
  </si>
  <si>
    <t>LGE 115.450</t>
  </si>
  <si>
    <t>118.125</t>
  </si>
  <si>
    <t>119.275</t>
  </si>
  <si>
    <t>EBTX</t>
  </si>
  <si>
    <t xml:space="preserve"> 126.250</t>
  </si>
  <si>
    <t>Aérodrome Namur/Suarlée</t>
  </si>
  <si>
    <t>06/24  594 ft</t>
  </si>
  <si>
    <t>EBOS</t>
  </si>
  <si>
    <t xml:space="preserve">Aéroport Ostende </t>
  </si>
  <si>
    <t>EBSH</t>
  </si>
  <si>
    <t>Aérodrome St Hubert</t>
  </si>
  <si>
    <t>05/23 14/32 1847 ft</t>
  </si>
  <si>
    <t>122.175</t>
  </si>
  <si>
    <t>Spa La Sauvenière</t>
  </si>
  <si>
    <t>05/23 1542 ft</t>
  </si>
  <si>
    <t>124.750</t>
  </si>
  <si>
    <t>Aérodrome Brustem</t>
  </si>
  <si>
    <t>06/24 246 ft</t>
  </si>
  <si>
    <t>119.975</t>
  </si>
  <si>
    <t>Theux Laboru</t>
  </si>
  <si>
    <t>06/24  grass 1099 ft</t>
  </si>
  <si>
    <t>119.000</t>
  </si>
  <si>
    <t>EBZH</t>
  </si>
  <si>
    <t>Aerodrome Kiewit Hasselt</t>
  </si>
  <si>
    <t>09/27 141 ft</t>
  </si>
  <si>
    <t>EBZW</t>
  </si>
  <si>
    <t>Aérodrome Genk</t>
  </si>
  <si>
    <t>03/21  278 ft</t>
  </si>
  <si>
    <t>120.400</t>
  </si>
  <si>
    <t>+32 89 38 32 73</t>
  </si>
  <si>
    <t>ECHO</t>
  </si>
  <si>
    <t>ECHO EBLG</t>
  </si>
  <si>
    <t>Point entrée CTR Bierset</t>
  </si>
  <si>
    <t>EDLN</t>
  </si>
  <si>
    <t xml:space="preserve">Moenchengladbach </t>
  </si>
  <si>
    <t>13/31 125 ft</t>
  </si>
  <si>
    <t>FLO</t>
  </si>
  <si>
    <t>VOR FLO 112.050</t>
  </si>
  <si>
    <t>VOR Florennes</t>
  </si>
  <si>
    <t>112.050</t>
  </si>
  <si>
    <t>GILEPPE</t>
  </si>
  <si>
    <t>LA GILEPPE</t>
  </si>
  <si>
    <t xml:space="preserve">Barrage </t>
  </si>
  <si>
    <t>source francorpchamps</t>
  </si>
  <si>
    <t>Circuit automobile</t>
  </si>
  <si>
    <t>LFGW</t>
  </si>
  <si>
    <t>Aérodrome Verdun</t>
  </si>
  <si>
    <t>LILLE 126.475</t>
  </si>
  <si>
    <t>LFQJ</t>
  </si>
  <si>
    <t>Aérodrome de Maubeuge</t>
  </si>
  <si>
    <t>05/23  452ft</t>
  </si>
  <si>
    <t>PARIS 125.700</t>
  </si>
  <si>
    <t>CMB 112.600</t>
  </si>
  <si>
    <t>121.000</t>
  </si>
  <si>
    <t>LNO</t>
  </si>
  <si>
    <t>VOR LNO</t>
  </si>
  <si>
    <t>.-.. -. ---</t>
  </si>
  <si>
    <t>112.800</t>
  </si>
  <si>
    <t>Mont Godinne</t>
  </si>
  <si>
    <t>Mont Godinne WP</t>
  </si>
  <si>
    <t>Antenne</t>
  </si>
  <si>
    <t>N</t>
  </si>
  <si>
    <t>NOVEM (EBCI)</t>
  </si>
  <si>
    <t>Gas Tank CARGAS</t>
  </si>
  <si>
    <t>NA</t>
  </si>
  <si>
    <t>NOVEM ALPHA (EBCI)</t>
  </si>
  <si>
    <t>Chateau d'eau E Gosselies</t>
  </si>
  <si>
    <t>NE</t>
  </si>
  <si>
    <t>NOVEM ECHO(EBCI)</t>
  </si>
  <si>
    <t>Village de Tilly</t>
  </si>
  <si>
    <t>NOVEM</t>
  </si>
  <si>
    <t>NOVEM EBLG</t>
  </si>
  <si>
    <t>NW</t>
  </si>
  <si>
    <t>NOVEM WISKY(EBCI)</t>
  </si>
  <si>
    <t>Gare de Obaix-Buzet</t>
  </si>
  <si>
    <t>OSCAR</t>
  </si>
  <si>
    <t>OSCAR (CTR EBLG)</t>
  </si>
  <si>
    <t>sPI 113.100</t>
  </si>
  <si>
    <t>ROMEO</t>
  </si>
  <si>
    <t>ROMEO (CTR EBLG)</t>
  </si>
  <si>
    <t>S</t>
  </si>
  <si>
    <t>SIERRA ( EBCI)</t>
  </si>
  <si>
    <t>Bultia intersection N5 N574</t>
  </si>
  <si>
    <t>SIERRA ALPHA (EBCI)</t>
  </si>
  <si>
    <t>Cora shopping center</t>
  </si>
  <si>
    <t>SIERRA ECHO (EBCI)</t>
  </si>
  <si>
    <t>Village de Presles</t>
  </si>
  <si>
    <t>VOR Sprimont</t>
  </si>
  <si>
    <t>... .--. ..</t>
  </si>
  <si>
    <t>113.100</t>
  </si>
  <si>
    <t>TIEGE</t>
  </si>
  <si>
    <t>ECHANGEUR Tiege</t>
  </si>
  <si>
    <t>VIDE</t>
  </si>
  <si>
    <t>Zmaxi</t>
  </si>
  <si>
    <t>Dsd</t>
  </si>
  <si>
    <t>TV</t>
  </si>
  <si>
    <t>REPORT</t>
  </si>
  <si>
    <t>Zvol</t>
  </si>
  <si>
    <t>CM</t>
  </si>
  <si>
    <t>Dérive</t>
  </si>
  <si>
    <t>GS</t>
  </si>
  <si>
    <t>Dist</t>
  </si>
  <si>
    <t>Z Mini</t>
  </si>
  <si>
    <t>RM</t>
  </si>
  <si>
    <t>Dtg</t>
  </si>
  <si>
    <t>GND</t>
  </si>
  <si>
    <t>TWR</t>
  </si>
  <si>
    <t>Total fly</t>
  </si>
  <si>
    <t>Fuel capacity</t>
  </si>
  <si>
    <t xml:space="preserve">Temps de vol: </t>
  </si>
  <si>
    <t>intégration:</t>
  </si>
  <si>
    <t>Roulage</t>
  </si>
  <si>
    <t>Sécurité</t>
  </si>
  <si>
    <t>Total</t>
  </si>
  <si>
    <t>Restera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</si>
</sst>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0">
    <numFmt numFmtId="164" formatCode="[$-F800]dddd\,\ mmmm\ dd\,\ yyyy"/>
    <numFmt numFmtId="165" formatCode="[$-F400]h:mm:ss\ AM/PM"/>
    <numFmt numFmtId="166" formatCode="h:mm:ss;@"/>
    <numFmt numFmtId="167" formatCode="[h]:mm:ss;@"/>
    <numFmt numFmtId="168" formatCode="0.00&quot;Lit/h&quot;"/>
    <numFmt numFmtId="169" formatCode="0.00\'\l\i\t"/>
    <numFmt numFmtId="170" formatCode="d/mm/yyyy;@"/>
    <numFmt numFmtId="171" formatCode="[$-F400]h:mm:ss\ AM/PM&quot;UTC&quot;"/>
    <numFmt numFmtId="172" formatCode="00&quot;Litres&quot;"/>
    <numFmt numFmtId="173" formatCode="0.00\'\l\i\t\h\r\'"/>
    <numFmt numFmtId="174" formatCode="0\°"/>
    <numFmt numFmtId="175" formatCode="0&quot;Kt&quot;"/>
    <numFmt numFmtId="176" formatCode="_-* #,##0.00\ [$€-80C]_-;\-* #,##0.00\ [$€-80C]_-;_-* &quot;-&quot;??\ [$€-80C]_-;_-@_-"/>
    <numFmt numFmtId="177" formatCode="0.00\ &quot;Lbs&quot;"/>
    <numFmt numFmtId="178" formatCode="0.00&quot;inch&quot;"/>
    <numFmt numFmtId="179" formatCode="0\ &quot;kg&quot;"/>
    <numFmt numFmtId="180" formatCode="0.0\ &quot;Lbs&quot;"/>
    <numFmt numFmtId="181" formatCode="0.0&quot;inch&quot;"/>
    <numFmt numFmtId="182" formatCode="0.0"/>
    <numFmt numFmtId="183" formatCode="#,##0.000000"/>
    <numFmt numFmtId="184" formatCode="0.000"/>
    <numFmt numFmtId="185" formatCode="0.0000000"/>
    <numFmt numFmtId="186" formatCode="#,##0.0000000"/>
    <numFmt numFmtId="187" formatCode="0.00000000"/>
    <numFmt numFmtId="188" formatCode="0.000000"/>
    <numFmt numFmtId="189" formatCode="#,##0.00000000"/>
    <numFmt numFmtId="190" formatCode="0&quot;Nm&quot;"/>
    <numFmt numFmtId="191" formatCode="0\'"/>
    <numFmt numFmtId="192" formatCode="0.0\ &quot;litres&quot;"/>
    <numFmt numFmtId="193" formatCode="[h]:mm"/>
  </numFmts>
  <fonts count="54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Helvetica"/>
    </font>
    <font>
      <sz val="1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1"/>
      <name val="Arial"/>
      <family val="2"/>
    </font>
    <font>
      <i/>
      <sz val="10"/>
      <color theme="1"/>
      <name val="Arial"/>
      <family val="2"/>
    </font>
    <font>
      <sz val="11"/>
      <color theme="9" tint="0.59999389629810485"/>
      <name val="Calibri"/>
      <family val="2"/>
      <scheme val="minor"/>
    </font>
    <font>
      <b/>
      <i/>
      <sz val="16"/>
      <color theme="1"/>
      <name val="Calibri"/>
      <scheme val="minor"/>
    </font>
    <font>
      <sz val="16"/>
      <color theme="1"/>
      <name val="Calibri"/>
      <family val="2"/>
      <scheme val="minor"/>
    </font>
    <font>
      <sz val="16"/>
      <color rgb="FF000000"/>
      <name val="Calibri"/>
      <scheme val="minor"/>
    </font>
    <font>
      <b/>
      <sz val="10"/>
      <color theme="1"/>
      <name val="Arial"/>
      <family val="2"/>
    </font>
    <font>
      <sz val="11"/>
      <color rgb="FF000000"/>
      <name val="Calibri"/>
      <scheme val="minor"/>
    </font>
    <font>
      <b/>
      <sz val="10"/>
      <color theme="1"/>
      <name val="Arial Unicode MS"/>
    </font>
    <font>
      <b/>
      <sz val="11"/>
      <color theme="0"/>
      <name val="Calibri"/>
      <family val="2"/>
      <scheme val="minor"/>
    </font>
    <font>
      <i/>
      <sz val="12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i/>
      <sz val="10"/>
      <color theme="1"/>
      <name val="Arial"/>
      <family val="2"/>
    </font>
    <font>
      <i/>
      <sz val="12"/>
      <color theme="1"/>
      <name val="Calibri"/>
      <scheme val="minor"/>
    </font>
    <font>
      <b/>
      <i/>
      <sz val="18"/>
      <color theme="1"/>
      <name val="Arial"/>
    </font>
    <font>
      <b/>
      <sz val="20"/>
      <color theme="1"/>
      <name val="Arial"/>
    </font>
    <font>
      <sz val="20"/>
      <color theme="1"/>
      <name val="Arial Black"/>
      <family val="2"/>
    </font>
    <font>
      <b/>
      <i/>
      <sz val="12"/>
      <color theme="1"/>
      <name val="Arial"/>
      <family val="2"/>
    </font>
    <font>
      <i/>
      <sz val="18"/>
      <color theme="1"/>
      <name val="Arial"/>
      <family val="2"/>
    </font>
    <font>
      <i/>
      <sz val="11"/>
      <color theme="1"/>
      <name val="Calibri"/>
      <scheme val="minor"/>
    </font>
    <font>
      <b/>
      <i/>
      <sz val="14"/>
      <color theme="1"/>
      <name val="Calibri"/>
      <scheme val="minor"/>
    </font>
    <font>
      <b/>
      <i/>
      <sz val="20"/>
      <color theme="1"/>
      <name val="Arial"/>
    </font>
    <font>
      <sz val="12"/>
      <color theme="1"/>
      <name val="Arial Black"/>
      <family val="2"/>
    </font>
    <font>
      <sz val="10"/>
      <color theme="1"/>
      <name val="Calibri"/>
      <family val="2"/>
      <scheme val="minor"/>
    </font>
    <font>
      <b/>
      <i/>
      <sz val="9"/>
      <color theme="1"/>
      <name val="Calibri"/>
      <scheme val="minor"/>
    </font>
    <font>
      <i/>
      <sz val="14"/>
      <color theme="1"/>
      <name val="Calibri"/>
      <scheme val="minor"/>
    </font>
    <font>
      <b/>
      <i/>
      <sz val="10"/>
      <color theme="1"/>
      <name val="Calibri"/>
      <scheme val="minor"/>
    </font>
    <font>
      <sz val="18"/>
      <color theme="1"/>
      <name val="Arial Black"/>
      <family val="2"/>
    </font>
    <font>
      <b/>
      <sz val="11"/>
      <color rgb="FF000000"/>
      <name val="Calibri"/>
      <family val="2"/>
      <scheme val="minor"/>
    </font>
    <font>
      <b/>
      <i/>
      <sz val="9"/>
      <color rgb="FF000000"/>
      <name val="Arial"/>
      <family val="2"/>
    </font>
    <font>
      <b/>
      <i/>
      <sz val="14"/>
      <color theme="1"/>
      <name val="Arial"/>
    </font>
    <font>
      <b/>
      <i/>
      <sz val="9"/>
      <color theme="1"/>
      <name val="Arial"/>
      <family val="2"/>
    </font>
    <font>
      <sz val="18"/>
      <color theme="0"/>
      <name val="Arial Black"/>
      <family val="2"/>
    </font>
    <font>
      <i/>
      <sz val="20"/>
      <color theme="1"/>
      <name val="Arial Black"/>
      <family val="2"/>
    </font>
    <font>
      <b/>
      <i/>
      <sz val="20"/>
      <color theme="1"/>
      <name val="Arial Black"/>
      <family val="2"/>
    </font>
    <font>
      <b/>
      <sz val="16"/>
      <color theme="0"/>
      <name val="Calibri"/>
      <family val="2"/>
      <scheme val="minor"/>
    </font>
    <font>
      <b/>
      <sz val="48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EFFBB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D9E1F2"/>
        <bgColor rgb="FFD9E1F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rgb="FF000000"/>
      </patternFill>
    </fill>
  </fills>
  <borders count="46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8EA9DB"/>
      </top>
      <bottom style="thin">
        <color rgb="FF8EA9DB"/>
      </bottom>
      <diagonal/>
    </border>
    <border>
      <left/>
      <right style="thin">
        <color rgb="FF8EA9DB"/>
      </right>
      <top style="thin">
        <color rgb="FF8EA9DB"/>
      </top>
      <bottom style="thin">
        <color rgb="FF8EA9DB"/>
      </bottom>
      <diagonal/>
    </border>
    <border>
      <left/>
      <right/>
      <top/>
      <bottom style="thin">
        <color theme="1"/>
      </bottom>
      <diagonal/>
    </border>
    <border>
      <left/>
      <right style="thick">
        <color theme="1"/>
      </right>
      <top/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/>
      <bottom style="thick">
        <color theme="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ck">
        <color theme="1"/>
      </top>
      <bottom/>
      <diagonal/>
    </border>
    <border>
      <left/>
      <right style="thin">
        <color auto="1"/>
      </right>
      <top style="thin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/>
      <right style="thick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3">
    <xf numFmtId="0" fontId="0" fillId="0" borderId="0" xfId="0"/>
    <xf numFmtId="0" fontId="5" fillId="2" borderId="2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0" fillId="3" borderId="4" xfId="0" applyFill="1" applyBorder="1"/>
    <xf numFmtId="0" fontId="7" fillId="3" borderId="5" xfId="0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167" fontId="3" fillId="2" borderId="4" xfId="0" applyNumberFormat="1" applyFont="1" applyFill="1" applyBorder="1" applyAlignment="1">
      <alignment horizontal="center" vertical="center"/>
    </xf>
    <xf numFmtId="168" fontId="6" fillId="2" borderId="4" xfId="0" applyNumberFormat="1" applyFont="1" applyFill="1" applyBorder="1" applyAlignment="1">
      <alignment horizontal="center" vertical="center"/>
    </xf>
    <xf numFmtId="169" fontId="6" fillId="2" borderId="4" xfId="0" applyNumberFormat="1" applyFont="1" applyFill="1" applyBorder="1" applyAlignment="1">
      <alignment horizontal="center" vertical="center"/>
    </xf>
    <xf numFmtId="171" fontId="9" fillId="3" borderId="4" xfId="0" applyNumberFormat="1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72" fontId="3" fillId="3" borderId="4" xfId="0" applyNumberFormat="1" applyFont="1" applyFill="1" applyBorder="1" applyAlignment="1">
      <alignment horizontal="center" vertical="center"/>
    </xf>
    <xf numFmtId="173" fontId="6" fillId="3" borderId="4" xfId="0" applyNumberFormat="1" applyFont="1" applyFill="1" applyBorder="1" applyAlignment="1">
      <alignment horizontal="center" vertical="center"/>
    </xf>
    <xf numFmtId="169" fontId="6" fillId="3" borderId="4" xfId="0" applyNumberFormat="1" applyFont="1" applyFill="1" applyBorder="1" applyAlignment="1">
      <alignment horizontal="center" vertical="center"/>
    </xf>
    <xf numFmtId="167" fontId="0" fillId="0" borderId="0" xfId="0" applyNumberFormat="1" applyFill="1" applyBorder="1" applyAlignment="1">
      <alignment vertical="center"/>
    </xf>
    <xf numFmtId="0" fontId="9" fillId="3" borderId="4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69" fontId="6" fillId="2" borderId="5" xfId="0" applyNumberFormat="1" applyFont="1" applyFill="1" applyBorder="1" applyAlignment="1">
      <alignment horizontal="center" vertical="center"/>
    </xf>
    <xf numFmtId="1" fontId="9" fillId="3" borderId="4" xfId="0" applyNumberFormat="1" applyFont="1" applyFill="1" applyBorder="1" applyAlignment="1">
      <alignment horizontal="center" vertical="center"/>
    </xf>
    <xf numFmtId="0" fontId="12" fillId="3" borderId="8" xfId="0" applyFont="1" applyFill="1" applyBorder="1" applyAlignment="1">
      <alignment horizontal="center" vertical="center"/>
    </xf>
    <xf numFmtId="167" fontId="9" fillId="3" borderId="9" xfId="0" applyNumberFormat="1" applyFont="1" applyFill="1" applyBorder="1" applyAlignment="1">
      <alignment horizontal="center" vertical="center"/>
    </xf>
    <xf numFmtId="174" fontId="13" fillId="3" borderId="7" xfId="0" applyNumberFormat="1" applyFont="1" applyFill="1" applyBorder="1" applyAlignment="1">
      <alignment horizontal="center" vertical="center"/>
    </xf>
    <xf numFmtId="175" fontId="13" fillId="3" borderId="4" xfId="0" applyNumberFormat="1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right" vertical="center"/>
    </xf>
    <xf numFmtId="176" fontId="3" fillId="3" borderId="12" xfId="0" applyNumberFormat="1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2" fillId="0" borderId="14" xfId="0" applyFont="1" applyFill="1" applyBorder="1" applyAlignment="1">
      <alignment vertical="center"/>
    </xf>
    <xf numFmtId="0" fontId="12" fillId="0" borderId="0" xfId="0" applyFont="1" applyFill="1" applyBorder="1" applyAlignment="1">
      <alignment vertical="center"/>
    </xf>
    <xf numFmtId="0" fontId="12" fillId="0" borderId="17" xfId="0" applyFont="1" applyFill="1" applyBorder="1" applyAlignment="1">
      <alignment vertical="center"/>
    </xf>
    <xf numFmtId="0" fontId="0" fillId="0" borderId="0" xfId="0" applyBorder="1"/>
    <xf numFmtId="0" fontId="11" fillId="0" borderId="18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177" fontId="8" fillId="0" borderId="20" xfId="0" applyNumberFormat="1" applyFont="1" applyBorder="1"/>
    <xf numFmtId="0" fontId="9" fillId="4" borderId="21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178" fontId="8" fillId="0" borderId="4" xfId="0" applyNumberFormat="1" applyFont="1" applyBorder="1"/>
    <xf numFmtId="168" fontId="9" fillId="4" borderId="22" xfId="0" applyNumberFormat="1" applyFont="1" applyFill="1" applyBorder="1" applyAlignment="1">
      <alignment horizontal="center" vertical="center"/>
    </xf>
    <xf numFmtId="0" fontId="0" fillId="4" borderId="0" xfId="0" applyFill="1"/>
    <xf numFmtId="0" fontId="1" fillId="4" borderId="4" xfId="0" applyFont="1" applyFill="1" applyBorder="1" applyAlignment="1">
      <alignment vertical="center"/>
    </xf>
    <xf numFmtId="177" fontId="8" fillId="0" borderId="4" xfId="0" applyNumberFormat="1" applyFont="1" applyBorder="1"/>
    <xf numFmtId="0" fontId="16" fillId="4" borderId="0" xfId="0" applyFont="1" applyFill="1"/>
    <xf numFmtId="0" fontId="8" fillId="4" borderId="23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0" fillId="4" borderId="1" xfId="0" applyFill="1" applyBorder="1"/>
    <xf numFmtId="0" fontId="0" fillId="4" borderId="0" xfId="0" applyFill="1" applyBorder="1"/>
    <xf numFmtId="0" fontId="0" fillId="4" borderId="21" xfId="0" applyFill="1" applyBorder="1"/>
    <xf numFmtId="179" fontId="17" fillId="0" borderId="7" xfId="0" applyNumberFormat="1" applyFont="1" applyBorder="1"/>
    <xf numFmtId="180" fontId="18" fillId="0" borderId="4" xfId="0" applyNumberFormat="1" applyFont="1" applyBorder="1"/>
    <xf numFmtId="181" fontId="19" fillId="0" borderId="4" xfId="0" applyNumberFormat="1" applyFont="1" applyBorder="1"/>
    <xf numFmtId="182" fontId="18" fillId="0" borderId="4" xfId="0" applyNumberFormat="1" applyFont="1" applyBorder="1"/>
    <xf numFmtId="0" fontId="0" fillId="4" borderId="24" xfId="0" applyFill="1" applyBorder="1"/>
    <xf numFmtId="181" fontId="18" fillId="0" borderId="4" xfId="0" applyNumberFormat="1" applyFont="1" applyBorder="1"/>
    <xf numFmtId="0" fontId="0" fillId="4" borderId="25" xfId="0" applyFill="1" applyBorder="1"/>
    <xf numFmtId="179" fontId="17" fillId="0" borderId="0" xfId="0" applyNumberFormat="1" applyFont="1" applyBorder="1"/>
    <xf numFmtId="181" fontId="18" fillId="0" borderId="0" xfId="0" applyNumberFormat="1" applyFont="1" applyBorder="1"/>
    <xf numFmtId="0" fontId="0" fillId="4" borderId="26" xfId="0" applyFill="1" applyBorder="1"/>
    <xf numFmtId="179" fontId="17" fillId="4" borderId="0" xfId="0" applyNumberFormat="1" applyFont="1" applyFill="1" applyBorder="1"/>
    <xf numFmtId="180" fontId="18" fillId="4" borderId="0" xfId="0" applyNumberFormat="1" applyFont="1" applyFill="1" applyBorder="1"/>
    <xf numFmtId="181" fontId="18" fillId="4" borderId="0" xfId="0" applyNumberFormat="1" applyFont="1" applyFill="1" applyBorder="1"/>
    <xf numFmtId="182" fontId="18" fillId="4" borderId="0" xfId="0" applyNumberFormat="1" applyFont="1" applyFill="1" applyBorder="1"/>
    <xf numFmtId="172" fontId="17" fillId="0" borderId="0" xfId="0" applyNumberFormat="1" applyFont="1" applyBorder="1"/>
    <xf numFmtId="172" fontId="17" fillId="0" borderId="7" xfId="0" applyNumberFormat="1" applyFont="1" applyBorder="1"/>
    <xf numFmtId="0" fontId="0" fillId="4" borderId="27" xfId="0" applyFill="1" applyBorder="1"/>
    <xf numFmtId="179" fontId="17" fillId="0" borderId="4" xfId="0" applyNumberFormat="1" applyFont="1" applyBorder="1"/>
    <xf numFmtId="0" fontId="0" fillId="4" borderId="18" xfId="0" applyFill="1" applyBorder="1"/>
    <xf numFmtId="0" fontId="0" fillId="0" borderId="1" xfId="0" applyBorder="1"/>
    <xf numFmtId="0" fontId="8" fillId="4" borderId="4" xfId="0" applyFont="1" applyFill="1" applyBorder="1"/>
    <xf numFmtId="180" fontId="18" fillId="0" borderId="4" xfId="0" applyNumberFormat="1" applyFont="1" applyFill="1" applyBorder="1"/>
    <xf numFmtId="181" fontId="18" fillId="0" borderId="4" xfId="0" applyNumberFormat="1" applyFont="1" applyFill="1" applyBorder="1"/>
    <xf numFmtId="181" fontId="18" fillId="0" borderId="0" xfId="0" applyNumberFormat="1" applyFont="1" applyFill="1" applyBorder="1"/>
    <xf numFmtId="182" fontId="18" fillId="0" borderId="0" xfId="0" applyNumberFormat="1" applyFont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1" fontId="0" fillId="0" borderId="0" xfId="0" applyNumberFormat="1"/>
    <xf numFmtId="170" fontId="0" fillId="0" borderId="0" xfId="0" applyNumberFormat="1"/>
    <xf numFmtId="182" fontId="0" fillId="0" borderId="0" xfId="0" applyNumberFormat="1"/>
    <xf numFmtId="0" fontId="0" fillId="0" borderId="0" xfId="0" applyAlignment="1">
      <alignment horizontal="center" vertical="center"/>
    </xf>
    <xf numFmtId="0" fontId="11" fillId="0" borderId="0" xfId="0" applyFont="1"/>
    <xf numFmtId="183" fontId="20" fillId="0" borderId="0" xfId="0" applyNumberFormat="1" applyFont="1" applyBorder="1" applyAlignment="1">
      <alignment wrapText="1"/>
    </xf>
    <xf numFmtId="18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/>
    <xf numFmtId="185" fontId="21" fillId="0" borderId="0" xfId="0" applyNumberFormat="1" applyFont="1" applyBorder="1"/>
    <xf numFmtId="183" fontId="0" fillId="0" borderId="0" xfId="0" applyNumberFormat="1"/>
    <xf numFmtId="186" fontId="20" fillId="0" borderId="28" xfId="0" applyNumberFormat="1" applyFont="1" applyBorder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NumberFormat="1" applyAlignment="1">
      <alignment horizontal="center" vertical="center" wrapText="1"/>
    </xf>
    <xf numFmtId="187" fontId="0" fillId="0" borderId="0" xfId="0" applyNumberFormat="1" applyBorder="1"/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87" fontId="0" fillId="0" borderId="0" xfId="0" applyNumberFormat="1"/>
    <xf numFmtId="49" fontId="11" fillId="0" borderId="0" xfId="0" applyNumberFormat="1" applyFont="1" applyAlignment="1">
      <alignment horizontal="center" vertical="center"/>
    </xf>
    <xf numFmtId="3" fontId="21" fillId="6" borderId="29" xfId="0" applyNumberFormat="1" applyFont="1" applyFill="1" applyBorder="1" applyAlignment="1">
      <alignment horizontal="center" vertical="center"/>
    </xf>
    <xf numFmtId="184" fontId="21" fillId="6" borderId="0" xfId="0" applyNumberFormat="1" applyFont="1" applyFill="1" applyBorder="1" applyAlignment="1">
      <alignment horizontal="center" vertical="center"/>
    </xf>
    <xf numFmtId="185" fontId="0" fillId="0" borderId="0" xfId="0" applyNumberFormat="1"/>
    <xf numFmtId="0" fontId="22" fillId="0" borderId="0" xfId="0" applyFont="1"/>
    <xf numFmtId="188" fontId="0" fillId="0" borderId="0" xfId="0" applyNumberFormat="1"/>
    <xf numFmtId="189" fontId="0" fillId="0" borderId="0" xfId="0" applyNumberFormat="1"/>
    <xf numFmtId="0" fontId="0" fillId="0" borderId="0" xfId="0" applyFill="1"/>
    <xf numFmtId="0" fontId="6" fillId="3" borderId="4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/>
    </xf>
    <xf numFmtId="0" fontId="24" fillId="3" borderId="4" xfId="0" applyFont="1" applyFill="1" applyBorder="1" applyAlignment="1">
      <alignment horizontal="left" vertical="top"/>
    </xf>
    <xf numFmtId="0" fontId="0" fillId="3" borderId="0" xfId="0" applyFill="1" applyBorder="1"/>
    <xf numFmtId="0" fontId="0" fillId="0" borderId="0" xfId="0" applyFill="1" applyBorder="1"/>
    <xf numFmtId="0" fontId="23" fillId="0" borderId="0" xfId="0" applyFont="1" applyFill="1" applyBorder="1"/>
    <xf numFmtId="0" fontId="27" fillId="3" borderId="4" xfId="0" applyFont="1" applyFill="1" applyBorder="1" applyAlignment="1">
      <alignment horizontal="center" vertical="center"/>
    </xf>
    <xf numFmtId="0" fontId="28" fillId="3" borderId="4" xfId="0" applyFont="1" applyFill="1" applyBorder="1" applyAlignment="1">
      <alignment horizontal="center" vertical="center"/>
    </xf>
    <xf numFmtId="0" fontId="11" fillId="3" borderId="31" xfId="0" applyFont="1" applyFill="1" applyBorder="1" applyAlignment="1">
      <alignment vertical="center"/>
    </xf>
    <xf numFmtId="0" fontId="0" fillId="0" borderId="33" xfId="0" applyFill="1" applyBorder="1"/>
    <xf numFmtId="0" fontId="0" fillId="0" borderId="0" xfId="0" applyFont="1" applyFill="1" applyBorder="1"/>
    <xf numFmtId="0" fontId="26" fillId="0" borderId="0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right" vertical="center"/>
    </xf>
    <xf numFmtId="0" fontId="30" fillId="3" borderId="4" xfId="0" applyFont="1" applyFill="1" applyBorder="1" applyAlignment="1">
      <alignment horizontal="right" vertical="center"/>
    </xf>
    <xf numFmtId="0" fontId="24" fillId="3" borderId="4" xfId="0" applyFont="1" applyFill="1" applyBorder="1" applyAlignment="1">
      <alignment horizontal="right" vertical="center"/>
    </xf>
    <xf numFmtId="0" fontId="11" fillId="3" borderId="34" xfId="0" applyFont="1" applyFill="1" applyBorder="1" applyAlignment="1">
      <alignment vertical="center"/>
    </xf>
    <xf numFmtId="2" fontId="31" fillId="0" borderId="35" xfId="0" applyNumberFormat="1" applyFont="1" applyFill="1" applyBorder="1" applyAlignment="1">
      <alignment vertical="center"/>
    </xf>
    <xf numFmtId="0" fontId="0" fillId="2" borderId="4" xfId="0" applyFill="1" applyBorder="1"/>
    <xf numFmtId="174" fontId="0" fillId="2" borderId="4" xfId="0" applyNumberFormat="1" applyFill="1" applyBorder="1"/>
    <xf numFmtId="190" fontId="24" fillId="2" borderId="6" xfId="0" applyNumberFormat="1" applyFont="1" applyFill="1" applyBorder="1" applyAlignment="1">
      <alignment horizontal="left" vertical="top"/>
    </xf>
    <xf numFmtId="0" fontId="0" fillId="0" borderId="0" xfId="0" applyBorder="1" applyAlignment="1"/>
    <xf numFmtId="0" fontId="34" fillId="0" borderId="0" xfId="0" applyFont="1" applyBorder="1" applyAlignment="1"/>
    <xf numFmtId="0" fontId="35" fillId="0" borderId="35" xfId="0" applyFont="1" applyBorder="1"/>
    <xf numFmtId="0" fontId="0" fillId="0" borderId="30" xfId="0" applyBorder="1" applyAlignment="1"/>
    <xf numFmtId="0" fontId="34" fillId="0" borderId="30" xfId="0" applyFont="1" applyBorder="1" applyAlignment="1"/>
    <xf numFmtId="2" fontId="35" fillId="0" borderId="36" xfId="0" applyNumberFormat="1" applyFont="1" applyFill="1" applyBorder="1" applyAlignment="1">
      <alignment horizontal="right" vertic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1" fillId="2" borderId="37" xfId="0" applyFont="1" applyFill="1" applyBorder="1" applyAlignment="1">
      <alignment vertical="center"/>
    </xf>
    <xf numFmtId="0" fontId="31" fillId="0" borderId="35" xfId="0" applyFont="1" applyBorder="1" applyAlignment="1">
      <alignment vertical="center"/>
    </xf>
    <xf numFmtId="0" fontId="24" fillId="2" borderId="4" xfId="0" applyFont="1" applyFill="1" applyBorder="1" applyAlignment="1">
      <alignment horizontal="right"/>
    </xf>
    <xf numFmtId="174" fontId="24" fillId="2" borderId="4" xfId="0" applyNumberFormat="1" applyFont="1" applyFill="1" applyBorder="1" applyAlignment="1">
      <alignment horizontal="right"/>
    </xf>
    <xf numFmtId="190" fontId="24" fillId="2" borderId="6" xfId="0" applyNumberFormat="1" applyFont="1" applyFill="1" applyBorder="1" applyAlignment="1">
      <alignment horizontal="right"/>
    </xf>
    <xf numFmtId="0" fontId="11" fillId="2" borderId="34" xfId="0" applyFont="1" applyFill="1" applyBorder="1" applyAlignment="1">
      <alignment vertical="center"/>
    </xf>
    <xf numFmtId="0" fontId="0" fillId="0" borderId="35" xfId="0" applyFill="1" applyBorder="1"/>
    <xf numFmtId="0" fontId="12" fillId="2" borderId="1" xfId="0" applyFont="1" applyFill="1" applyBorder="1" applyAlignment="1">
      <alignment horizontal="center" vertical="center"/>
    </xf>
    <xf numFmtId="174" fontId="37" fillId="2" borderId="4" xfId="0" applyNumberFormat="1" applyFont="1" applyFill="1" applyBorder="1" applyAlignment="1">
      <alignment vertical="center"/>
    </xf>
    <xf numFmtId="174" fontId="38" fillId="2" borderId="4" xfId="0" applyNumberFormat="1" applyFont="1" applyFill="1" applyBorder="1" applyAlignment="1">
      <alignment vertical="center"/>
    </xf>
    <xf numFmtId="190" fontId="8" fillId="2" borderId="4" xfId="0" applyNumberFormat="1" applyFont="1" applyFill="1" applyBorder="1" applyAlignment="1">
      <alignment vertical="center"/>
    </xf>
    <xf numFmtId="191" fontId="39" fillId="2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36" fillId="0" borderId="0" xfId="0" applyFont="1" applyFill="1" applyBorder="1" applyAlignment="1">
      <alignment horizontal="center" vertical="center"/>
    </xf>
    <xf numFmtId="0" fontId="27" fillId="0" borderId="0" xfId="0" applyFont="1" applyFill="1" applyBorder="1" applyAlignment="1">
      <alignment vertical="center"/>
    </xf>
    <xf numFmtId="0" fontId="0" fillId="0" borderId="35" xfId="0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0" fillId="7" borderId="4" xfId="0" applyFill="1" applyBorder="1"/>
    <xf numFmtId="174" fontId="37" fillId="7" borderId="4" xfId="0" applyNumberFormat="1" applyFont="1" applyFill="1" applyBorder="1" applyAlignment="1">
      <alignment vertical="center"/>
    </xf>
    <xf numFmtId="174" fontId="38" fillId="7" borderId="4" xfId="0" applyNumberFormat="1" applyFont="1" applyFill="1" applyBorder="1" applyAlignment="1">
      <alignment vertical="center"/>
    </xf>
    <xf numFmtId="190" fontId="8" fillId="7" borderId="4" xfId="0" applyNumberFormat="1" applyFont="1" applyFill="1" applyBorder="1" applyAlignment="1">
      <alignment vertical="center"/>
    </xf>
    <xf numFmtId="191" fontId="39" fillId="7" borderId="0" xfId="0" applyNumberFormat="1" applyFont="1" applyFill="1" applyBorder="1" applyAlignment="1">
      <alignment horizontal="center" vertical="center"/>
    </xf>
    <xf numFmtId="0" fontId="36" fillId="0" borderId="0" xfId="0" applyFont="1" applyFill="1" applyBorder="1"/>
    <xf numFmtId="0" fontId="40" fillId="0" borderId="0" xfId="0" applyFont="1" applyFill="1" applyBorder="1"/>
    <xf numFmtId="174" fontId="37" fillId="3" borderId="4" xfId="0" applyNumberFormat="1" applyFont="1" applyFill="1" applyBorder="1" applyAlignment="1">
      <alignment vertical="center"/>
    </xf>
    <xf numFmtId="190" fontId="24" fillId="3" borderId="4" xfId="0" applyNumberFormat="1" applyFont="1" applyFill="1" applyBorder="1" applyAlignment="1">
      <alignment horizontal="left" vertical="top"/>
    </xf>
    <xf numFmtId="0" fontId="0" fillId="0" borderId="35" xfId="0" applyBorder="1"/>
    <xf numFmtId="0" fontId="35" fillId="0" borderId="36" xfId="0" applyFont="1" applyFill="1" applyBorder="1" applyAlignment="1">
      <alignment horizontal="right" vertical="center" wrapText="1"/>
    </xf>
    <xf numFmtId="0" fontId="11" fillId="3" borderId="37" xfId="0" applyFont="1" applyFill="1" applyBorder="1" applyAlignment="1">
      <alignment vertical="center"/>
    </xf>
    <xf numFmtId="0" fontId="0" fillId="0" borderId="38" xfId="0" applyBorder="1"/>
    <xf numFmtId="0" fontId="24" fillId="3" borderId="4" xfId="0" applyFont="1" applyFill="1" applyBorder="1" applyAlignment="1">
      <alignment horizontal="right"/>
    </xf>
    <xf numFmtId="174" fontId="24" fillId="3" borderId="4" xfId="0" applyNumberFormat="1" applyFont="1" applyFill="1" applyBorder="1" applyAlignment="1">
      <alignment horizontal="right"/>
    </xf>
    <xf numFmtId="190" fontId="24" fillId="3" borderId="4" xfId="0" applyNumberFormat="1" applyFont="1" applyFill="1" applyBorder="1" applyAlignment="1">
      <alignment horizontal="right"/>
    </xf>
    <xf numFmtId="0" fontId="41" fillId="0" borderId="35" xfId="0" applyFont="1" applyFill="1" applyBorder="1" applyAlignment="1">
      <alignment vertical="center" wrapText="1"/>
    </xf>
    <xf numFmtId="190" fontId="24" fillId="2" borderId="4" xfId="0" applyNumberFormat="1" applyFont="1" applyFill="1" applyBorder="1" applyAlignment="1">
      <alignment horizontal="left" vertical="top"/>
    </xf>
    <xf numFmtId="0" fontId="0" fillId="0" borderId="30" xfId="0" applyBorder="1"/>
    <xf numFmtId="0" fontId="11" fillId="2" borderId="2" xfId="0" applyFont="1" applyFill="1" applyBorder="1" applyAlignment="1">
      <alignment vertical="center"/>
    </xf>
    <xf numFmtId="0" fontId="24" fillId="2" borderId="4" xfId="0" applyFont="1" applyFill="1" applyBorder="1"/>
    <xf numFmtId="174" fontId="42" fillId="2" borderId="4" xfId="0" applyNumberFormat="1" applyFont="1" applyFill="1" applyBorder="1" applyAlignment="1"/>
    <xf numFmtId="190" fontId="1" fillId="2" borderId="4" xfId="0" applyNumberFormat="1" applyFont="1" applyFill="1" applyBorder="1"/>
    <xf numFmtId="174" fontId="0" fillId="3" borderId="4" xfId="0" applyNumberFormat="1" applyFill="1" applyBorder="1"/>
    <xf numFmtId="49" fontId="35" fillId="0" borderId="36" xfId="0" applyNumberFormat="1" applyFont="1" applyBorder="1" applyAlignment="1">
      <alignment horizontal="right" vertical="center"/>
    </xf>
    <xf numFmtId="0" fontId="24" fillId="3" borderId="4" xfId="0" applyFont="1" applyFill="1" applyBorder="1"/>
    <xf numFmtId="174" fontId="42" fillId="3" borderId="4" xfId="0" applyNumberFormat="1" applyFont="1" applyFill="1" applyBorder="1" applyAlignment="1"/>
    <xf numFmtId="190" fontId="30" fillId="3" borderId="4" xfId="0" applyNumberFormat="1" applyFont="1" applyFill="1" applyBorder="1"/>
    <xf numFmtId="190" fontId="24" fillId="2" borderId="4" xfId="0" applyNumberFormat="1" applyFont="1" applyFill="1" applyBorder="1" applyAlignment="1">
      <alignment horizontal="left"/>
    </xf>
    <xf numFmtId="0" fontId="43" fillId="0" borderId="0" xfId="0" applyFont="1" applyFill="1" applyBorder="1" applyAlignment="1">
      <alignment horizontal="center" vertical="center"/>
    </xf>
    <xf numFmtId="0" fontId="35" fillId="0" borderId="36" xfId="0" applyFont="1" applyBorder="1" applyAlignment="1">
      <alignment horizontal="right"/>
    </xf>
    <xf numFmtId="0" fontId="45" fillId="8" borderId="37" xfId="0" applyFont="1" applyFill="1" applyBorder="1" applyAlignment="1">
      <alignment vertical="center"/>
    </xf>
    <xf numFmtId="0" fontId="0" fillId="0" borderId="35" xfId="0" applyFill="1" applyBorder="1" applyAlignment="1"/>
    <xf numFmtId="0" fontId="24" fillId="2" borderId="4" xfId="0" applyFont="1" applyFill="1" applyBorder="1" applyAlignment="1">
      <alignment horizontal="right" vertical="center"/>
    </xf>
    <xf numFmtId="174" fontId="47" fillId="2" borderId="4" xfId="0" applyNumberFormat="1" applyFont="1" applyFill="1" applyBorder="1" applyAlignment="1">
      <alignment vertical="center"/>
    </xf>
    <xf numFmtId="190" fontId="24" fillId="2" borderId="4" xfId="0" applyNumberFormat="1" applyFont="1" applyFill="1" applyBorder="1" applyAlignment="1">
      <alignment vertical="center"/>
    </xf>
    <xf numFmtId="0" fontId="45" fillId="8" borderId="34" xfId="0" applyFont="1" applyFill="1" applyBorder="1" applyAlignment="1">
      <alignment vertical="center"/>
    </xf>
    <xf numFmtId="190" fontId="24" fillId="3" borderId="4" xfId="0" applyNumberFormat="1" applyFont="1" applyFill="1" applyBorder="1" applyAlignment="1">
      <alignment horizontal="left"/>
    </xf>
    <xf numFmtId="0" fontId="40" fillId="0" borderId="0" xfId="0" applyFont="1" applyBorder="1"/>
    <xf numFmtId="0" fontId="35" fillId="0" borderId="36" xfId="0" applyFont="1" applyFill="1" applyBorder="1" applyAlignment="1">
      <alignment horizontal="right"/>
    </xf>
    <xf numFmtId="0" fontId="14" fillId="3" borderId="42" xfId="0" applyFont="1" applyFill="1" applyBorder="1" applyAlignment="1">
      <alignment vertical="center"/>
    </xf>
    <xf numFmtId="0" fontId="31" fillId="0" borderId="35" xfId="0" applyFont="1" applyFill="1" applyBorder="1" applyAlignment="1">
      <alignment vertical="center"/>
    </xf>
    <xf numFmtId="174" fontId="47" fillId="3" borderId="4" xfId="0" applyNumberFormat="1" applyFont="1" applyFill="1" applyBorder="1" applyAlignment="1">
      <alignment vertical="center"/>
    </xf>
    <xf numFmtId="190" fontId="24" fillId="3" borderId="4" xfId="0" applyNumberFormat="1" applyFont="1" applyFill="1" applyBorder="1" applyAlignment="1">
      <alignment vertical="center"/>
    </xf>
    <xf numFmtId="0" fontId="14" fillId="3" borderId="34" xfId="0" applyFont="1" applyFill="1" applyBorder="1" applyAlignment="1">
      <alignment vertical="center"/>
    </xf>
    <xf numFmtId="1" fontId="49" fillId="0" borderId="0" xfId="0" applyNumberFormat="1" applyFont="1" applyFill="1" applyBorder="1" applyAlignment="1">
      <alignment vertical="center"/>
    </xf>
    <xf numFmtId="0" fontId="0" fillId="2" borderId="0" xfId="0" applyFill="1"/>
    <xf numFmtId="0" fontId="0" fillId="2" borderId="43" xfId="0" applyFill="1" applyBorder="1"/>
    <xf numFmtId="0" fontId="11" fillId="0" borderId="0" xfId="0" applyFont="1" applyAlignment="1">
      <alignment horizontal="center" vertical="center"/>
    </xf>
    <xf numFmtId="1" fontId="34" fillId="0" borderId="0" xfId="0" applyNumberFormat="1" applyFont="1" applyFill="1" applyBorder="1" applyAlignment="1">
      <alignment vertical="center"/>
    </xf>
    <xf numFmtId="49" fontId="35" fillId="0" borderId="44" xfId="0" applyNumberFormat="1" applyFont="1" applyFill="1" applyBorder="1" applyAlignment="1">
      <alignment horizontal="right" vertical="center"/>
    </xf>
    <xf numFmtId="1" fontId="49" fillId="0" borderId="30" xfId="0" applyNumberFormat="1" applyFont="1" applyFill="1" applyBorder="1" applyAlignment="1">
      <alignment vertical="center"/>
    </xf>
    <xf numFmtId="1" fontId="34" fillId="0" borderId="30" xfId="0" applyNumberFormat="1" applyFont="1" applyFill="1" applyBorder="1" applyAlignment="1">
      <alignment vertical="center"/>
    </xf>
    <xf numFmtId="0" fontId="35" fillId="0" borderId="36" xfId="0" applyFont="1" applyFill="1" applyBorder="1" applyAlignment="1">
      <alignment horizontal="right" vertical="center"/>
    </xf>
    <xf numFmtId="1" fontId="52" fillId="0" borderId="0" xfId="0" applyNumberFormat="1" applyFont="1" applyFill="1" applyBorder="1" applyAlignment="1">
      <alignment vertical="center"/>
    </xf>
    <xf numFmtId="0" fontId="0" fillId="2" borderId="13" xfId="0" applyFill="1" applyBorder="1"/>
    <xf numFmtId="0" fontId="0" fillId="2" borderId="14" xfId="0" applyFill="1" applyBorder="1"/>
    <xf numFmtId="191" fontId="0" fillId="2" borderId="9" xfId="0" applyNumberFormat="1" applyFill="1" applyBorder="1"/>
    <xf numFmtId="192" fontId="0" fillId="2" borderId="9" xfId="0" applyNumberFormat="1" applyFill="1" applyBorder="1"/>
    <xf numFmtId="0" fontId="0" fillId="2" borderId="1" xfId="0" applyFill="1" applyBorder="1"/>
    <xf numFmtId="0" fontId="0" fillId="2" borderId="3" xfId="0" applyFill="1" applyBorder="1"/>
    <xf numFmtId="191" fontId="0" fillId="2" borderId="25" xfId="0" applyNumberFormat="1" applyFill="1" applyBorder="1"/>
    <xf numFmtId="192" fontId="0" fillId="2" borderId="25" xfId="0" applyNumberFormat="1" applyFill="1" applyBorder="1"/>
    <xf numFmtId="0" fontId="21" fillId="2" borderId="1" xfId="0" applyFont="1" applyFill="1" applyBorder="1"/>
    <xf numFmtId="193" fontId="0" fillId="2" borderId="25" xfId="0" applyNumberFormat="1" applyFill="1" applyBorder="1"/>
    <xf numFmtId="0" fontId="21" fillId="2" borderId="11" xfId="0" applyFont="1" applyFill="1" applyBorder="1"/>
    <xf numFmtId="0" fontId="0" fillId="2" borderId="12" xfId="0" applyFill="1" applyBorder="1"/>
    <xf numFmtId="0" fontId="0" fillId="2" borderId="45" xfId="0" applyFill="1" applyBorder="1"/>
    <xf numFmtId="21" fontId="0" fillId="2" borderId="18" xfId="0" applyNumberFormat="1" applyFill="1" applyBorder="1"/>
    <xf numFmtId="192" fontId="0" fillId="2" borderId="18" xfId="0" applyNumberFormat="1" applyFill="1" applyBorder="1"/>
    <xf numFmtId="180" fontId="18" fillId="0" borderId="0" xfId="0" applyNumberFormat="1" applyFont="1" applyFill="1" applyBorder="1"/>
    <xf numFmtId="0" fontId="8" fillId="5" borderId="5" xfId="0" applyFont="1" applyFill="1" applyBorder="1"/>
    <xf numFmtId="0" fontId="0" fillId="2" borderId="11" xfId="0" applyFill="1" applyBorder="1" applyAlignment="1">
      <alignment horizontal="center"/>
    </xf>
    <xf numFmtId="0" fontId="0" fillId="2" borderId="45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53" fillId="0" borderId="13" xfId="0" applyFont="1" applyBorder="1" applyAlignment="1">
      <alignment horizontal="center" vertical="center"/>
    </xf>
    <xf numFmtId="0" fontId="53" fillId="0" borderId="2" xfId="0" applyFont="1" applyBorder="1" applyAlignment="1">
      <alignment horizontal="center" vertical="center"/>
    </xf>
    <xf numFmtId="0" fontId="53" fillId="0" borderId="14" xfId="0" applyFont="1" applyBorder="1" applyAlignment="1">
      <alignment horizontal="center" vertical="center"/>
    </xf>
    <xf numFmtId="0" fontId="53" fillId="0" borderId="1" xfId="0" applyFont="1" applyBorder="1" applyAlignment="1">
      <alignment horizontal="center" vertical="center"/>
    </xf>
    <xf numFmtId="0" fontId="53" fillId="0" borderId="0" xfId="0" applyFont="1" applyBorder="1" applyAlignment="1">
      <alignment horizontal="center" vertical="center"/>
    </xf>
    <xf numFmtId="0" fontId="53" fillId="0" borderId="3" xfId="0" applyFont="1" applyBorder="1" applyAlignment="1">
      <alignment horizontal="center" vertical="center"/>
    </xf>
    <xf numFmtId="0" fontId="53" fillId="0" borderId="15" xfId="0" applyFont="1" applyBorder="1" applyAlignment="1">
      <alignment horizontal="center" vertical="center"/>
    </xf>
    <xf numFmtId="0" fontId="53" fillId="0" borderId="16" xfId="0" applyFont="1" applyBorder="1" applyAlignment="1">
      <alignment horizontal="center" vertical="center"/>
    </xf>
    <xf numFmtId="0" fontId="53" fillId="0" borderId="17" xfId="0" applyFont="1" applyBorder="1" applyAlignment="1">
      <alignment horizontal="center" vertical="center"/>
    </xf>
    <xf numFmtId="0" fontId="50" fillId="2" borderId="2" xfId="0" applyFont="1" applyFill="1" applyBorder="1" applyAlignment="1">
      <alignment horizontal="right" vertical="center"/>
    </xf>
    <xf numFmtId="0" fontId="50" fillId="2" borderId="0" xfId="0" applyFont="1" applyFill="1" applyBorder="1" applyAlignment="1">
      <alignment horizontal="right" vertical="center"/>
    </xf>
    <xf numFmtId="190" fontId="51" fillId="2" borderId="0" xfId="0" applyNumberFormat="1" applyFont="1" applyFill="1" applyBorder="1" applyAlignment="1">
      <alignment horizontal="left" vertical="center"/>
    </xf>
    <xf numFmtId="191" fontId="33" fillId="2" borderId="0" xfId="0" applyNumberFormat="1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/>
    </xf>
    <xf numFmtId="174" fontId="44" fillId="3" borderId="4" xfId="0" applyNumberFormat="1" applyFont="1" applyFill="1" applyBorder="1" applyAlignment="1">
      <alignment horizontal="center" vertical="center"/>
    </xf>
    <xf numFmtId="190" fontId="32" fillId="3" borderId="4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48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190" fontId="32" fillId="2" borderId="4" xfId="0" applyNumberFormat="1" applyFont="1" applyFill="1" applyBorder="1" applyAlignment="1">
      <alignment horizontal="center" vertical="center"/>
    </xf>
    <xf numFmtId="0" fontId="46" fillId="0" borderId="0" xfId="0" applyFont="1" applyBorder="1" applyAlignment="1">
      <alignment horizontal="center" vertical="center"/>
    </xf>
    <xf numFmtId="0" fontId="43" fillId="0" borderId="0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12" fillId="3" borderId="15" xfId="0" applyFont="1" applyFill="1" applyBorder="1" applyAlignment="1">
      <alignment horizontal="center" vertical="center"/>
    </xf>
    <xf numFmtId="174" fontId="32" fillId="3" borderId="4" xfId="0" applyNumberFormat="1" applyFont="1" applyFill="1" applyBorder="1" applyAlignment="1">
      <alignment horizontal="center" vertical="center"/>
    </xf>
    <xf numFmtId="1" fontId="8" fillId="3" borderId="4" xfId="0" applyNumberFormat="1" applyFont="1" applyFill="1" applyBorder="1" applyAlignment="1">
      <alignment horizontal="center" vertical="center"/>
    </xf>
    <xf numFmtId="191" fontId="33" fillId="3" borderId="4" xfId="0" applyNumberFormat="1" applyFont="1" applyFill="1" applyBorder="1" applyAlignment="1">
      <alignment horizontal="center" vertical="center"/>
    </xf>
    <xf numFmtId="0" fontId="32" fillId="3" borderId="4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 vertical="center"/>
    </xf>
    <xf numFmtId="0" fontId="12" fillId="2" borderId="39" xfId="0" applyFont="1" applyFill="1" applyBorder="1" applyAlignment="1">
      <alignment horizontal="center" vertical="center"/>
    </xf>
    <xf numFmtId="0" fontId="12" fillId="2" borderId="40" xfId="0" applyFont="1" applyFill="1" applyBorder="1" applyAlignment="1">
      <alignment horizontal="center" vertical="center"/>
    </xf>
    <xf numFmtId="0" fontId="12" fillId="2" borderId="41" xfId="0" applyFont="1" applyFill="1" applyBorder="1" applyAlignment="1">
      <alignment horizontal="center" vertical="center"/>
    </xf>
    <xf numFmtId="174" fontId="32" fillId="2" borderId="4" xfId="0" applyNumberFormat="1" applyFont="1" applyFill="1" applyBorder="1" applyAlignment="1">
      <alignment horizontal="center" vertical="center"/>
    </xf>
    <xf numFmtId="1" fontId="8" fillId="2" borderId="4" xfId="0" applyNumberFormat="1" applyFont="1" applyFill="1" applyBorder="1" applyAlignment="1">
      <alignment horizontal="center" vertical="center"/>
    </xf>
    <xf numFmtId="191" fontId="33" fillId="2" borderId="4" xfId="0" applyNumberFormat="1" applyFont="1" applyFill="1" applyBorder="1" applyAlignment="1">
      <alignment horizontal="center" vertical="center"/>
    </xf>
    <xf numFmtId="0" fontId="32" fillId="2" borderId="4" xfId="0" applyFont="1" applyFill="1" applyBorder="1" applyAlignment="1">
      <alignment horizontal="center" vertical="center"/>
    </xf>
    <xf numFmtId="174" fontId="44" fillId="2" borderId="4" xfId="0" applyNumberFormat="1" applyFont="1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/>
    </xf>
    <xf numFmtId="0" fontId="12" fillId="3" borderId="13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2" fillId="2" borderId="15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36" fillId="0" borderId="0" xfId="0" applyFont="1" applyFill="1" applyBorder="1" applyAlignment="1">
      <alignment horizontal="center"/>
    </xf>
    <xf numFmtId="1" fontId="32" fillId="3" borderId="4" xfId="0" applyNumberFormat="1" applyFont="1" applyFill="1" applyBorder="1" applyAlignment="1">
      <alignment horizontal="center" vertical="center"/>
    </xf>
    <xf numFmtId="191" fontId="33" fillId="0" borderId="0" xfId="0" applyNumberFormat="1" applyFont="1" applyFill="1" applyBorder="1" applyAlignment="1">
      <alignment horizontal="center" vertical="center"/>
    </xf>
    <xf numFmtId="1" fontId="32" fillId="2" borderId="4" xfId="0" applyNumberFormat="1" applyFont="1" applyFill="1" applyBorder="1" applyAlignment="1">
      <alignment horizontal="center" vertical="center"/>
    </xf>
    <xf numFmtId="190" fontId="32" fillId="2" borderId="6" xfId="0" applyNumberFormat="1" applyFont="1" applyFill="1" applyBorder="1" applyAlignment="1">
      <alignment horizontal="center" vertical="center"/>
    </xf>
    <xf numFmtId="1" fontId="3" fillId="3" borderId="0" xfId="0" applyNumberFormat="1" applyFont="1" applyFill="1" applyBorder="1" applyAlignment="1">
      <alignment horizontal="center" vertical="center"/>
    </xf>
    <xf numFmtId="0" fontId="25" fillId="3" borderId="30" xfId="0" applyFont="1" applyFill="1" applyBorder="1" applyAlignment="1">
      <alignment horizontal="center" vertical="center"/>
    </xf>
    <xf numFmtId="0" fontId="2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top"/>
    </xf>
    <xf numFmtId="0" fontId="29" fillId="0" borderId="32" xfId="0" applyFont="1" applyFill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4" borderId="9" xfId="0" applyFont="1" applyFill="1" applyBorder="1" applyAlignment="1">
      <alignment horizontal="center" vertical="center"/>
    </xf>
    <xf numFmtId="0" fontId="8" fillId="4" borderId="22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0" fontId="15" fillId="3" borderId="4" xfId="0" applyFont="1" applyFill="1" applyBorder="1" applyAlignment="1">
      <alignment horizontal="center"/>
    </xf>
    <xf numFmtId="0" fontId="11" fillId="2" borderId="4" xfId="0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12" fillId="0" borderId="13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center" vertical="center"/>
    </xf>
    <xf numFmtId="0" fontId="12" fillId="0" borderId="16" xfId="0" applyFont="1" applyFill="1" applyBorder="1" applyAlignment="1">
      <alignment horizontal="center" vertical="center"/>
    </xf>
    <xf numFmtId="164" fontId="8" fillId="4" borderId="2" xfId="0" applyNumberFormat="1" applyFont="1" applyFill="1" applyBorder="1" applyAlignment="1">
      <alignment horizontal="center"/>
    </xf>
    <xf numFmtId="164" fontId="8" fillId="4" borderId="19" xfId="0" applyNumberFormat="1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5" fillId="2" borderId="4" xfId="0" applyFont="1" applyFill="1" applyBorder="1" applyAlignment="1">
      <alignment horizontal="center"/>
    </xf>
    <xf numFmtId="14" fontId="0" fillId="2" borderId="4" xfId="0" applyNumberFormat="1" applyFill="1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4" fillId="2" borderId="1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/>
    </xf>
    <xf numFmtId="0" fontId="5" fillId="2" borderId="0" xfId="0" applyFont="1" applyFill="1" applyBorder="1" applyAlignment="1">
      <alignment horizontal="right"/>
    </xf>
    <xf numFmtId="0" fontId="5" fillId="2" borderId="0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164" fontId="8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  <xf numFmtId="166" fontId="9" fillId="2" borderId="4" xfId="0" applyNumberFormat="1" applyFont="1" applyFill="1" applyBorder="1" applyAlignment="1">
      <alignment horizontal="center" vertical="center"/>
    </xf>
    <xf numFmtId="170" fontId="8" fillId="3" borderId="6" xfId="0" applyNumberFormat="1" applyFont="1" applyFill="1" applyBorder="1" applyAlignment="1">
      <alignment horizontal="center" vertical="center"/>
    </xf>
    <xf numFmtId="170" fontId="8" fillId="3" borderId="7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numFmt numFmtId="182" formatCode="0.0"/>
    </dxf>
    <dxf>
      <numFmt numFmtId="184" formatCode="0.00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84" formatCode="0.000"/>
      <alignment horizontal="center" vertical="center" textRotation="0" wrapText="0" indent="0" justifyLastLine="0" shrinkToFit="0" readingOrder="0"/>
    </dxf>
    <dxf>
      <numFmt numFmtId="184" formatCode="0.000"/>
      <alignment horizontal="center" vertical="center" textRotation="0" wrapText="0" indent="0" justifyLastLine="0" shrinkToFit="0" readingOrder="0"/>
    </dxf>
    <dxf>
      <numFmt numFmtId="184" formatCode="0.00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indent="0" justifyLastLine="0" shrinkToFit="0" readingOrder="0"/>
    </dxf>
    <dxf>
      <numFmt numFmtId="170" formatCode="d/mm/yyyy;@"/>
    </dxf>
    <dxf>
      <numFmt numFmtId="170" formatCode="d/mm/yyyy;@"/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chartsheet" Target="chartsheets/sheet2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2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2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5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CG 150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02347227575574"/>
          <c:y val="0.14986915887850499"/>
          <c:w val="0.85692549969715304"/>
          <c:h val="0.75780086834939997"/>
        </c:manualLayout>
      </c:layout>
      <c:scatterChart>
        <c:scatterStyle val="lineMarker"/>
        <c:varyColors val="0"/>
        <c:ser>
          <c:idx val="1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FF0000"/>
              </a:solidFill>
              <a:ln w="9525">
                <a:solidFill>
                  <a:schemeClr val="accent2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00B050"/>
                </a:solidFill>
                <a:ln w="38100">
                  <a:solidFill>
                    <a:srgbClr val="00B050"/>
                  </a:solidFill>
                </a:ln>
                <a:effectLst>
                  <a:glow rad="127000">
                    <a:schemeClr val="bg1"/>
                  </a:glow>
                </a:effectLst>
              </c:spPr>
            </c:marker>
            <c:bubble3D val="0"/>
            <c:spPr>
              <a:ln w="25400" cap="rnd">
                <a:noFill/>
                <a:round/>
              </a:ln>
              <a:effectLst>
                <a:glow rad="127000">
                  <a:schemeClr val="bg1"/>
                </a:glow>
              </a:effectLst>
            </c:spPr>
            <c:extLst>
              <c:ext xmlns:c16="http://schemas.microsoft.com/office/drawing/2014/chart" uri="{C3380CC4-5D6E-409C-BE32-E72D297353CC}">
                <c16:uniqueId val="{00000001-D700-4C2B-99FB-7A2BA6C7C9FB}"/>
              </c:ext>
            </c:extLst>
          </c:dPt>
          <c:dPt>
            <c:idx val="1"/>
            <c:marker>
              <c:symbol val="circle"/>
              <c:size val="5"/>
              <c:spPr>
                <a:solidFill>
                  <a:srgbClr val="FF0000"/>
                </a:solidFill>
                <a:ln w="38100">
                  <a:solidFill>
                    <a:schemeClr val="accent2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2-D700-4C2B-99FB-7A2BA6C7C9FB}"/>
              </c:ext>
            </c:extLst>
          </c:dPt>
          <c:xVal>
            <c:numRef>
              <c:f>'[2]PREPARATION nav'!$E$34:$E$35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xVal>
          <c:yVal>
            <c:numRef>
              <c:f>'[2]PREPARATION nav'!$D$34:$D$35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D700-4C2B-99FB-7A2BA6C7C9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7254032"/>
        <c:axId val="477368080"/>
      </c:scatterChart>
      <c:valAx>
        <c:axId val="477254032"/>
        <c:scaling>
          <c:orientation val="minMax"/>
          <c:max val="38"/>
          <c:min val="3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7368080"/>
        <c:crosses val="autoZero"/>
        <c:crossBetween val="midCat"/>
        <c:majorUnit val="0.5"/>
      </c:valAx>
      <c:valAx>
        <c:axId val="477368080"/>
        <c:scaling>
          <c:orientation val="minMax"/>
          <c:max val="1650"/>
          <c:min val="105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7254032"/>
        <c:crosses val="autoZero"/>
        <c:crossBetween val="midCat"/>
        <c:majorUnit val="50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bg1"/>
    </a:solidFill>
    <a:ln w="12700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fr-FR"/>
    </a:p>
  </c:txPr>
  <c:userShapes r:id="rId3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CG 182JT-H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rgbClr val="00B050"/>
              </a:solidFill>
              <a:ln w="9525">
                <a:solidFill>
                  <a:schemeClr val="accent1"/>
                </a:solidFill>
              </a:ln>
              <a:effectLst/>
            </c:spPr>
          </c:marker>
          <c:dPt>
            <c:idx val="0"/>
            <c:marker>
              <c:symbol val="circle"/>
              <c:size val="5"/>
              <c:spPr>
                <a:solidFill>
                  <a:srgbClr val="FF0000"/>
                </a:solidFill>
                <a:ln w="50800">
                  <a:solidFill>
                    <a:srgbClr val="FF0000"/>
                  </a:solidFill>
                </a:ln>
                <a:effectLst>
                  <a:glow>
                    <a:schemeClr val="accent1">
                      <a:alpha val="40000"/>
                    </a:schemeClr>
                  </a:glow>
                  <a:outerShdw blurRad="50800" dist="50800" dir="5400000" sx="1000" sy="1000" algn="ctr" rotWithShape="0">
                    <a:srgbClr val="FF0000"/>
                  </a:outerShdw>
                </a:effectLst>
              </c:spPr>
            </c:marker>
            <c:bubble3D val="0"/>
            <c:spPr>
              <a:ln w="53975" cap="rnd">
                <a:solidFill>
                  <a:schemeClr val="accent2"/>
                </a:solidFill>
                <a:round/>
              </a:ln>
              <a:effectLst>
                <a:glow>
                  <a:schemeClr val="accent1">
                    <a:alpha val="40000"/>
                  </a:schemeClr>
                </a:glow>
                <a:outerShdw blurRad="50800" dist="50800" dir="5400000" sx="1000" sy="1000" algn="ctr" rotWithShape="0">
                  <a:srgbClr val="FF0000"/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5D11-4535-8F6C-9F6725442233}"/>
              </c:ext>
            </c:extLst>
          </c:dPt>
          <c:dPt>
            <c:idx val="1"/>
            <c:marker>
              <c:symbol val="circle"/>
              <c:size val="5"/>
              <c:spPr>
                <a:solidFill>
                  <a:srgbClr val="00B050"/>
                </a:solidFill>
                <a:ln w="50800">
                  <a:solidFill>
                    <a:srgbClr val="00B050"/>
                  </a:solidFill>
                </a:ln>
                <a:effectLst/>
              </c:spPr>
            </c:marker>
            <c:bubble3D val="0"/>
            <c:extLst>
              <c:ext xmlns:c16="http://schemas.microsoft.com/office/drawing/2014/chart" uri="{C3380CC4-5D6E-409C-BE32-E72D297353CC}">
                <c16:uniqueId val="{00000002-5D11-4535-8F6C-9F6725442233}"/>
              </c:ext>
            </c:extLst>
          </c:dPt>
          <c:xVal>
            <c:numRef>
              <c:f>'[2]PREPARATION nav'!$E$34:$E$35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xVal>
          <c:yVal>
            <c:numRef>
              <c:f>'[2]PREPARATION nav'!$D$34:$D$35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5D11-4535-8F6C-9F67254422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51794848"/>
        <c:axId val="451797168"/>
      </c:scatterChart>
      <c:valAx>
        <c:axId val="451794848"/>
        <c:scaling>
          <c:orientation val="minMax"/>
          <c:max val="46.5"/>
          <c:min val="35.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1797168"/>
        <c:crosses val="autoZero"/>
        <c:crossBetween val="midCat"/>
        <c:majorUnit val="0.5"/>
      </c:valAx>
      <c:valAx>
        <c:axId val="451797168"/>
        <c:scaling>
          <c:orientation val="minMax"/>
          <c:max val="3500"/>
          <c:min val="16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\ &quot;Lbs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1794848"/>
        <c:crosses val="autoZero"/>
        <c:crossBetween val="midCat"/>
        <c:majorUnit val="200"/>
      </c:valAx>
      <c:spPr>
        <a:noFill/>
        <a:ln>
          <a:noFill/>
        </a:ln>
        <a:effectLst/>
      </c:spPr>
    </c:plotArea>
    <c:plotVisOnly val="1"/>
    <c:dispBlanksAs val="span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 codeName="Graphique1"/>
  <sheetViews>
    <sheetView tabSelected="1" zoomScale="115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200-000000000000}">
  <sheetPr codeName="Graphique2"/>
  <sheetViews>
    <sheetView zoomScale="106" workbookViewId="0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3297" cy="607629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0.15308</cdr:x>
      <cdr:y>0.21647</cdr:y>
    </cdr:from>
    <cdr:to>
      <cdr:x>0.38245</cdr:x>
      <cdr:y>0.84825</cdr:y>
    </cdr:to>
    <cdr:cxnSp macro="">
      <cdr:nvCxnSpPr>
        <cdr:cNvPr id="3" name="Connecteur droit 2">
          <a:extLst xmlns:a="http://schemas.openxmlformats.org/drawingml/2006/main">
            <a:ext uri="{FF2B5EF4-FFF2-40B4-BE49-F238E27FC236}">
              <a16:creationId xmlns:a16="http://schemas.microsoft.com/office/drawing/2014/main" id="{C6B70946-5C79-45A4-9F13-BE97D69537E6}"/>
            </a:ext>
          </a:extLst>
        </cdr:cNvPr>
        <cdr:cNvCxnSpPr/>
      </cdr:nvCxnSpPr>
      <cdr:spPr>
        <a:xfrm xmlns:a="http://schemas.openxmlformats.org/drawingml/2006/main" flipV="1">
          <a:off x="1421502" y="1312812"/>
          <a:ext cx="2129867" cy="3831563"/>
        </a:xfrm>
        <a:prstGeom xmlns:a="http://schemas.openxmlformats.org/drawingml/2006/main" prst="line">
          <a:avLst/>
        </a:prstGeom>
        <a:ln xmlns:a="http://schemas.openxmlformats.org/drawingml/2006/main" w="12700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0.38256</cdr:x>
      <cdr:y>0.21121</cdr:y>
    </cdr:from>
    <cdr:to>
      <cdr:x>0.89371</cdr:x>
      <cdr:y>0.21244</cdr:y>
    </cdr:to>
    <cdr:cxnSp macro="">
      <cdr:nvCxnSpPr>
        <cdr:cNvPr id="6" name="Connecteur droit 5">
          <a:extLst xmlns:a="http://schemas.openxmlformats.org/drawingml/2006/main">
            <a:ext uri="{FF2B5EF4-FFF2-40B4-BE49-F238E27FC236}">
              <a16:creationId xmlns:a16="http://schemas.microsoft.com/office/drawing/2014/main" id="{7CE8DE2D-3227-4C2B-8FE6-FF11C8FDDF57}"/>
            </a:ext>
          </a:extLst>
        </cdr:cNvPr>
        <cdr:cNvCxnSpPr/>
      </cdr:nvCxnSpPr>
      <cdr:spPr>
        <a:xfrm xmlns:a="http://schemas.openxmlformats.org/drawingml/2006/main" flipV="1">
          <a:off x="3552319" y="1280927"/>
          <a:ext cx="4746426" cy="7479"/>
        </a:xfrm>
        <a:prstGeom xmlns:a="http://schemas.openxmlformats.org/drawingml/2006/main" prst="line">
          <a:avLst/>
        </a:prstGeom>
        <a:ln xmlns:a="http://schemas.openxmlformats.org/drawingml/2006/main" w="12700" cmpd="sng">
          <a:solidFill>
            <a:schemeClr val="accent1">
              <a:lumMod val="75000"/>
            </a:schemeClr>
          </a:solidFill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0.8947</cdr:x>
      <cdr:y>0.20596</cdr:y>
    </cdr:from>
    <cdr:to>
      <cdr:x>0.89693</cdr:x>
      <cdr:y>0.84219</cdr:y>
    </cdr:to>
    <cdr:cxnSp macro="">
      <cdr:nvCxnSpPr>
        <cdr:cNvPr id="8" name="Connecteur droit 7">
          <a:extLst xmlns:a="http://schemas.openxmlformats.org/drawingml/2006/main">
            <a:ext uri="{FF2B5EF4-FFF2-40B4-BE49-F238E27FC236}">
              <a16:creationId xmlns:a16="http://schemas.microsoft.com/office/drawing/2014/main" id="{DFDB0031-1AE5-40B2-BB77-B810EF6F32FE}"/>
            </a:ext>
          </a:extLst>
        </cdr:cNvPr>
        <cdr:cNvCxnSpPr/>
      </cdr:nvCxnSpPr>
      <cdr:spPr>
        <a:xfrm xmlns:a="http://schemas.openxmlformats.org/drawingml/2006/main">
          <a:off x="8307948" y="1249103"/>
          <a:ext cx="20675" cy="3858506"/>
        </a:xfrm>
        <a:prstGeom xmlns:a="http://schemas.openxmlformats.org/drawingml/2006/main" prst="line">
          <a:avLst/>
        </a:prstGeom>
        <a:ln xmlns:a="http://schemas.openxmlformats.org/drawingml/2006/main" w="9525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0.15245</cdr:x>
      <cdr:y>0.8437</cdr:y>
    </cdr:from>
    <cdr:to>
      <cdr:x>0.89693</cdr:x>
      <cdr:y>0.84673</cdr:y>
    </cdr:to>
    <cdr:cxnSp macro="">
      <cdr:nvCxnSpPr>
        <cdr:cNvPr id="10" name="Connecteur droit 9">
          <a:extLst xmlns:a="http://schemas.openxmlformats.org/drawingml/2006/main">
            <a:ext uri="{FF2B5EF4-FFF2-40B4-BE49-F238E27FC236}">
              <a16:creationId xmlns:a16="http://schemas.microsoft.com/office/drawing/2014/main" id="{666E3CE6-C58A-4B7D-B813-60392146CF20}"/>
            </a:ext>
          </a:extLst>
        </cdr:cNvPr>
        <cdr:cNvCxnSpPr/>
      </cdr:nvCxnSpPr>
      <cdr:spPr>
        <a:xfrm xmlns:a="http://schemas.openxmlformats.org/drawingml/2006/main" flipV="1">
          <a:off x="1415609" y="5116812"/>
          <a:ext cx="6913014" cy="18360"/>
        </a:xfrm>
        <a:prstGeom xmlns:a="http://schemas.openxmlformats.org/drawingml/2006/main" prst="line">
          <a:avLst/>
        </a:prstGeom>
        <a:ln xmlns:a="http://schemas.openxmlformats.org/drawingml/2006/main" w="12700">
          <a:headEnd type="oval"/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1</xdr:row>
      <xdr:rowOff>2690</xdr:rowOff>
    </xdr:from>
    <xdr:to>
      <xdr:col>7</xdr:col>
      <xdr:colOff>592094</xdr:colOff>
      <xdr:row>3</xdr:row>
      <xdr:rowOff>11234</xdr:rowOff>
    </xdr:to>
    <xdr:sp macro="" textlink="">
      <xdr:nvSpPr>
        <xdr:cNvPr id="2" name="Triangle 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 flipV="1">
          <a:off x="3670300" y="256690"/>
          <a:ext cx="592094" cy="516544"/>
        </a:xfrm>
        <a:prstGeom prst="rtTriangle">
          <a:avLst/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630709</xdr:colOff>
      <xdr:row>17</xdr:row>
      <xdr:rowOff>1</xdr:rowOff>
    </xdr:from>
    <xdr:to>
      <xdr:col>7</xdr:col>
      <xdr:colOff>568388</xdr:colOff>
      <xdr:row>21</xdr:row>
      <xdr:rowOff>12872</xdr:rowOff>
    </xdr:to>
    <xdr:sp macro="" textlink="">
      <xdr:nvSpPr>
        <xdr:cNvPr id="3" name="Triangle isocèle 2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 rot="5400000">
          <a:off x="3431563" y="4031747"/>
          <a:ext cx="1028871" cy="585379"/>
        </a:xfrm>
        <a:prstGeom prst="triangle">
          <a:avLst>
            <a:gd name="adj" fmla="val 48974"/>
          </a:avLst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630708</xdr:colOff>
      <xdr:row>21</xdr:row>
      <xdr:rowOff>6439</xdr:rowOff>
    </xdr:from>
    <xdr:to>
      <xdr:col>7</xdr:col>
      <xdr:colOff>568387</xdr:colOff>
      <xdr:row>25</xdr:row>
      <xdr:rowOff>5296</xdr:rowOff>
    </xdr:to>
    <xdr:sp macro="" textlink="">
      <xdr:nvSpPr>
        <xdr:cNvPr id="4" name="Triangle isocèle 32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 rot="5400000">
          <a:off x="3438569" y="5047178"/>
          <a:ext cx="1014857" cy="585379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0</xdr:colOff>
      <xdr:row>3</xdr:row>
      <xdr:rowOff>12872</xdr:rowOff>
    </xdr:from>
    <xdr:to>
      <xdr:col>7</xdr:col>
      <xdr:colOff>568388</xdr:colOff>
      <xdr:row>7</xdr:row>
      <xdr:rowOff>0</xdr:rowOff>
    </xdr:to>
    <xdr:sp macro="" textlink="">
      <xdr:nvSpPr>
        <xdr:cNvPr id="5" name="Triangle isocèle 29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 rot="5400000">
          <a:off x="3452930" y="992242"/>
          <a:ext cx="1003128" cy="568388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637144</xdr:colOff>
      <xdr:row>9</xdr:row>
      <xdr:rowOff>10587</xdr:rowOff>
    </xdr:from>
    <xdr:to>
      <xdr:col>7</xdr:col>
      <xdr:colOff>584265</xdr:colOff>
      <xdr:row>12</xdr:row>
      <xdr:rowOff>243421</xdr:rowOff>
    </xdr:to>
    <xdr:sp macro="" textlink="">
      <xdr:nvSpPr>
        <xdr:cNvPr id="6" name="Triangle isocèle 1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 rot="5400000">
          <a:off x="3459738" y="1988593"/>
          <a:ext cx="994834" cy="594821"/>
        </a:xfrm>
        <a:prstGeom prst="triangle">
          <a:avLst>
            <a:gd name="adj" fmla="val 48974"/>
          </a:avLst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0</xdr:colOff>
      <xdr:row>25</xdr:row>
      <xdr:rowOff>1</xdr:rowOff>
    </xdr:from>
    <xdr:to>
      <xdr:col>7</xdr:col>
      <xdr:colOff>568388</xdr:colOff>
      <xdr:row>29</xdr:row>
      <xdr:rowOff>0</xdr:rowOff>
    </xdr:to>
    <xdr:sp macro="" textlink="">
      <xdr:nvSpPr>
        <xdr:cNvPr id="7" name="Triangle isocèle 2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 rot="5400000">
          <a:off x="3446494" y="6065807"/>
          <a:ext cx="1015999" cy="568388"/>
        </a:xfrm>
        <a:prstGeom prst="triangle">
          <a:avLst>
            <a:gd name="adj" fmla="val 48974"/>
          </a:avLst>
        </a:prstGeom>
        <a:solidFill>
          <a:srgbClr val="FEFFBB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6</xdr:col>
      <xdr:colOff>637144</xdr:colOff>
      <xdr:row>13</xdr:row>
      <xdr:rowOff>2</xdr:rowOff>
    </xdr:from>
    <xdr:to>
      <xdr:col>7</xdr:col>
      <xdr:colOff>568387</xdr:colOff>
      <xdr:row>17</xdr:row>
      <xdr:rowOff>4</xdr:rowOff>
    </xdr:to>
    <xdr:sp macro="" textlink="">
      <xdr:nvSpPr>
        <xdr:cNvPr id="8" name="Triangle isocèle 30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 rot="5400000">
          <a:off x="3441215" y="3012531"/>
          <a:ext cx="1016002" cy="578943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7</xdr:col>
      <xdr:colOff>0</xdr:colOff>
      <xdr:row>29</xdr:row>
      <xdr:rowOff>1</xdr:rowOff>
    </xdr:from>
    <xdr:to>
      <xdr:col>7</xdr:col>
      <xdr:colOff>568388</xdr:colOff>
      <xdr:row>33</xdr:row>
      <xdr:rowOff>4147</xdr:rowOff>
    </xdr:to>
    <xdr:sp macro="" textlink="">
      <xdr:nvSpPr>
        <xdr:cNvPr id="9" name="Triangle isocèle 34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 rot="5400000">
          <a:off x="3444421" y="7083880"/>
          <a:ext cx="1020146" cy="568388"/>
        </a:xfrm>
        <a:prstGeom prst="triangle">
          <a:avLst>
            <a:gd name="adj" fmla="val 48974"/>
          </a:avLst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104775</xdr:colOff>
          <xdr:row>41</xdr:row>
          <xdr:rowOff>219075</xdr:rowOff>
        </xdr:from>
        <xdr:to>
          <xdr:col>2</xdr:col>
          <xdr:colOff>257175</xdr:colOff>
          <xdr:row>43</xdr:row>
          <xdr:rowOff>38100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R</a:t>
              </a:r>
            </a:p>
          </xdr:txBody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9309340" cy="6083420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c:userShapes xmlns:c="http://schemas.openxmlformats.org/drawingml/2006/chart">
  <cdr:relSizeAnchor xmlns:cdr="http://schemas.openxmlformats.org/drawingml/2006/chartDrawing">
    <cdr:from>
      <cdr:x>0.0892</cdr:x>
      <cdr:y>0.62974</cdr:y>
    </cdr:from>
    <cdr:to>
      <cdr:x>0.0892</cdr:x>
      <cdr:y>0.86039</cdr:y>
    </cdr:to>
    <cdr:cxnSp macro="">
      <cdr:nvCxnSpPr>
        <cdr:cNvPr id="3" name="Connecteur droit avec flèche 2">
          <a:extLst xmlns:a="http://schemas.openxmlformats.org/drawingml/2006/main">
            <a:ext uri="{FF2B5EF4-FFF2-40B4-BE49-F238E27FC236}">
              <a16:creationId xmlns:a16="http://schemas.microsoft.com/office/drawing/2014/main" id="{778292FD-4991-41C7-90B4-EDC0F274F571}"/>
            </a:ext>
          </a:extLst>
        </cdr:cNvPr>
        <cdr:cNvCxnSpPr/>
      </cdr:nvCxnSpPr>
      <cdr:spPr>
        <a:xfrm xmlns:a="http://schemas.openxmlformats.org/drawingml/2006/main" flipV="1">
          <a:off x="828261" y="3819204"/>
          <a:ext cx="0" cy="1398839"/>
        </a:xfrm>
        <a:prstGeom xmlns:a="http://schemas.openxmlformats.org/drawingml/2006/main" prst="straightConnector1">
          <a:avLst/>
        </a:prstGeom>
        <a:ln xmlns:a="http://schemas.openxmlformats.org/drawingml/2006/main">
          <a:solidFill>
            <a:srgbClr val="0070C0"/>
          </a:solidFill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0.08722</cdr:x>
      <cdr:y>0.26867</cdr:y>
    </cdr:from>
    <cdr:to>
      <cdr:x>0.38063</cdr:x>
      <cdr:y>0.62822</cdr:y>
    </cdr:to>
    <cdr:cxnSp macro="">
      <cdr:nvCxnSpPr>
        <cdr:cNvPr id="10" name="Connecteur droit avec flèche 9">
          <a:extLst xmlns:a="http://schemas.openxmlformats.org/drawingml/2006/main">
            <a:ext uri="{FF2B5EF4-FFF2-40B4-BE49-F238E27FC236}">
              <a16:creationId xmlns:a16="http://schemas.microsoft.com/office/drawing/2014/main" id="{56CFC67A-0271-400B-B7A0-C73A32AB4321}"/>
            </a:ext>
          </a:extLst>
        </cdr:cNvPr>
        <cdr:cNvCxnSpPr/>
      </cdr:nvCxnSpPr>
      <cdr:spPr>
        <a:xfrm xmlns:a="http://schemas.openxmlformats.org/drawingml/2006/main" flipV="1">
          <a:off x="809855" y="1629434"/>
          <a:ext cx="2724579" cy="2180566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0.37934</cdr:x>
      <cdr:y>0.26472</cdr:y>
    </cdr:from>
    <cdr:to>
      <cdr:x>0.92771</cdr:x>
      <cdr:y>0.26867</cdr:y>
    </cdr:to>
    <cdr:cxnSp macro="">
      <cdr:nvCxnSpPr>
        <cdr:cNvPr id="12" name="Connecteur droit avec flèche 11">
          <a:extLst xmlns:a="http://schemas.openxmlformats.org/drawingml/2006/main">
            <a:ext uri="{FF2B5EF4-FFF2-40B4-BE49-F238E27FC236}">
              <a16:creationId xmlns:a16="http://schemas.microsoft.com/office/drawing/2014/main" id="{16266C4B-ADE9-4C08-8395-CA3956B6C8FC}"/>
            </a:ext>
          </a:extLst>
        </cdr:cNvPr>
        <cdr:cNvCxnSpPr/>
      </cdr:nvCxnSpPr>
      <cdr:spPr>
        <a:xfrm xmlns:a="http://schemas.openxmlformats.org/drawingml/2006/main" flipV="1">
          <a:off x="3522453" y="1605472"/>
          <a:ext cx="5091981" cy="23962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0.92771</cdr:x>
      <cdr:y>0.26077</cdr:y>
    </cdr:from>
    <cdr:to>
      <cdr:x>0.929</cdr:x>
      <cdr:y>0.85541</cdr:y>
    </cdr:to>
    <cdr:cxnSp macro="">
      <cdr:nvCxnSpPr>
        <cdr:cNvPr id="14" name="Connecteur droit avec flèche 13">
          <a:extLst xmlns:a="http://schemas.openxmlformats.org/drawingml/2006/main">
            <a:ext uri="{FF2B5EF4-FFF2-40B4-BE49-F238E27FC236}">
              <a16:creationId xmlns:a16="http://schemas.microsoft.com/office/drawing/2014/main" id="{324DE777-6138-4E2F-98F3-3D63BD186206}"/>
            </a:ext>
          </a:extLst>
        </cdr:cNvPr>
        <cdr:cNvCxnSpPr/>
      </cdr:nvCxnSpPr>
      <cdr:spPr>
        <a:xfrm xmlns:a="http://schemas.openxmlformats.org/drawingml/2006/main">
          <a:off x="8614434" y="1581509"/>
          <a:ext cx="11981" cy="3606321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  <cdr:relSizeAnchor xmlns:cdr="http://schemas.openxmlformats.org/drawingml/2006/chartDrawing">
    <cdr:from>
      <cdr:x>0.08821</cdr:x>
      <cdr:y>0.85541</cdr:y>
    </cdr:from>
    <cdr:to>
      <cdr:x>0.92771</cdr:x>
      <cdr:y>0.85736</cdr:y>
    </cdr:to>
    <cdr:cxnSp macro="">
      <cdr:nvCxnSpPr>
        <cdr:cNvPr id="16" name="Connecteur droit avec flèche 15">
          <a:extLst xmlns:a="http://schemas.openxmlformats.org/drawingml/2006/main">
            <a:ext uri="{FF2B5EF4-FFF2-40B4-BE49-F238E27FC236}">
              <a16:creationId xmlns:a16="http://schemas.microsoft.com/office/drawing/2014/main" id="{8D198115-C635-4F19-BF60-20DF5A8CD057}"/>
            </a:ext>
          </a:extLst>
        </cdr:cNvPr>
        <cdr:cNvCxnSpPr/>
      </cdr:nvCxnSpPr>
      <cdr:spPr>
        <a:xfrm xmlns:a="http://schemas.openxmlformats.org/drawingml/2006/main" flipH="1">
          <a:off x="819059" y="5187830"/>
          <a:ext cx="7795375" cy="11808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oval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447675</xdr:colOff>
          <xdr:row>29</xdr:row>
          <xdr:rowOff>38100</xdr:rowOff>
        </xdr:from>
        <xdr:to>
          <xdr:col>1</xdr:col>
          <xdr:colOff>571500</xdr:colOff>
          <xdr:row>31</xdr:row>
          <xdr:rowOff>114300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Retour</a:t>
              </a:r>
            </a:p>
          </xdr:txBody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647700</xdr:colOff>
          <xdr:row>8</xdr:row>
          <xdr:rowOff>9525</xdr:rowOff>
        </xdr:from>
        <xdr:to>
          <xdr:col>11</xdr:col>
          <xdr:colOff>0</xdr:colOff>
          <xdr:row>9</xdr:row>
          <xdr:rowOff>219075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4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cs typeface="Helvetica"/>
                </a:rPr>
                <a:t>Retour</a:t>
              </a:r>
            </a:p>
          </xdr:txBody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a4de20a5fbdd5ad9/aviation/Navigation%5e0logbook%20V0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rnardpenders/Desktop/FlyOffice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LOG NAV"/>
      <sheetName val="CALCUL"/>
      <sheetName val="Carnet de vol"/>
      <sheetName val="facture"/>
      <sheetName val="Factures mars_2017"/>
      <sheetName val="Factures février_2017"/>
      <sheetName val="Factures décembre_2016"/>
      <sheetName val="Factures novembre_2016"/>
      <sheetName val="Factures octobre_2016"/>
      <sheetName val="Factures septembre_2016"/>
      <sheetName val="Data"/>
      <sheetName val="Navigation^0logbook V01"/>
      <sheetName val="//d.docs.live.net/a4de20a5fbdd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PARATION nav"/>
      <sheetName val="LOG NAV"/>
      <sheetName val="FlyOfficeV2.0"/>
      <sheetName val="CALCUL"/>
      <sheetName val="Tableau de bord"/>
      <sheetName val="ANCIEN CV"/>
      <sheetName val="CARNET_DE_VOL"/>
      <sheetName val="Data"/>
    </sheetNames>
    <definedNames>
      <definedName name="Bouton6_Cliquer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INSTRUCTEUR" displayName="INSTRUCTEUR" ref="S2:U8" totalsRowShown="0">
  <autoFilter ref="S2:U8" xr:uid="{00000000-0009-0000-0100-000001000000}"/>
  <tableColumns count="3">
    <tableColumn id="1" xr3:uid="{00000000-0010-0000-0000-000001000000}" name="INSTRUCTEUR"/>
    <tableColumn id="2" xr3:uid="{00000000-0010-0000-0000-000002000000}" name="PRIX"/>
    <tableColumn id="3" xr3:uid="{00000000-0010-0000-0000-000003000000}" name="Colonne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LANDING" displayName="LANDING" ref="X2:X12" totalsRowShown="0">
  <autoFilter ref="X2:X12" xr:uid="{00000000-0009-0000-0100-000002000000}"/>
  <tableColumns count="1">
    <tableColumn id="1" xr3:uid="{00000000-0010-0000-0100-000001000000}" name="LANDING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Z2:Z8" totalsRowShown="0">
  <autoFilter ref="Z2:Z8" xr:uid="{00000000-0009-0000-0100-000003000000}"/>
  <tableColumns count="1">
    <tableColumn id="1" xr3:uid="{00000000-0010-0000-0200-000001000000}" name="Colonne2" dataDxfId="1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VALIDATION" displayName="VALIDATION" ref="AA2:AB8" totalsRowShown="0">
  <autoFilter ref="AA2:AB8" xr:uid="{00000000-0009-0000-0100-000004000000}"/>
  <tableColumns count="2">
    <tableColumn id="1" xr3:uid="{00000000-0010-0000-0300-000001000000}" name="Colonne1"/>
    <tableColumn id="2" xr3:uid="{00000000-0010-0000-0300-000002000000}" name="Date revalidation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4000000}" name="IOAC1" displayName="IOAC1" ref="W15:AM56" totalsRowShown="0" dataDxfId="13">
  <autoFilter ref="W15:AM56" xr:uid="{00000000-0009-0000-0100-000005000000}"/>
  <sortState ref="W16:AM56">
    <sortCondition ref="W15:W56"/>
  </sortState>
  <tableColumns count="17">
    <tableColumn id="1" xr3:uid="{00000000-0010-0000-0400-000001000000}" name="IOAC" dataDxfId="12"/>
    <tableColumn id="2" xr3:uid="{00000000-0010-0000-0400-000002000000}" name="lat"/>
    <tableColumn id="3" xr3:uid="{00000000-0010-0000-0400-000003000000}" name="long"/>
    <tableColumn id="4" xr3:uid="{00000000-0010-0000-0400-000004000000}" name="lieu" dataDxfId="11"/>
    <tableColumn id="15" xr3:uid="{00000000-0010-0000-0400-00000F000000}" name="Colonne1" dataDxfId="10"/>
    <tableColumn id="14" xr3:uid="{00000000-0010-0000-0400-00000E000000}" name="PISTE" dataDxfId="9"/>
    <tableColumn id="5" xr3:uid="{00000000-0010-0000-0400-000005000000}" name="ALT SECURITE" dataDxfId="8"/>
    <tableColumn id="6" xr3:uid="{00000000-0010-0000-0400-000006000000}" name="INFO1"/>
    <tableColumn id="7" xr3:uid="{00000000-0010-0000-0400-000007000000}" name="INFO2"/>
    <tableColumn id="8" xr3:uid="{00000000-0010-0000-0400-000008000000}" name="RNAV2"/>
    <tableColumn id="9" xr3:uid="{00000000-0010-0000-0400-000009000000}" name="RNAV"/>
    <tableColumn id="17" xr3:uid="{00000000-0010-0000-0400-000011000000}" name="Colonne3"/>
    <tableColumn id="10" xr3:uid="{00000000-0010-0000-0400-00000A000000}" name="RADIO " dataDxfId="7"/>
    <tableColumn id="11" xr3:uid="{00000000-0010-0000-0400-00000B000000}" name="Approche" dataDxfId="6"/>
    <tableColumn id="12" xr3:uid="{00000000-0010-0000-0400-00000C000000}" name="proche" dataDxfId="5"/>
    <tableColumn id="13" xr3:uid="{00000000-0010-0000-0400-00000D000000}" name="ATIS" dataDxfId="4"/>
    <tableColumn id="16" xr3:uid="{00000000-0010-0000-0400-000010000000}" name="Colonne2" dataDxfId="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5000000}" name="AVION1" displayName="AVION1" ref="A2:R19" totalsRowShown="0">
  <autoFilter ref="A2:R19" xr:uid="{00000000-0009-0000-0100-000006000000}"/>
  <sortState ref="A3:G18">
    <sortCondition ref="A1:A17"/>
  </sortState>
  <tableColumns count="18">
    <tableColumn id="1" xr3:uid="{00000000-0010-0000-0500-000001000000}" name="AVION"/>
    <tableColumn id="4" xr3:uid="{00000000-0010-0000-0500-000004000000}" name="Type"/>
    <tableColumn id="5" xr3:uid="{00000000-0010-0000-0500-000005000000}" name="PU"/>
    <tableColumn id="3" xr3:uid="{00000000-0010-0000-0500-000003000000}" name="TAS"/>
    <tableColumn id="7" xr3:uid="{00000000-0010-0000-0500-000007000000}" name="cgF"/>
    <tableColumn id="6" xr3:uid="{00000000-0010-0000-0500-000006000000}" name="cgB" dataDxfId="2"/>
    <tableColumn id="2" xr3:uid="{00000000-0010-0000-0500-000002000000}" name="Consomation"/>
    <tableColumn id="8" xr3:uid="{00000000-0010-0000-0500-000008000000}" name="empty w"/>
    <tableColumn id="9" xr3:uid="{00000000-0010-0000-0500-000009000000}" name="empty cg"/>
    <tableColumn id="10" xr3:uid="{00000000-0010-0000-0500-00000A000000}" name="max weight"/>
    <tableColumn id="11" xr3:uid="{00000000-0010-0000-0500-00000B000000}" name="arm pic"/>
    <tableColumn id="12" xr3:uid="{00000000-0010-0000-0500-00000C000000}" name="arm oil"/>
    <tableColumn id="13" xr3:uid="{00000000-0010-0000-0500-00000D000000}" name="oil"/>
    <tableColumn id="14" xr3:uid="{00000000-0010-0000-0500-00000E000000}" name="arm bg 1"/>
    <tableColumn id="15" xr3:uid="{00000000-0010-0000-0500-00000F000000}" name="arm bg 2"/>
    <tableColumn id="16" xr3:uid="{00000000-0010-0000-0500-000010000000}" name="arm Fuel"/>
    <tableColumn id="19" xr3:uid="{00000000-0010-0000-0500-000013000000}" name="arm PAX"/>
    <tableColumn id="20" xr3:uid="{00000000-0010-0000-0500-000014000000}" name="Graphiqu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ableau10" displayName="Tableau10" ref="A22:A25" totalsRowShown="0">
  <autoFilter ref="A22:A25" xr:uid="{00000000-0009-0000-0100-000007000000}"/>
  <tableColumns count="1">
    <tableColumn id="1" xr3:uid="{00000000-0010-0000-0600-000001000000}" name="Colonne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13" displayName="Tableau13" ref="F22:F75" totalsRowShown="0">
  <autoFilter ref="F22:F75" xr:uid="{00000000-0009-0000-0100-000008000000}"/>
  <tableColumns count="1">
    <tableColumn id="1" xr3:uid="{00000000-0010-0000-0700-000001000000}" name="UNITE">
      <calculatedColumnFormula>F22+1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3.xml"/><Relationship Id="rId12" Type="http://schemas.openxmlformats.org/officeDocument/2006/relationships/table" Target="../tables/table8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11" Type="http://schemas.openxmlformats.org/officeDocument/2006/relationships/table" Target="../tables/table7.xml"/><Relationship Id="rId5" Type="http://schemas.openxmlformats.org/officeDocument/2006/relationships/table" Target="../tables/table1.xml"/><Relationship Id="rId10" Type="http://schemas.openxmlformats.org/officeDocument/2006/relationships/table" Target="../tables/table6.xml"/><Relationship Id="rId4" Type="http://schemas.openxmlformats.org/officeDocument/2006/relationships/ctrlProp" Target="../ctrlProps/ctrlProp2.xml"/><Relationship Id="rId9" Type="http://schemas.openxmlformats.org/officeDocument/2006/relationships/table" Target="../tables/table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>
    <tabColor rgb="FF00B050"/>
  </sheetPr>
  <dimension ref="A1:U53"/>
  <sheetViews>
    <sheetView topLeftCell="B24" zoomScale="111" zoomScaleNormal="111" zoomScalePageLayoutView="111" workbookViewId="0">
      <selection activeCell="C36" sqref="C36"/>
    </sheetView>
  </sheetViews>
  <sheetFormatPr baseColWidth="10" defaultColWidth="10.140625" defaultRowHeight="15"/>
  <cols>
    <col min="1" max="1" width="7.85546875" hidden="1" customWidth="1"/>
    <col min="2" max="2" width="11.140625" bestFit="1" customWidth="1"/>
    <col min="3" max="3" width="12.28515625" customWidth="1"/>
    <col min="4" max="4" width="9.140625" hidden="1" customWidth="1"/>
    <col min="5" max="5" width="6.7109375" hidden="1" customWidth="1"/>
    <col min="6" max="6" width="16.140625" customWidth="1"/>
    <col min="7" max="7" width="8.42578125" bestFit="1" customWidth="1"/>
    <col min="8" max="8" width="8.85546875" customWidth="1"/>
    <col min="9" max="9" width="3.28515625" hidden="1" customWidth="1"/>
    <col min="10" max="10" width="23.42578125" customWidth="1"/>
    <col min="11" max="11" width="6.42578125" customWidth="1"/>
    <col min="12" max="12" width="16.140625" customWidth="1"/>
    <col min="13" max="13" width="15.28515625" customWidth="1"/>
    <col min="16" max="16" width="19.42578125" customWidth="1"/>
    <col min="17" max="17" width="11.28515625" customWidth="1"/>
    <col min="18" max="18" width="13.42578125" customWidth="1"/>
    <col min="19" max="19" width="18.42578125" customWidth="1"/>
    <col min="20" max="20" width="11" customWidth="1"/>
    <col min="21" max="21" width="11.140625" customWidth="1"/>
    <col min="22" max="22" width="4.42578125" customWidth="1"/>
    <col min="23" max="23" width="11" customWidth="1"/>
    <col min="24" max="24" width="11.85546875" customWidth="1"/>
    <col min="25" max="25" width="34.28515625" customWidth="1"/>
    <col min="26" max="26" width="11.140625" customWidth="1"/>
  </cols>
  <sheetData>
    <row r="1" spans="1:16" ht="20.100000000000001" customHeight="1">
      <c r="A1" s="115"/>
      <c r="B1" s="116" t="s">
        <v>276</v>
      </c>
      <c r="C1" s="117"/>
      <c r="D1" s="117"/>
      <c r="E1" s="117"/>
      <c r="F1" s="118" t="s">
        <v>277</v>
      </c>
      <c r="G1" s="286" t="s">
        <v>278</v>
      </c>
      <c r="H1" s="119"/>
      <c r="I1" s="287" t="s">
        <v>279</v>
      </c>
      <c r="J1" s="287"/>
      <c r="K1" s="287"/>
      <c r="L1" s="287"/>
      <c r="M1" s="120"/>
      <c r="N1" s="288"/>
      <c r="O1" s="288"/>
      <c r="P1" s="121"/>
    </row>
    <row r="2" spans="1:16" s="115" customFormat="1" ht="20.100000000000001" customHeight="1">
      <c r="B2" s="122" t="s">
        <v>280</v>
      </c>
      <c r="C2" s="12" t="s">
        <v>281</v>
      </c>
      <c r="D2" s="12" t="s">
        <v>282</v>
      </c>
      <c r="E2" s="12" t="s">
        <v>283</v>
      </c>
      <c r="F2" s="123" t="s">
        <v>284</v>
      </c>
      <c r="G2" s="286"/>
      <c r="H2" s="289"/>
      <c r="I2" s="124" t="e">
        <f>'[2]PREPARATION nav'!D5</f>
        <v>#REF!</v>
      </c>
      <c r="J2" s="290" t="e">
        <f>IF(ISNA(VLOOKUP(I2,[2]!IOAC1[#Data],4,FALSE)),"",VLOOKUP(I2,[2]!IOAC1[#Data],4,FALSE))</f>
        <v>#REF!</v>
      </c>
      <c r="K2" s="290"/>
      <c r="L2" s="125"/>
      <c r="M2" s="126"/>
      <c r="N2" s="127"/>
      <c r="O2" s="127"/>
      <c r="P2" s="121"/>
    </row>
    <row r="3" spans="1:16" s="115" customFormat="1" ht="20.100000000000001" customHeight="1" thickBot="1">
      <c r="B3" s="128" t="s">
        <v>285</v>
      </c>
      <c r="C3" s="129" t="s">
        <v>286</v>
      </c>
      <c r="D3" s="129"/>
      <c r="E3" s="129"/>
      <c r="F3" s="130" t="s">
        <v>287</v>
      </c>
      <c r="G3" s="286"/>
      <c r="H3" s="289"/>
      <c r="I3" s="131"/>
      <c r="J3" s="256" t="e">
        <f>IF(ISNA(VLOOKUP(I2,[2]!IOAC1[#Data],6,FALSE)),"",VLOOKUP(I2,[2]!IOAC1[#Data],6,FALSE))</f>
        <v>#REF!</v>
      </c>
      <c r="K3" s="256"/>
      <c r="L3" s="132"/>
      <c r="M3" s="120"/>
      <c r="N3" s="127"/>
      <c r="O3" s="127"/>
      <c r="P3" s="121"/>
    </row>
    <row r="4" spans="1:16" ht="20.100000000000001" customHeight="1" thickTop="1">
      <c r="A4" s="277">
        <v>1</v>
      </c>
      <c r="B4" s="133"/>
      <c r="C4" s="134"/>
      <c r="D4" s="270" t="e">
        <f>DEGREES(ASIN(WINf/TAS*SIN(RADIANS(C7-WINd))))</f>
        <v>#REF!</v>
      </c>
      <c r="E4" s="271" t="e">
        <f>TAS*COS(RADIANS(D4))-WINf*COS(RADIANS(C7-WINd))</f>
        <v>#REF!</v>
      </c>
      <c r="F4" s="135" t="e">
        <f>dtg</f>
        <v>#REF!</v>
      </c>
      <c r="G4" s="272" t="e">
        <f>(F5/E4)*60</f>
        <v>#REF!</v>
      </c>
      <c r="H4" s="283"/>
      <c r="I4" s="41"/>
      <c r="J4" s="136"/>
      <c r="K4" s="137" t="s">
        <v>288</v>
      </c>
      <c r="L4" s="138" t="e">
        <f>IF(ISNA(VLOOKUP(I2,[2]!IOAC1[#Data],12,FALSE)),"",VLOOKUP(I2,[2]!IOAC1[#Data],12,FALSE))</f>
        <v>#REF!</v>
      </c>
      <c r="M4" s="120"/>
      <c r="N4" s="251"/>
      <c r="O4" s="251"/>
      <c r="P4" s="120"/>
    </row>
    <row r="5" spans="1:16" ht="20.100000000000001" customHeight="1" thickBot="1">
      <c r="A5" s="278"/>
      <c r="B5" s="284" t="e">
        <f>IF(ISNA(VLOOKUP(I2,[2]!IOAC1[#Data],7,FALSE)),"",VLOOKUP(I2,[2]!IOAC1[#Data],7,FALSE))</f>
        <v>#REF!</v>
      </c>
      <c r="C5" s="270" t="e">
        <f>IF(C7-derive1&lt;0,360+C7-derive1,IF(C7-derive1&gt;360,C7-derive1-360,C7-derive1))</f>
        <v>#REF!</v>
      </c>
      <c r="D5" s="270"/>
      <c r="E5" s="271"/>
      <c r="F5" s="285">
        <f>IFERROR(TRUNC((ACOS(SIN(RADIANS(latitude1)) *SIN(RADIANS(latitude2))+COS(RADIANS(latitude1))*COS(RADIANS(latitude2))*COS(RADIANS(longitude1-longitude2)))*6371),2)/1.85185,0)</f>
        <v>0</v>
      </c>
      <c r="G5" s="272"/>
      <c r="H5" s="283"/>
      <c r="J5" s="139"/>
      <c r="K5" s="140" t="s">
        <v>289</v>
      </c>
      <c r="L5" s="141" t="e">
        <f>IF(ISNA(VLOOKUP(I2,[2]!IOAC1[#Data],13,FALSE)),"",VLOOKUP(I2,[2]!IOAC1[#Data],13,FALSE))</f>
        <v>#REF!</v>
      </c>
      <c r="M5" s="120"/>
      <c r="N5" s="142"/>
      <c r="O5" s="142"/>
      <c r="P5" s="143"/>
    </row>
    <row r="6" spans="1:16" ht="20.100000000000001" customHeight="1" thickTop="1">
      <c r="A6" s="278"/>
      <c r="B6" s="284"/>
      <c r="C6" s="270"/>
      <c r="D6" s="270"/>
      <c r="E6" s="271"/>
      <c r="F6" s="285"/>
      <c r="G6" s="272"/>
      <c r="H6" s="283"/>
      <c r="I6" s="144" t="e">
        <f>Point1</f>
        <v>#REF!</v>
      </c>
      <c r="J6" s="266" t="e">
        <f>IF(ISNA(VLOOKUP(I6,[2]!IOAC1[#Data],4,FALSE)),"",VLOOKUP(I6,[2]!IOAC1[#Data],4,FALSE))</f>
        <v>#REF!</v>
      </c>
      <c r="K6" s="266"/>
      <c r="L6" s="145"/>
      <c r="M6" s="120"/>
      <c r="N6" s="142"/>
      <c r="O6" s="142"/>
      <c r="P6" s="143"/>
    </row>
    <row r="7" spans="1:16" ht="20.100000000000001" customHeight="1" thickBot="1">
      <c r="A7" s="279"/>
      <c r="B7" s="146" t="e">
        <f>IF(ISNA(VLOOKUP(I2,[2]!IOAC1[#Data],5,FALSE)),"",VLOOKUP(I2,[2]!IOAC1[#Data],5,FALSE))+500</f>
        <v>#REF!</v>
      </c>
      <c r="C7" s="147">
        <f>IFERROR(route1,0)</f>
        <v>0</v>
      </c>
      <c r="D7" s="270"/>
      <c r="E7" s="271"/>
      <c r="F7" s="148" t="e">
        <f>dtg-F5</f>
        <v>#REF!</v>
      </c>
      <c r="G7" s="272"/>
      <c r="H7" s="283"/>
      <c r="I7" s="149"/>
      <c r="J7" s="281"/>
      <c r="K7" s="281"/>
      <c r="L7" s="150"/>
      <c r="M7" s="120"/>
      <c r="N7" s="251"/>
      <c r="O7" s="251"/>
      <c r="P7" s="143"/>
    </row>
    <row r="8" spans="1:16" ht="14.1" hidden="1" customHeight="1" thickBot="1">
      <c r="A8" s="151"/>
      <c r="B8" s="133"/>
      <c r="C8" s="152"/>
      <c r="D8" s="153"/>
      <c r="E8" s="271"/>
      <c r="F8" s="154"/>
      <c r="G8" s="155"/>
      <c r="H8" s="156"/>
      <c r="I8" s="157"/>
      <c r="J8" s="158" t="e">
        <f>IF(ISNA(VLOOKUP(I7,[2]!IOAC1[#Data],6,FALSE)),"",VLOOKUP(I7,[2]!IOAC1[#Data],6,FALSE))</f>
        <v>#REF!</v>
      </c>
      <c r="K8" s="159"/>
      <c r="L8" s="160"/>
      <c r="M8" s="120"/>
      <c r="N8" s="142"/>
      <c r="O8" s="142"/>
      <c r="P8" s="143"/>
    </row>
    <row r="9" spans="1:16" ht="14.1" hidden="1" customHeight="1" thickBot="1">
      <c r="A9" s="161"/>
      <c r="B9" s="162"/>
      <c r="C9" s="163"/>
      <c r="D9" s="164"/>
      <c r="E9" s="164"/>
      <c r="F9" s="165"/>
      <c r="G9" s="166"/>
      <c r="H9" s="120"/>
      <c r="I9" s="120"/>
      <c r="J9" s="167"/>
      <c r="K9" s="168"/>
      <c r="L9" s="150"/>
      <c r="M9" s="120"/>
      <c r="N9" s="142"/>
      <c r="O9" s="142"/>
      <c r="P9" s="143"/>
    </row>
    <row r="10" spans="1:16" ht="20.100000000000001" customHeight="1">
      <c r="A10" s="276">
        <v>2</v>
      </c>
      <c r="B10" s="3"/>
      <c r="C10" s="169"/>
      <c r="D10" s="262" t="e">
        <f>DEGREES(ASIN(WINf/TAS*SIN(RADIANS(C13-WINd))))</f>
        <v>#REF!</v>
      </c>
      <c r="E10" s="263" t="e">
        <f>TAS*COS(RADIANS(D10))-WINf*COS(RADIANS(C13-WINd))</f>
        <v>#REF!</v>
      </c>
      <c r="F10" s="170" t="e">
        <f>F7</f>
        <v>#REF!</v>
      </c>
      <c r="G10" s="264" t="e">
        <f>(F11/E10)*60</f>
        <v>#REF!</v>
      </c>
      <c r="H10" s="254"/>
      <c r="I10" s="120"/>
      <c r="J10" s="281"/>
      <c r="K10" s="281"/>
      <c r="L10" s="171"/>
      <c r="M10" s="120"/>
      <c r="N10" s="142"/>
      <c r="O10" s="142"/>
      <c r="P10" s="143"/>
    </row>
    <row r="11" spans="1:16" ht="20.100000000000001" customHeight="1" thickBot="1">
      <c r="A11" s="260"/>
      <c r="B11" s="282" t="e">
        <f>IF(ISNA(VLOOKUP(I12,[2]!IOAC1[#Data],7,FALSE)),"",VLOOKUP(I12,[2]!IOAC1[#Data],7,FALSE))</f>
        <v>#REF!</v>
      </c>
      <c r="C11" s="262" t="e">
        <f>IF(C13-derive2&lt;0,360+C13-derive2,IF(C13-derive2&gt;360,C13-derive2-360,C13-derive2))</f>
        <v>#REF!</v>
      </c>
      <c r="D11" s="262"/>
      <c r="E11" s="263"/>
      <c r="F11" s="253">
        <f>IFERROR(TRUNC((ACOS(SIN(RADIANS(latitude3)) *SIN(RADIANS(latitude4))+COS(RADIANS(latitude3))*COS(RADIANS(latitude4))*COS(RADIANS(longitude3-longitude4)))*6371),2)/1.85185,0)</f>
        <v>0</v>
      </c>
      <c r="G11" s="264"/>
      <c r="H11" s="254"/>
      <c r="J11" s="280"/>
      <c r="K11" s="280"/>
      <c r="L11" s="172" t="e">
        <f>IF(ISNA(VLOOKUP(I6,[2]!IOAC1[#Data],13,FALSE)),"",VLOOKUP(I6,[2]!IOAC1[#Data],13,FALSE))</f>
        <v>#REF!</v>
      </c>
      <c r="M11" s="120"/>
      <c r="N11" s="142"/>
      <c r="O11" s="142"/>
      <c r="P11" s="143"/>
    </row>
    <row r="12" spans="1:16" ht="20.100000000000001" customHeight="1" thickTop="1">
      <c r="A12" s="260"/>
      <c r="B12" s="282"/>
      <c r="C12" s="262"/>
      <c r="D12" s="262"/>
      <c r="E12" s="263"/>
      <c r="F12" s="253"/>
      <c r="G12" s="264"/>
      <c r="H12" s="254"/>
      <c r="I12" s="173" t="e">
        <f>Point2</f>
        <v>#REF!</v>
      </c>
      <c r="J12" s="266" t="e">
        <f>IF(ISNA(VLOOKUP(I12,[2]!IOAC1[#Data],4,FALSE)),"",VLOOKUP(I12,[2]!IOAC1[#Data],4,FALSE))</f>
        <v>#REF!</v>
      </c>
      <c r="K12" s="266"/>
      <c r="L12" s="174"/>
      <c r="M12" s="120"/>
      <c r="N12" s="142"/>
      <c r="O12" s="142"/>
      <c r="P12" s="143"/>
    </row>
    <row r="13" spans="1:16" ht="20.100000000000001" customHeight="1" thickBot="1">
      <c r="A13" s="261"/>
      <c r="B13" s="175" t="e">
        <f>IF(ISNA(VLOOKUP(I12,[2]!IOAC1[#Data],5,FALSE)),"",VLOOKUP(I12,[2]!IOAC1[#Data],5,FALSE))+500</f>
        <v>#REF!</v>
      </c>
      <c r="C13" s="176">
        <f>IFERROR(route2,0)</f>
        <v>0</v>
      </c>
      <c r="D13" s="262"/>
      <c r="E13" s="263"/>
      <c r="F13" s="177" t="e">
        <f>F10-F11</f>
        <v>#REF!</v>
      </c>
      <c r="G13" s="264"/>
      <c r="H13" s="254"/>
      <c r="I13" s="131"/>
      <c r="J13" s="275" t="e">
        <f>IF(ISNA(VLOOKUP(I12,[2]!IOAC1[#Data],6,FALSE)),"",VLOOKUP(I12,[2]!IOAC1[#Data],6,FALSE))</f>
        <v>#REF!</v>
      </c>
      <c r="K13" s="275"/>
      <c r="L13" s="178" t="e">
        <f>IF(ISNA(VLOOKUP(I16,[2]!IOAC1[#Data],9,FALSE)),"",VLOOKUP(I16,[2]!IOAC1[#Data],9,FALSE))</f>
        <v>#REF!</v>
      </c>
      <c r="M13" s="120"/>
      <c r="N13" s="142"/>
      <c r="O13" s="142"/>
      <c r="P13" s="143"/>
    </row>
    <row r="14" spans="1:16" ht="20.100000000000001" customHeight="1">
      <c r="A14" s="277">
        <v>3</v>
      </c>
      <c r="B14" s="146"/>
      <c r="C14" s="134"/>
      <c r="D14" s="270" t="e">
        <f>DEGREES(ASIN(WINf/TAS*SIN(RADIANS(C17-WINd))))</f>
        <v>#REF!</v>
      </c>
      <c r="E14" s="271" t="e">
        <f>TAS*COS(RADIANS(D14))-WINf*COS(RADIANS(C17-WINd))</f>
        <v>#REF!</v>
      </c>
      <c r="F14" s="179" t="e">
        <f>F13</f>
        <v>#REF!</v>
      </c>
      <c r="G14" s="272" t="e">
        <f>(F15/E14)*60</f>
        <v>#REF!</v>
      </c>
      <c r="H14" s="254"/>
      <c r="I14" s="41"/>
      <c r="J14" s="167"/>
      <c r="K14" s="168"/>
      <c r="L14" s="171"/>
      <c r="M14" s="120"/>
      <c r="N14" s="142"/>
      <c r="O14" s="142"/>
      <c r="P14" s="143"/>
    </row>
    <row r="15" spans="1:16" ht="20.100000000000001" customHeight="1" thickBot="1">
      <c r="A15" s="278"/>
      <c r="B15" s="273" t="e">
        <f>IF(ISNA(VLOOKUP(I16,[2]!IOAC1[#Data],7,FALSE)),"",VLOOKUP(I16,[2]!IOAC1[#Data],7,FALSE))</f>
        <v>#REF!</v>
      </c>
      <c r="C15" s="270" t="e">
        <f>IF(C17-derive3&lt;0,360+C17-derive3,IF(C17-derive3&gt;360,C17-derive3-360,C17-derive3))</f>
        <v>#REF!</v>
      </c>
      <c r="D15" s="270"/>
      <c r="E15" s="271"/>
      <c r="F15" s="257">
        <f>IFERROR(TRUNC((ACOS(SIN(RADIANS(latitude5)) *SIN(RADIANS(latitude6))+COS(RADIANS(latitude5))*COS(RADIANS(latitude6))*COS(RADIANS(longitude5-longitude6)))*6371),2)/1.85185,0)</f>
        <v>0</v>
      </c>
      <c r="G15" s="272"/>
      <c r="H15" s="254"/>
      <c r="J15" s="180"/>
      <c r="K15" s="180"/>
      <c r="L15" s="141" t="e">
        <f>IF(ISNA(VLOOKUP(I12,[2]!IOAC1[#Data],13,FALSE)),"",VLOOKUP(I12,[2]!IOAC1[#Data],13,FALSE))</f>
        <v>#REF!</v>
      </c>
      <c r="M15" s="120"/>
      <c r="N15" s="142"/>
      <c r="O15" s="142"/>
      <c r="P15" s="143"/>
    </row>
    <row r="16" spans="1:16" ht="20.100000000000001" customHeight="1">
      <c r="A16" s="278"/>
      <c r="B16" s="273"/>
      <c r="C16" s="270"/>
      <c r="D16" s="270"/>
      <c r="E16" s="271"/>
      <c r="F16" s="257"/>
      <c r="G16" s="272"/>
      <c r="H16" s="254"/>
      <c r="I16" s="181" t="e">
        <f>Point3</f>
        <v>#REF!</v>
      </c>
      <c r="J16" s="266" t="e">
        <f>IF(ISNA(VLOOKUP(I16,[2]!IOAC1[#Data],4,FALSE)),"",VLOOKUP(I16,[2]!IOAC1[#Data],4,FALSE))</f>
        <v>#REF!</v>
      </c>
      <c r="K16" s="266"/>
      <c r="L16" s="174"/>
      <c r="M16" s="120"/>
      <c r="N16" s="142"/>
      <c r="O16" s="142"/>
      <c r="P16" s="143"/>
    </row>
    <row r="17" spans="1:21" ht="20.100000000000001" customHeight="1" thickBot="1">
      <c r="A17" s="279"/>
      <c r="B17" s="182" t="e">
        <f>IF(ISNA(VLOOKUP(I16,[2]!IOAC1[#Data],5,FALSE)),"",VLOOKUP(I16,[2]!IOAC1[#Data],5,FALSE))+500</f>
        <v>#REF!</v>
      </c>
      <c r="C17" s="183">
        <f>IFERROR(route3,0)</f>
        <v>0</v>
      </c>
      <c r="D17" s="270"/>
      <c r="E17" s="271"/>
      <c r="F17" s="184" t="e">
        <f>F14-F15</f>
        <v>#REF!</v>
      </c>
      <c r="G17" s="272"/>
      <c r="H17" s="254"/>
      <c r="I17" s="149"/>
      <c r="J17" s="275" t="e">
        <f>IF(ISNA(VLOOKUP(I16,[2]!IOAC1[#Data],6,FALSE)),"",VLOOKUP(I16,[2]!IOAC1[#Data],6,FALSE))</f>
        <v>#REF!</v>
      </c>
      <c r="K17" s="275"/>
      <c r="L17" s="171"/>
      <c r="M17" s="120"/>
      <c r="N17" s="142"/>
      <c r="O17" s="142"/>
      <c r="P17" s="143"/>
    </row>
    <row r="18" spans="1:21" ht="20.100000000000001" customHeight="1">
      <c r="A18" s="276">
        <v>4</v>
      </c>
      <c r="B18" s="175"/>
      <c r="C18" s="185"/>
      <c r="D18" s="262" t="e">
        <f>DEGREES(ASIN(WINf/TAS*SIN(RADIANS(C21-WINd))))</f>
        <v>#REF!</v>
      </c>
      <c r="E18" s="263" t="e">
        <f>TAS*COS(RADIANS(D18))-WINf*COS(RADIANS(C21-WINd))</f>
        <v>#REF!</v>
      </c>
      <c r="F18" s="170" t="e">
        <f>F17</f>
        <v>#REF!</v>
      </c>
      <c r="G18" s="264" t="e">
        <f>(F19/E18)*60</f>
        <v>#REF!</v>
      </c>
      <c r="H18" s="254"/>
      <c r="I18" s="41"/>
      <c r="J18" s="167"/>
      <c r="K18" s="168"/>
      <c r="L18" s="150"/>
      <c r="M18" s="120"/>
      <c r="N18" s="142"/>
      <c r="O18" s="142"/>
      <c r="P18" s="143"/>
    </row>
    <row r="19" spans="1:21" ht="20.100000000000001" customHeight="1" thickBot="1">
      <c r="A19" s="260"/>
      <c r="B19" s="265" t="e">
        <f>IF(ISNA(VLOOKUP(I20,[2]!IOAC1[#Data],7,FALSE)),"",VLOOKUP(I20,[2]!IOAC1[#Data],7,FALSE))</f>
        <v>#REF!</v>
      </c>
      <c r="C19" s="262" t="e">
        <f>IF(C21-derive4&lt;0,360+C21-derive4,IF(C21-derive4&gt;360,C21-derive4-360,C21-derive4))</f>
        <v>#REF!</v>
      </c>
      <c r="D19" s="262"/>
      <c r="E19" s="263"/>
      <c r="F19" s="253">
        <f>IFERROR(TRUNC((ACOS(SIN(RADIANS(latitude7)) *SIN(RADIANS(latitude8))+COS(RADIANS(latitude7))*COS(RADIANS(latitude8))*COS(RADIANS(longitude7-longitude8)))*6371),2)/1.85185,0)</f>
        <v>0</v>
      </c>
      <c r="G19" s="264"/>
      <c r="H19" s="254"/>
      <c r="J19" s="180"/>
      <c r="K19" s="180"/>
      <c r="L19" s="186" t="e">
        <f>IF(ISNA(VLOOKUP(I16,[2]!IOAC1[#Data],13,FALSE)),"",VLOOKUP(I16,[2]!IOAC1[#Data],13,FALSE))</f>
        <v>#REF!</v>
      </c>
      <c r="M19" s="120"/>
      <c r="N19" s="142"/>
      <c r="O19" s="142"/>
      <c r="P19" s="143"/>
    </row>
    <row r="20" spans="1:21" ht="20.100000000000001" customHeight="1" thickTop="1">
      <c r="A20" s="260"/>
      <c r="B20" s="265"/>
      <c r="C20" s="262"/>
      <c r="D20" s="262"/>
      <c r="E20" s="263"/>
      <c r="F20" s="253"/>
      <c r="G20" s="264"/>
      <c r="H20" s="254"/>
      <c r="I20" s="173" t="e">
        <f>Point4</f>
        <v>#REF!</v>
      </c>
      <c r="J20" s="266" t="e">
        <f>IF(ISNA(VLOOKUP(I20,[2]!IOAC1[#Data],4,FALSE)),"",VLOOKUP(I20,[2]!IOAC1[#Data],4,FALSE))</f>
        <v>#REF!</v>
      </c>
      <c r="K20" s="266"/>
      <c r="L20" s="145"/>
      <c r="M20" s="120"/>
      <c r="N20" s="142"/>
      <c r="O20" s="142"/>
      <c r="P20" s="143"/>
    </row>
    <row r="21" spans="1:21" ht="20.100000000000001" customHeight="1" thickBot="1">
      <c r="A21" s="260"/>
      <c r="B21" s="187" t="e">
        <f>IF(ISNA(VLOOKUP(I20,[2]!IOAC1[#Data],5,FALSE)),"",VLOOKUP(I20,[2]!IOAC1[#Data],5,FALSE))+500</f>
        <v>#REF!</v>
      </c>
      <c r="C21" s="188">
        <f>IFERROR(route4,0)</f>
        <v>0</v>
      </c>
      <c r="D21" s="262"/>
      <c r="E21" s="263"/>
      <c r="F21" s="189" t="e">
        <f>F18-F19</f>
        <v>#REF!</v>
      </c>
      <c r="G21" s="264"/>
      <c r="H21" s="254"/>
      <c r="I21" s="131"/>
      <c r="J21" s="256" t="e">
        <f>IF(ISNA(VLOOKUP(I20,[2]!IOAC1[#Data],6,FALSE)),"",VLOOKUP(I20,[2]!IOAC1[#Data],6,FALSE))</f>
        <v>#REF!</v>
      </c>
      <c r="K21" s="256"/>
      <c r="L21" s="150"/>
      <c r="M21" s="120"/>
      <c r="N21" s="142"/>
      <c r="O21" s="142"/>
      <c r="P21" s="143"/>
    </row>
    <row r="22" spans="1:21" ht="20.100000000000001" customHeight="1" thickTop="1">
      <c r="A22" s="267">
        <v>5</v>
      </c>
      <c r="B22" s="133"/>
      <c r="C22" s="183"/>
      <c r="D22" s="270" t="e">
        <f>DEGREES(ASIN(WINf/TAS*SIN(RADIANS(C25-WINd))))</f>
        <v>#REF!</v>
      </c>
      <c r="E22" s="271" t="e">
        <f>TAS*COS(RADIANS(D22))-WINf*COS(RADIANS(C25-WINd))</f>
        <v>#REF!</v>
      </c>
      <c r="F22" s="190" t="e">
        <f>F21</f>
        <v>#REF!</v>
      </c>
      <c r="G22" s="272" t="e">
        <f>(F23/E22)*60</f>
        <v>#REF!</v>
      </c>
      <c r="H22" s="254"/>
      <c r="I22" s="157"/>
      <c r="J22" s="191"/>
      <c r="K22" s="168"/>
      <c r="L22" s="150"/>
      <c r="M22" s="120"/>
      <c r="N22" s="142"/>
      <c r="O22" s="142"/>
      <c r="P22" s="143"/>
    </row>
    <row r="23" spans="1:21" ht="20.100000000000001" customHeight="1" thickBot="1">
      <c r="A23" s="268"/>
      <c r="B23" s="273" t="e">
        <f>IF(ISNA(VLOOKUP(I24,[2]!IOAC1[#Data],7,FALSE)),"",VLOOKUP(I24,[2]!IOAC1[#Data],7,FALSE))</f>
        <v>#REF!</v>
      </c>
      <c r="C23" s="274" t="e">
        <f>IF(C25-D22&lt;0,360+C25-D22,IF(C25-D22&gt;360,C25-D22-360,C25-D22))</f>
        <v>#REF!</v>
      </c>
      <c r="D23" s="270"/>
      <c r="E23" s="271"/>
      <c r="F23" s="257">
        <f>IFERROR(TRUNC((ACOS(SIN(RADIANS(latitude9)) *SIN(RADIANS(latitude10))+COS(RADIANS(latitude9))*COS(RADIANS(latitude10))*COS(RADIANS(longitude9-longitude10)))*6371),2)/1.85185,0)</f>
        <v>0</v>
      </c>
      <c r="G23" s="272"/>
      <c r="H23" s="254"/>
      <c r="J23" s="180"/>
      <c r="K23" s="180"/>
      <c r="L23" s="192" t="e">
        <f>IF(ISNA(VLOOKUP(I20,[2]!IOAC1[#Data],13,FALSE)),"",VLOOKUP(I20,[2]!IOAC1[#Data],13,FALSE))</f>
        <v>#REF!</v>
      </c>
      <c r="M23" s="120"/>
      <c r="N23" s="142"/>
      <c r="O23" s="142"/>
      <c r="P23" s="143"/>
    </row>
    <row r="24" spans="1:21" ht="20.100000000000001" customHeight="1" thickTop="1">
      <c r="A24" s="268"/>
      <c r="B24" s="273"/>
      <c r="C24" s="274"/>
      <c r="D24" s="270"/>
      <c r="E24" s="271"/>
      <c r="F24" s="257"/>
      <c r="G24" s="272"/>
      <c r="H24" s="254"/>
      <c r="I24" s="193" t="e">
        <f>Point5</f>
        <v>#REF!</v>
      </c>
      <c r="J24" s="258" t="e">
        <f>IF(ISNA(VLOOKUP(I24,[2]!IOAC1[#Data],4,FALSE)),"",VLOOKUP(I24,[2]!IOAC1[#Data],4,FALSE))</f>
        <v>#REF!</v>
      </c>
      <c r="K24" s="258"/>
      <c r="L24" s="194"/>
      <c r="M24" s="120"/>
      <c r="N24" s="142"/>
      <c r="O24" s="142"/>
      <c r="P24" s="143"/>
    </row>
    <row r="25" spans="1:21" ht="20.100000000000001" customHeight="1" thickBot="1">
      <c r="A25" s="269"/>
      <c r="B25" s="195" t="e">
        <f>IF(ISNA(VLOOKUP(I24,[2]!IOAC1[#Data],5,FALSE)),"",VLOOKUP(I24,[2]!IOAC1[#Data],5,FALSE))+500</f>
        <v>#REF!</v>
      </c>
      <c r="C25" s="196">
        <f>IFERROR(route5,0)</f>
        <v>0</v>
      </c>
      <c r="D25" s="270"/>
      <c r="E25" s="271"/>
      <c r="F25" s="197" t="e">
        <f>F22-F23</f>
        <v>#REF!</v>
      </c>
      <c r="G25" s="272"/>
      <c r="H25" s="254"/>
      <c r="I25" s="198"/>
      <c r="J25" s="259" t="e">
        <f>IF(ISNA(VLOOKUP(I24,[2]!IOAC1[#Data],6,FALSE)),"",VLOOKUP(I24,[2]!IOAC1[#Data],6,FALSE))</f>
        <v>#REF!</v>
      </c>
      <c r="K25" s="259"/>
      <c r="L25" s="171"/>
      <c r="M25" s="120"/>
      <c r="N25" s="142"/>
      <c r="O25" s="142"/>
      <c r="P25" s="143"/>
    </row>
    <row r="26" spans="1:21" ht="20.100000000000001" customHeight="1">
      <c r="A26" s="260">
        <v>6</v>
      </c>
      <c r="B26" s="3"/>
      <c r="C26" s="188"/>
      <c r="D26" s="262" t="e">
        <f>DEGREES(ASIN(WINf/TAS*SIN(RADIANS(C29-WINd))))</f>
        <v>#REF!</v>
      </c>
      <c r="E26" s="263" t="e">
        <f>TAS*COS(RADIANS(D26))-WINf*COS(RADIANS(C29-WINd))</f>
        <v>#REF!</v>
      </c>
      <c r="F26" s="199" t="e">
        <f>F25</f>
        <v>#REF!</v>
      </c>
      <c r="G26" s="264" t="e">
        <f>(F27/E26)*60</f>
        <v>#REF!</v>
      </c>
      <c r="H26" s="254"/>
      <c r="I26" s="157"/>
      <c r="J26" s="167"/>
      <c r="K26" s="200"/>
      <c r="L26" s="171"/>
      <c r="M26" s="120"/>
      <c r="N26" s="142"/>
      <c r="O26" s="142"/>
      <c r="P26" s="143"/>
    </row>
    <row r="27" spans="1:21" ht="20.100000000000001" customHeight="1" thickBot="1">
      <c r="A27" s="260"/>
      <c r="B27" s="265" t="e">
        <f>IF(ISNA(VLOOKUP(I28,[2]!IOAC1[#Data],7,FALSE)),"",VLOOKUP(I28,[2]!IOAC1[#Data],7,FALSE))</f>
        <v>#REF!</v>
      </c>
      <c r="C27" s="252" t="e">
        <f>IF(C29-D26&lt;0,360+C29-D26,IF(C29-D26&gt;360,C29-D26-360,C29-D26))</f>
        <v>#REF!</v>
      </c>
      <c r="D27" s="262"/>
      <c r="E27" s="263"/>
      <c r="F27" s="253">
        <f>IFERROR(TRUNC((ACOS(SIN(RADIANS(latitude11)) *SIN(RADIANS(latitude12))+COS(RADIANS(latitude11))*COS(RADIANS(latitude12))*COS(RADIANS(longitude11-longitude12)))*6371),2)/1.85185,0)</f>
        <v>0</v>
      </c>
      <c r="G27" s="264"/>
      <c r="H27" s="254"/>
      <c r="J27" s="180"/>
      <c r="K27" s="180"/>
      <c r="L27" s="201" t="e">
        <f>IF(ISNA(VLOOKUP(I24,[2]!IOAC1[#Data],13,FALSE)),"",VLOOKUP(I24,[2]!IOAC1[#Data],13,FALSE))</f>
        <v>#REF!</v>
      </c>
      <c r="M27" s="120"/>
      <c r="N27" s="251"/>
      <c r="O27" s="251"/>
      <c r="P27" s="143"/>
      <c r="S27" s="41"/>
      <c r="T27" s="41"/>
      <c r="U27" s="41"/>
    </row>
    <row r="28" spans="1:21" ht="20.100000000000001" customHeight="1">
      <c r="A28" s="260"/>
      <c r="B28" s="265"/>
      <c r="C28" s="252"/>
      <c r="D28" s="262"/>
      <c r="E28" s="263"/>
      <c r="F28" s="253"/>
      <c r="G28" s="264"/>
      <c r="H28" s="254"/>
      <c r="I28" s="202" t="e">
        <f>Arrivee</f>
        <v>#REF!</v>
      </c>
      <c r="J28" s="255" t="e">
        <f>IF(ISNA(VLOOKUP(I28,[2]!IOAC1[#Data],4,FALSE)),"",VLOOKUP(I28,[2]!IOAC1[#Data],4,FALSE))</f>
        <v>#REF!</v>
      </c>
      <c r="K28" s="255"/>
      <c r="L28" s="203"/>
      <c r="M28" s="120"/>
      <c r="N28" s="251"/>
      <c r="O28" s="251"/>
      <c r="P28" s="143"/>
      <c r="S28" s="41"/>
      <c r="T28" s="41"/>
      <c r="U28" s="41"/>
    </row>
    <row r="29" spans="1:21" ht="20.100000000000001" customHeight="1" thickBot="1">
      <c r="A29" s="261"/>
      <c r="B29" s="130" t="e">
        <f>IF(ISNA(VLOOKUP(I28,[2]!IOAC1[#Data],5,FALSE)),"",VLOOKUP(I28,[2]!IOAC1[#Data],5,FALSE))+500</f>
        <v>#REF!</v>
      </c>
      <c r="C29" s="204">
        <f>IFERROR(route6,0)</f>
        <v>0</v>
      </c>
      <c r="D29" s="262"/>
      <c r="E29" s="263"/>
      <c r="F29" s="205" t="e">
        <f>F26-F27</f>
        <v>#REF!</v>
      </c>
      <c r="G29" s="264"/>
      <c r="H29" s="254"/>
      <c r="I29" s="206"/>
      <c r="J29" s="256" t="e">
        <f>IF(ISNA(VLOOKUP(I28,[2]!IOAC1[#Data],6,FALSE)),"",VLOOKUP(I28,[2]!IOAC1[#Data],6,FALSE))</f>
        <v>#REF!</v>
      </c>
      <c r="K29" s="256"/>
      <c r="L29" s="150"/>
      <c r="M29" s="120"/>
      <c r="N29" s="251"/>
      <c r="O29" s="251"/>
      <c r="P29" s="143"/>
      <c r="S29" s="41"/>
      <c r="T29" s="207"/>
      <c r="U29" s="41"/>
    </row>
    <row r="30" spans="1:21" ht="20.100000000000001" customHeight="1">
      <c r="A30" s="246" t="s">
        <v>290</v>
      </c>
      <c r="B30" s="247"/>
      <c r="C30" s="247"/>
      <c r="D30" s="208"/>
      <c r="E30" s="209"/>
      <c r="F30" s="248">
        <f>(F27+F23+F19+F15+F11+F5)</f>
        <v>0</v>
      </c>
      <c r="G30" s="249" t="e">
        <f>G26+G22+G18+G14+G10+G4</f>
        <v>#REF!</v>
      </c>
      <c r="I30" s="250"/>
      <c r="J30" s="210" t="e">
        <f>IF(ISNA(VLOOKUP(I28,[2]!IOAC1[#Data],17,FALSE)),"",VLOOKUP(I28,[2]!IOAC1[#Data],17,FALSE))</f>
        <v>#REF!</v>
      </c>
      <c r="K30" s="211" t="s">
        <v>288</v>
      </c>
      <c r="L30" s="212" t="e">
        <f>IF(ISNA(VLOOKUP(I28,[2]!IOAC1[#Data],12,FALSE)),"",VLOOKUP(I28,[2]!IOAC1[#Data],12,FALSE))</f>
        <v>#REF!</v>
      </c>
      <c r="M30" s="41"/>
      <c r="N30" s="251"/>
      <c r="O30" s="251"/>
      <c r="P30" s="143"/>
      <c r="S30" s="41"/>
      <c r="T30" s="207"/>
      <c r="U30" s="41"/>
    </row>
    <row r="31" spans="1:21" ht="20.100000000000001" customHeight="1">
      <c r="A31" s="247"/>
      <c r="B31" s="247"/>
      <c r="C31" s="247"/>
      <c r="D31" s="208"/>
      <c r="E31" s="209"/>
      <c r="F31" s="248"/>
      <c r="G31" s="249"/>
      <c r="I31" s="250"/>
      <c r="J31" s="213"/>
      <c r="K31" s="214" t="s">
        <v>289</v>
      </c>
      <c r="L31" s="215" t="e">
        <f>IF(ISNA(VLOOKUP(I28,[2]!IOAC1[#Data],13,FALSE)),"",VLOOKUP(I28,[2]!IOAC1[#Data],13,FALSE))</f>
        <v>#REF!</v>
      </c>
      <c r="M31" s="120"/>
      <c r="N31" s="251"/>
      <c r="O31" s="251"/>
      <c r="P31" s="143"/>
      <c r="S31" s="41"/>
      <c r="T31" s="41"/>
      <c r="U31" s="41"/>
    </row>
    <row r="32" spans="1:21" ht="20.100000000000001" customHeight="1">
      <c r="A32" s="247"/>
      <c r="B32" s="247"/>
      <c r="C32" s="247"/>
      <c r="D32" s="208"/>
      <c r="E32" s="208"/>
      <c r="F32" s="248"/>
      <c r="G32" s="249"/>
      <c r="I32" s="120"/>
      <c r="J32" s="207"/>
      <c r="K32" s="216"/>
      <c r="M32" s="120"/>
      <c r="N32" s="251"/>
      <c r="O32" s="251"/>
      <c r="P32" s="143"/>
      <c r="S32" s="41"/>
      <c r="T32" s="41"/>
      <c r="U32" s="41"/>
    </row>
    <row r="33" spans="1:12" ht="20.100000000000001" customHeight="1" thickBot="1">
      <c r="A33" s="208"/>
      <c r="B33" s="208"/>
      <c r="C33" s="208"/>
      <c r="D33" s="208"/>
      <c r="E33" s="208"/>
      <c r="F33" s="208"/>
      <c r="G33" s="208"/>
    </row>
    <row r="34" spans="1:12" ht="20.100000000000001" customHeight="1" thickBot="1">
      <c r="B34" s="234" t="s">
        <v>291</v>
      </c>
      <c r="C34" s="235"/>
      <c r="D34" s="235"/>
      <c r="E34" s="235"/>
      <c r="F34" s="235"/>
      <c r="G34" s="236"/>
      <c r="J34" s="237" t="e">
        <f>'[2]PREPARATION nav'!H3</f>
        <v>#REF!</v>
      </c>
      <c r="K34" s="238"/>
      <c r="L34" s="239"/>
    </row>
    <row r="35" spans="1:12" ht="15" customHeight="1">
      <c r="B35" s="217" t="s">
        <v>292</v>
      </c>
      <c r="C35" s="218"/>
      <c r="D35" s="208"/>
      <c r="E35" s="208"/>
      <c r="F35" s="219" t="e">
        <f>Ttt</f>
        <v>#REF!</v>
      </c>
      <c r="G35" s="220" t="e">
        <f>(Conso/60)*F35</f>
        <v>#REF!</v>
      </c>
      <c r="J35" s="240"/>
      <c r="K35" s="241"/>
      <c r="L35" s="242"/>
    </row>
    <row r="36" spans="1:12" ht="15" customHeight="1">
      <c r="B36" s="221" t="s">
        <v>293</v>
      </c>
      <c r="C36" s="222"/>
      <c r="D36" s="208"/>
      <c r="E36" s="208"/>
      <c r="F36" s="223">
        <v>15</v>
      </c>
      <c r="G36" s="224" t="e">
        <f>(Conso/60)*F36</f>
        <v>#REF!</v>
      </c>
      <c r="J36" s="240"/>
      <c r="K36" s="241"/>
      <c r="L36" s="242"/>
    </row>
    <row r="37" spans="1:12" ht="15" customHeight="1">
      <c r="B37" s="221" t="s">
        <v>294</v>
      </c>
      <c r="C37" s="222"/>
      <c r="D37" s="208"/>
      <c r="E37" s="208"/>
      <c r="F37" s="223">
        <v>10</v>
      </c>
      <c r="G37" s="224" t="e">
        <f>(Conso/60)*F37</f>
        <v>#REF!</v>
      </c>
      <c r="J37" s="240"/>
      <c r="K37" s="241"/>
      <c r="L37" s="242"/>
    </row>
    <row r="38" spans="1:12" ht="15" customHeight="1">
      <c r="B38" s="221" t="s">
        <v>295</v>
      </c>
      <c r="C38" s="222"/>
      <c r="D38" s="208"/>
      <c r="E38" s="208"/>
      <c r="F38" s="223">
        <v>20</v>
      </c>
      <c r="G38" s="224" t="e">
        <f>(Conso/60)*F38</f>
        <v>#REF!</v>
      </c>
      <c r="J38" s="240"/>
      <c r="K38" s="241"/>
      <c r="L38" s="242"/>
    </row>
    <row r="39" spans="1:12" ht="15" customHeight="1" thickBot="1">
      <c r="B39" s="225" t="s">
        <v>296</v>
      </c>
      <c r="C39" s="222"/>
      <c r="D39" s="208"/>
      <c r="E39" s="208"/>
      <c r="F39" s="226" t="e">
        <f>(F38+F37+F36+F35)/24/60</f>
        <v>#REF!</v>
      </c>
      <c r="G39" s="224" t="e">
        <f>SUM(G35:G38)</f>
        <v>#REF!</v>
      </c>
      <c r="J39" s="240"/>
      <c r="K39" s="241"/>
      <c r="L39" s="242"/>
    </row>
    <row r="40" spans="1:12" ht="15" customHeight="1" thickBot="1">
      <c r="B40" s="227" t="s">
        <v>297</v>
      </c>
      <c r="C40" s="228"/>
      <c r="D40" s="229"/>
      <c r="E40" s="229"/>
      <c r="F40" s="230" t="e">
        <f>(G40/23)/24</f>
        <v>#REF!</v>
      </c>
      <c r="G40" s="231" t="e">
        <f>(fuel)-G39</f>
        <v>#REF!</v>
      </c>
      <c r="J40" s="243"/>
      <c r="K40" s="244"/>
      <c r="L40" s="245"/>
    </row>
    <row r="41" spans="1:12" ht="24.95" customHeight="1">
      <c r="J41" s="91"/>
    </row>
    <row r="42" spans="1:12" ht="24.95" customHeight="1"/>
    <row r="43" spans="1:12" ht="24.95" customHeight="1"/>
    <row r="44" spans="1:12" ht="24.95" customHeight="1"/>
    <row r="45" spans="1:12" ht="24.95" customHeight="1"/>
    <row r="46" spans="1:12" ht="24.95" customHeight="1"/>
    <row r="47" spans="1:12" ht="24.95" customHeight="1"/>
    <row r="48" spans="1:12" ht="24.95" customHeight="1"/>
    <row r="49" ht="24.95" customHeight="1"/>
    <row r="50" ht="24.95" customHeight="1"/>
    <row r="51" ht="24.95" customHeight="1"/>
    <row r="52" ht="24.95" customHeight="1"/>
    <row r="53" ht="24.95" customHeight="1"/>
  </sheetData>
  <mergeCells count="88">
    <mergeCell ref="F5:F6"/>
    <mergeCell ref="H6:H7"/>
    <mergeCell ref="G1:G3"/>
    <mergeCell ref="I1:L1"/>
    <mergeCell ref="N1:O1"/>
    <mergeCell ref="H2:H3"/>
    <mergeCell ref="J2:K2"/>
    <mergeCell ref="J3:K3"/>
    <mergeCell ref="N7:O7"/>
    <mergeCell ref="A10:A13"/>
    <mergeCell ref="D10:D13"/>
    <mergeCell ref="E10:E13"/>
    <mergeCell ref="G10:G13"/>
    <mergeCell ref="H10:H11"/>
    <mergeCell ref="J10:K10"/>
    <mergeCell ref="B11:B12"/>
    <mergeCell ref="A4:A7"/>
    <mergeCell ref="D4:D7"/>
    <mergeCell ref="E4:E8"/>
    <mergeCell ref="G4:G7"/>
    <mergeCell ref="H4:H5"/>
    <mergeCell ref="N4:O4"/>
    <mergeCell ref="B5:B6"/>
    <mergeCell ref="C5:C6"/>
    <mergeCell ref="J11:K11"/>
    <mergeCell ref="H12:H13"/>
    <mergeCell ref="J12:K12"/>
    <mergeCell ref="J13:K13"/>
    <mergeCell ref="J6:K6"/>
    <mergeCell ref="J7:K7"/>
    <mergeCell ref="C15:C16"/>
    <mergeCell ref="F15:F16"/>
    <mergeCell ref="H16:H17"/>
    <mergeCell ref="C11:C12"/>
    <mergeCell ref="F11:F12"/>
    <mergeCell ref="J16:K16"/>
    <mergeCell ref="J17:K17"/>
    <mergeCell ref="A18:A21"/>
    <mergeCell ref="D18:D21"/>
    <mergeCell ref="E18:E21"/>
    <mergeCell ref="G18:G21"/>
    <mergeCell ref="H18:H19"/>
    <mergeCell ref="B19:B20"/>
    <mergeCell ref="C19:C20"/>
    <mergeCell ref="F19:F20"/>
    <mergeCell ref="A14:A17"/>
    <mergeCell ref="D14:D17"/>
    <mergeCell ref="E14:E17"/>
    <mergeCell ref="G14:G17"/>
    <mergeCell ref="H14:H15"/>
    <mergeCell ref="B15:B16"/>
    <mergeCell ref="H20:H21"/>
    <mergeCell ref="J20:K20"/>
    <mergeCell ref="J21:K21"/>
    <mergeCell ref="A22:A25"/>
    <mergeCell ref="D22:D25"/>
    <mergeCell ref="E22:E25"/>
    <mergeCell ref="G22:G25"/>
    <mergeCell ref="H22:H23"/>
    <mergeCell ref="B23:B24"/>
    <mergeCell ref="C23:C24"/>
    <mergeCell ref="F23:F24"/>
    <mergeCell ref="H24:H25"/>
    <mergeCell ref="J24:K24"/>
    <mergeCell ref="J25:K25"/>
    <mergeCell ref="A26:A29"/>
    <mergeCell ref="D26:D29"/>
    <mergeCell ref="E26:E29"/>
    <mergeCell ref="G26:G29"/>
    <mergeCell ref="H26:H27"/>
    <mergeCell ref="B27:B28"/>
    <mergeCell ref="N30:O30"/>
    <mergeCell ref="N31:O31"/>
    <mergeCell ref="N32:O32"/>
    <mergeCell ref="C27:C28"/>
    <mergeCell ref="F27:F28"/>
    <mergeCell ref="N27:O27"/>
    <mergeCell ref="H28:H29"/>
    <mergeCell ref="J28:K28"/>
    <mergeCell ref="N28:O28"/>
    <mergeCell ref="J29:K29"/>
    <mergeCell ref="N29:O29"/>
    <mergeCell ref="B34:G34"/>
    <mergeCell ref="J34:L40"/>
    <mergeCell ref="A30:C32"/>
    <mergeCell ref="F30:F32"/>
    <mergeCell ref="G30:G32"/>
    <mergeCell ref="I30:I31"/>
  </mergeCells>
  <conditionalFormatting sqref="K31">
    <cfRule type="iconSet" priority="1">
      <iconSet iconSet="3Arrows">
        <cfvo type="percent" val="0"/>
        <cfvo type="percent" val="33"/>
        <cfvo type="percent" val="67"/>
      </iconSet>
    </cfRule>
  </conditionalFormatting>
  <pageMargins left="0.19685039370078741" right="0.23622047244094491" top="0.74803149606299213" bottom="0.74803149606299213" header="0.31496062992125984" footer="0.31496062992125984"/>
  <pageSetup paperSize="9" scale="6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autoFill="0" autoPict="0" macro="[2]!Bouton6_Cliquer">
                <anchor moveWithCells="1" sizeWithCells="1">
                  <from>
                    <xdr:col>1</xdr:col>
                    <xdr:colOff>104775</xdr:colOff>
                    <xdr:row>41</xdr:row>
                    <xdr:rowOff>219075</xdr:rowOff>
                  </from>
                  <to>
                    <xdr:col>2</xdr:col>
                    <xdr:colOff>257175</xdr:colOff>
                    <xdr:row>43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AM75"/>
  <sheetViews>
    <sheetView workbookViewId="0">
      <selection activeCell="R8" sqref="R8"/>
    </sheetView>
  </sheetViews>
  <sheetFormatPr baseColWidth="10" defaultColWidth="11.42578125" defaultRowHeight="15"/>
  <cols>
    <col min="1" max="1" width="11.42578125" customWidth="1"/>
    <col min="3" max="3" width="10.140625" customWidth="1"/>
    <col min="4" max="4" width="6.7109375" bestFit="1" customWidth="1"/>
    <col min="5" max="5" width="6.7109375" customWidth="1"/>
    <col min="6" max="6" width="8.42578125" bestFit="1" customWidth="1"/>
    <col min="7" max="7" width="10.42578125" customWidth="1"/>
    <col min="8" max="17" width="8.42578125" customWidth="1"/>
    <col min="19" max="19" width="16.7109375" bestFit="1" customWidth="1"/>
    <col min="23" max="23" width="15.28515625" customWidth="1"/>
    <col min="24" max="24" width="11.42578125" customWidth="1"/>
    <col min="25" max="25" width="12.140625" bestFit="1" customWidth="1"/>
    <col min="26" max="26" width="25.42578125" style="89" bestFit="1" customWidth="1"/>
    <col min="27" max="27" width="16.28515625" bestFit="1" customWidth="1"/>
    <col min="28" max="28" width="26.7109375" bestFit="1" customWidth="1"/>
    <col min="29" max="29" width="13.42578125" bestFit="1" customWidth="1"/>
    <col min="30" max="30" width="16.42578125" bestFit="1" customWidth="1"/>
    <col min="31" max="31" width="12" bestFit="1" customWidth="1"/>
    <col min="32" max="32" width="11" bestFit="1" customWidth="1"/>
    <col min="33" max="33" width="12.140625" customWidth="1"/>
    <col min="34" max="34" width="12.85546875" customWidth="1"/>
    <col min="35" max="35" width="11.28515625" customWidth="1"/>
    <col min="36" max="36" width="11.140625" customWidth="1"/>
    <col min="39" max="39" width="14.42578125" customWidth="1"/>
  </cols>
  <sheetData>
    <row r="1" spans="1:39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f>G1+1</f>
        <v>8</v>
      </c>
      <c r="I1">
        <f t="shared" ref="I1:Q1" si="0">H1+1</f>
        <v>9</v>
      </c>
      <c r="J1">
        <f t="shared" si="0"/>
        <v>10</v>
      </c>
      <c r="K1">
        <f t="shared" si="0"/>
        <v>11</v>
      </c>
      <c r="L1">
        <f t="shared" si="0"/>
        <v>12</v>
      </c>
      <c r="M1">
        <f t="shared" si="0"/>
        <v>13</v>
      </c>
      <c r="N1">
        <f>M1+1</f>
        <v>14</v>
      </c>
      <c r="O1">
        <f t="shared" si="0"/>
        <v>15</v>
      </c>
      <c r="P1">
        <f t="shared" si="0"/>
        <v>16</v>
      </c>
      <c r="Q1">
        <f t="shared" si="0"/>
        <v>17</v>
      </c>
      <c r="R1">
        <v>18</v>
      </c>
      <c r="S1">
        <v>1</v>
      </c>
      <c r="T1">
        <v>2</v>
      </c>
      <c r="U1">
        <v>3</v>
      </c>
      <c r="X1">
        <v>1</v>
      </c>
      <c r="Z1" s="88">
        <v>1</v>
      </c>
      <c r="AA1">
        <v>2</v>
      </c>
      <c r="AB1">
        <v>3</v>
      </c>
    </row>
    <row r="2" spans="1:39">
      <c r="A2" t="s">
        <v>5</v>
      </c>
      <c r="B2" t="s">
        <v>59</v>
      </c>
      <c r="C2" t="s">
        <v>60</v>
      </c>
      <c r="D2" t="s">
        <v>61</v>
      </c>
      <c r="E2" t="s">
        <v>62</v>
      </c>
      <c r="F2" t="s">
        <v>63</v>
      </c>
      <c r="G2" t="s">
        <v>64</v>
      </c>
      <c r="H2" t="s">
        <v>38</v>
      </c>
      <c r="I2" t="s">
        <v>41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X2" t="s">
        <v>77</v>
      </c>
      <c r="Z2" s="89" t="s">
        <v>78</v>
      </c>
      <c r="AA2" t="s">
        <v>76</v>
      </c>
      <c r="AB2" s="89" t="s">
        <v>79</v>
      </c>
    </row>
    <row r="3" spans="1:39">
      <c r="A3" t="s">
        <v>80</v>
      </c>
      <c r="B3" t="s">
        <v>81</v>
      </c>
      <c r="C3">
        <v>1.84</v>
      </c>
      <c r="D3">
        <v>90</v>
      </c>
      <c r="E3" s="90">
        <v>31.5</v>
      </c>
      <c r="F3" s="90">
        <v>37.5</v>
      </c>
      <c r="G3">
        <v>23</v>
      </c>
      <c r="H3">
        <v>1107.82</v>
      </c>
      <c r="I3">
        <v>32.68</v>
      </c>
      <c r="J3">
        <v>1600</v>
      </c>
      <c r="K3">
        <v>39</v>
      </c>
      <c r="L3">
        <v>-9</v>
      </c>
      <c r="M3">
        <v>9.9</v>
      </c>
      <c r="N3">
        <v>65</v>
      </c>
      <c r="O3">
        <v>80</v>
      </c>
      <c r="P3">
        <v>42</v>
      </c>
      <c r="R3" t="s">
        <v>82</v>
      </c>
      <c r="S3" t="s">
        <v>83</v>
      </c>
      <c r="T3">
        <v>0.61</v>
      </c>
      <c r="U3">
        <v>85</v>
      </c>
      <c r="X3">
        <v>1</v>
      </c>
      <c r="AA3" t="s">
        <v>84</v>
      </c>
      <c r="AB3" s="89">
        <v>43394</v>
      </c>
    </row>
    <row r="4" spans="1:39">
      <c r="A4" t="s">
        <v>85</v>
      </c>
      <c r="B4" t="s">
        <v>86</v>
      </c>
      <c r="C4">
        <v>2.88</v>
      </c>
      <c r="D4">
        <v>110</v>
      </c>
      <c r="E4">
        <v>35</v>
      </c>
      <c r="F4" s="90">
        <v>47.5</v>
      </c>
      <c r="G4">
        <v>25</v>
      </c>
      <c r="S4" t="s">
        <v>87</v>
      </c>
      <c r="T4">
        <v>0.61</v>
      </c>
      <c r="U4">
        <v>80</v>
      </c>
      <c r="X4">
        <v>2</v>
      </c>
      <c r="AA4" t="s">
        <v>88</v>
      </c>
      <c r="AB4" s="89">
        <v>43394</v>
      </c>
    </row>
    <row r="5" spans="1:39">
      <c r="A5" t="s">
        <v>89</v>
      </c>
      <c r="B5" t="s">
        <v>90</v>
      </c>
      <c r="F5" s="90"/>
      <c r="S5" t="s">
        <v>40</v>
      </c>
      <c r="T5">
        <v>0</v>
      </c>
      <c r="U5">
        <v>65</v>
      </c>
      <c r="X5">
        <v>3</v>
      </c>
      <c r="AA5" t="s">
        <v>91</v>
      </c>
      <c r="AB5" s="89">
        <v>44155</v>
      </c>
    </row>
    <row r="6" spans="1:39">
      <c r="A6" t="s">
        <v>92</v>
      </c>
      <c r="B6" t="s">
        <v>90</v>
      </c>
      <c r="F6" s="90"/>
      <c r="S6" t="s">
        <v>93</v>
      </c>
      <c r="T6">
        <v>0</v>
      </c>
      <c r="U6">
        <v>0</v>
      </c>
      <c r="X6">
        <v>4</v>
      </c>
      <c r="AA6" t="s">
        <v>94</v>
      </c>
      <c r="AB6" s="89">
        <v>43364</v>
      </c>
    </row>
    <row r="7" spans="1:39">
      <c r="A7" t="s">
        <v>95</v>
      </c>
      <c r="B7" t="s">
        <v>90</v>
      </c>
      <c r="F7" s="90"/>
      <c r="S7" t="s">
        <v>96</v>
      </c>
      <c r="T7">
        <v>0</v>
      </c>
      <c r="U7">
        <v>0</v>
      </c>
      <c r="X7">
        <v>5</v>
      </c>
      <c r="AB7" s="89"/>
    </row>
    <row r="8" spans="1:39">
      <c r="A8" t="s">
        <v>97</v>
      </c>
      <c r="B8" t="s">
        <v>98</v>
      </c>
      <c r="C8">
        <v>1.84</v>
      </c>
      <c r="D8">
        <v>85</v>
      </c>
      <c r="E8" s="90">
        <v>31.5</v>
      </c>
      <c r="F8" s="90">
        <v>37.5</v>
      </c>
      <c r="G8">
        <v>22</v>
      </c>
      <c r="H8">
        <v>1107.82</v>
      </c>
      <c r="I8">
        <v>32.68</v>
      </c>
      <c r="J8">
        <v>1600</v>
      </c>
      <c r="K8">
        <v>39</v>
      </c>
      <c r="L8">
        <v>-9</v>
      </c>
      <c r="M8">
        <v>9.9</v>
      </c>
      <c r="N8">
        <v>65</v>
      </c>
      <c r="O8">
        <v>80</v>
      </c>
      <c r="P8">
        <v>42</v>
      </c>
      <c r="S8" t="s">
        <v>99</v>
      </c>
      <c r="T8">
        <v>0</v>
      </c>
      <c r="U8">
        <v>0</v>
      </c>
      <c r="X8">
        <v>6</v>
      </c>
      <c r="AB8" s="89"/>
    </row>
    <row r="9" spans="1:39">
      <c r="A9" t="s">
        <v>100</v>
      </c>
      <c r="B9" t="s">
        <v>101</v>
      </c>
      <c r="C9">
        <v>2.82</v>
      </c>
      <c r="D9">
        <v>110</v>
      </c>
      <c r="E9">
        <v>35</v>
      </c>
      <c r="F9" s="90">
        <v>47.5</v>
      </c>
      <c r="G9">
        <v>25</v>
      </c>
      <c r="H9">
        <v>1447.2</v>
      </c>
      <c r="I9">
        <v>39.270000000000003</v>
      </c>
      <c r="J9">
        <v>2300</v>
      </c>
      <c r="K9">
        <v>37</v>
      </c>
      <c r="L9">
        <v>-14</v>
      </c>
      <c r="M9">
        <v>9.9</v>
      </c>
      <c r="N9">
        <v>95</v>
      </c>
      <c r="O9">
        <v>123</v>
      </c>
      <c r="P9">
        <v>48</v>
      </c>
      <c r="Q9">
        <v>73</v>
      </c>
      <c r="X9">
        <v>7</v>
      </c>
    </row>
    <row r="10" spans="1:39">
      <c r="A10" t="s">
        <v>102</v>
      </c>
      <c r="B10" t="s">
        <v>103</v>
      </c>
      <c r="F10" s="90"/>
      <c r="X10">
        <v>8</v>
      </c>
    </row>
    <row r="11" spans="1:39">
      <c r="A11" t="s">
        <v>104</v>
      </c>
      <c r="B11" t="s">
        <v>90</v>
      </c>
      <c r="F11" s="90"/>
      <c r="X11">
        <v>9</v>
      </c>
    </row>
    <row r="12" spans="1:39">
      <c r="A12" t="s">
        <v>105</v>
      </c>
      <c r="B12" t="s">
        <v>106</v>
      </c>
      <c r="F12" s="90"/>
      <c r="X12">
        <v>10</v>
      </c>
    </row>
    <row r="13" spans="1:39">
      <c r="A13" t="s">
        <v>107</v>
      </c>
      <c r="B13" t="s">
        <v>98</v>
      </c>
      <c r="F13" s="90"/>
    </row>
    <row r="14" spans="1:39">
      <c r="A14" t="s">
        <v>108</v>
      </c>
      <c r="B14" t="s">
        <v>98</v>
      </c>
      <c r="F14" s="90"/>
      <c r="W14" s="91">
        <v>1</v>
      </c>
      <c r="X14" s="91">
        <v>2</v>
      </c>
      <c r="Y14" s="91">
        <v>3</v>
      </c>
      <c r="Z14" s="91">
        <v>4</v>
      </c>
      <c r="AA14" s="91">
        <v>5</v>
      </c>
      <c r="AB14" s="91">
        <v>6</v>
      </c>
      <c r="AC14" s="91">
        <v>7</v>
      </c>
      <c r="AD14" s="91">
        <v>8</v>
      </c>
      <c r="AE14" s="91">
        <v>9</v>
      </c>
      <c r="AF14" s="91">
        <v>10</v>
      </c>
      <c r="AG14" s="91">
        <v>11</v>
      </c>
      <c r="AH14" s="91">
        <v>12</v>
      </c>
      <c r="AI14" s="91">
        <v>13</v>
      </c>
      <c r="AJ14" s="91">
        <v>14</v>
      </c>
      <c r="AK14" s="91">
        <v>15</v>
      </c>
      <c r="AL14" s="91">
        <v>16</v>
      </c>
      <c r="AM14" s="91">
        <v>17</v>
      </c>
    </row>
    <row r="15" spans="1:39">
      <c r="A15" t="s">
        <v>109</v>
      </c>
      <c r="B15" t="s">
        <v>110</v>
      </c>
      <c r="C15">
        <v>2.1</v>
      </c>
      <c r="D15">
        <v>95</v>
      </c>
      <c r="E15" s="90">
        <v>31.5</v>
      </c>
      <c r="F15" s="90">
        <v>37.5</v>
      </c>
      <c r="G15">
        <v>23</v>
      </c>
      <c r="H15">
        <v>1107.82</v>
      </c>
      <c r="I15">
        <v>32.68</v>
      </c>
      <c r="J15">
        <v>1600</v>
      </c>
      <c r="K15">
        <v>39</v>
      </c>
      <c r="L15">
        <v>-9</v>
      </c>
      <c r="M15">
        <v>9.9</v>
      </c>
      <c r="N15">
        <v>65</v>
      </c>
      <c r="O15">
        <v>80</v>
      </c>
      <c r="P15">
        <v>42</v>
      </c>
      <c r="W15" t="s">
        <v>111</v>
      </c>
      <c r="X15" t="s">
        <v>112</v>
      </c>
      <c r="Y15" t="s">
        <v>113</v>
      </c>
      <c r="Z15" t="s">
        <v>114</v>
      </c>
      <c r="AA15" t="s">
        <v>76</v>
      </c>
      <c r="AB15" t="s">
        <v>115</v>
      </c>
      <c r="AC15" t="s">
        <v>116</v>
      </c>
      <c r="AD15" t="s">
        <v>117</v>
      </c>
      <c r="AE15" t="s">
        <v>118</v>
      </c>
      <c r="AF15" t="s">
        <v>119</v>
      </c>
      <c r="AG15" t="s">
        <v>120</v>
      </c>
      <c r="AH15" t="s">
        <v>121</v>
      </c>
      <c r="AI15" t="s">
        <v>122</v>
      </c>
      <c r="AJ15" t="s">
        <v>123</v>
      </c>
      <c r="AK15" t="s">
        <v>124</v>
      </c>
      <c r="AL15" t="s">
        <v>23</v>
      </c>
      <c r="AM15" t="s">
        <v>78</v>
      </c>
    </row>
    <row r="16" spans="1:39">
      <c r="A16" t="s">
        <v>125</v>
      </c>
      <c r="B16" t="s">
        <v>126</v>
      </c>
      <c r="C16">
        <v>2.02</v>
      </c>
      <c r="D16">
        <v>70</v>
      </c>
      <c r="F16" s="90"/>
      <c r="G16">
        <v>15</v>
      </c>
      <c r="W16" s="92" t="s">
        <v>127</v>
      </c>
      <c r="X16" s="93">
        <v>51.118653000000002</v>
      </c>
      <c r="Y16" s="93">
        <v>4.8420540000000001</v>
      </c>
      <c r="Z16" s="92" t="s">
        <v>128</v>
      </c>
      <c r="AA16" s="92"/>
      <c r="AB16" s="92"/>
      <c r="AC16" s="91">
        <v>2000</v>
      </c>
      <c r="AD16" t="s">
        <v>129</v>
      </c>
      <c r="AE16" t="s">
        <v>130</v>
      </c>
      <c r="AF16" t="s">
        <v>131</v>
      </c>
      <c r="AG16" t="s">
        <v>132</v>
      </c>
      <c r="AI16" s="94" t="s">
        <v>133</v>
      </c>
      <c r="AJ16" s="94"/>
      <c r="AK16" s="94"/>
      <c r="AL16" s="95"/>
      <c r="AM16" s="94"/>
    </row>
    <row r="17" spans="1:39">
      <c r="A17" t="s">
        <v>134</v>
      </c>
      <c r="B17" t="s">
        <v>135</v>
      </c>
      <c r="F17" s="90"/>
      <c r="W17" s="92" t="s">
        <v>136</v>
      </c>
      <c r="X17">
        <v>50.295654800000001</v>
      </c>
      <c r="Y17">
        <v>5.1008263999999599</v>
      </c>
      <c r="Z17" s="92" t="s">
        <v>137</v>
      </c>
      <c r="AA17" s="92"/>
      <c r="AB17" s="92" t="s">
        <v>138</v>
      </c>
      <c r="AC17" s="91">
        <v>2000</v>
      </c>
      <c r="AD17" t="s">
        <v>129</v>
      </c>
      <c r="AE17" t="s">
        <v>130</v>
      </c>
      <c r="AF17" t="s">
        <v>139</v>
      </c>
      <c r="AG17" t="s">
        <v>140</v>
      </c>
      <c r="AI17" s="94" t="s">
        <v>141</v>
      </c>
      <c r="AJ17" s="94"/>
      <c r="AK17" s="94" t="s">
        <v>142</v>
      </c>
      <c r="AL17" s="95"/>
      <c r="AM17" s="94"/>
    </row>
    <row r="18" spans="1:39">
      <c r="A18" t="s">
        <v>143</v>
      </c>
      <c r="B18" t="s">
        <v>106</v>
      </c>
      <c r="F18" s="90"/>
      <c r="W18" s="92" t="s">
        <v>144</v>
      </c>
      <c r="X18" s="93">
        <v>50.228096000000001</v>
      </c>
      <c r="Y18" s="93">
        <v>3.1514679999999999</v>
      </c>
      <c r="Z18" s="92" t="s">
        <v>145</v>
      </c>
      <c r="AA18" s="92"/>
      <c r="AB18" s="92"/>
      <c r="AC18" s="91"/>
      <c r="AI18" s="94" t="s">
        <v>146</v>
      </c>
      <c r="AJ18" s="94"/>
      <c r="AK18" s="94"/>
      <c r="AL18" s="95"/>
      <c r="AM18" s="94"/>
    </row>
    <row r="19" spans="1:39">
      <c r="A19" t="s">
        <v>10</v>
      </c>
      <c r="B19" t="s">
        <v>147</v>
      </c>
      <c r="C19">
        <v>3.67</v>
      </c>
      <c r="D19">
        <v>120</v>
      </c>
      <c r="E19">
        <v>36</v>
      </c>
      <c r="F19" s="90">
        <v>46</v>
      </c>
      <c r="G19">
        <v>32.9</v>
      </c>
      <c r="H19">
        <v>2006.21</v>
      </c>
      <c r="I19">
        <v>36.96</v>
      </c>
      <c r="J19">
        <v>3099</v>
      </c>
      <c r="K19">
        <v>37</v>
      </c>
      <c r="L19">
        <v>-14</v>
      </c>
      <c r="M19">
        <v>9.9</v>
      </c>
      <c r="N19">
        <v>97</v>
      </c>
      <c r="O19">
        <v>122</v>
      </c>
      <c r="P19">
        <v>46.5</v>
      </c>
      <c r="Q19">
        <v>74</v>
      </c>
      <c r="R19" t="s">
        <v>148</v>
      </c>
      <c r="W19" s="92" t="s">
        <v>149</v>
      </c>
      <c r="X19">
        <v>50.383798632233699</v>
      </c>
      <c r="Y19">
        <v>5.8445491003417303</v>
      </c>
      <c r="Z19" s="92" t="s">
        <v>150</v>
      </c>
      <c r="AA19" s="92"/>
      <c r="AB19" s="92" t="s">
        <v>151</v>
      </c>
      <c r="AC19" s="91">
        <v>2500</v>
      </c>
      <c r="AD19" t="s">
        <v>129</v>
      </c>
      <c r="AE19" t="s">
        <v>152</v>
      </c>
      <c r="AF19" t="s">
        <v>139</v>
      </c>
      <c r="AG19" t="s">
        <v>131</v>
      </c>
      <c r="AI19" s="94" t="s">
        <v>152</v>
      </c>
      <c r="AJ19" s="94"/>
      <c r="AK19" s="94" t="s">
        <v>14</v>
      </c>
      <c r="AL19" s="95"/>
      <c r="AM19" s="94"/>
    </row>
    <row r="20" spans="1:39">
      <c r="W20" s="92" t="s">
        <v>153</v>
      </c>
      <c r="X20">
        <v>50.520898035446997</v>
      </c>
      <c r="Y20">
        <v>4.8809397533813099</v>
      </c>
      <c r="Z20" s="92" t="s">
        <v>154</v>
      </c>
      <c r="AA20" s="92"/>
      <c r="AB20" s="92" t="s">
        <v>155</v>
      </c>
      <c r="AC20" s="91">
        <v>2000</v>
      </c>
      <c r="AD20" t="s">
        <v>129</v>
      </c>
      <c r="AE20" t="s">
        <v>130</v>
      </c>
      <c r="AF20" t="s">
        <v>140</v>
      </c>
      <c r="AG20" t="s">
        <v>139</v>
      </c>
      <c r="AI20" s="94" t="s">
        <v>152</v>
      </c>
      <c r="AJ20" s="94"/>
      <c r="AK20" s="94" t="s">
        <v>142</v>
      </c>
      <c r="AL20" s="95"/>
      <c r="AM20" s="94"/>
    </row>
    <row r="21" spans="1:39">
      <c r="W21" s="92" t="s">
        <v>156</v>
      </c>
      <c r="Z21" s="92" t="s">
        <v>157</v>
      </c>
      <c r="AA21" s="92">
        <v>2000</v>
      </c>
      <c r="AB21" s="92" t="s">
        <v>158</v>
      </c>
      <c r="AC21" s="91"/>
      <c r="AI21" s="94">
        <v>133.125</v>
      </c>
      <c r="AJ21" s="94"/>
      <c r="AK21" s="94"/>
      <c r="AL21" s="95"/>
      <c r="AM21" s="94"/>
    </row>
    <row r="22" spans="1:39">
      <c r="A22" t="s">
        <v>76</v>
      </c>
      <c r="C22" s="96">
        <v>43889</v>
      </c>
      <c r="F22" t="s">
        <v>159</v>
      </c>
      <c r="W22" s="92" t="s">
        <v>160</v>
      </c>
      <c r="X22" s="97">
        <v>50.892180000000003</v>
      </c>
      <c r="Y22" s="98">
        <v>5.4185999999999996</v>
      </c>
      <c r="Z22" s="92" t="s">
        <v>161</v>
      </c>
      <c r="AA22" s="92"/>
      <c r="AB22" s="92"/>
      <c r="AC22" s="91">
        <v>1700</v>
      </c>
      <c r="AI22" s="94"/>
      <c r="AJ22" s="94"/>
      <c r="AK22" s="94"/>
      <c r="AL22" s="95"/>
      <c r="AM22" s="94"/>
    </row>
    <row r="23" spans="1:39">
      <c r="A23" t="s">
        <v>21</v>
      </c>
      <c r="F23">
        <v>0</v>
      </c>
      <c r="W23" s="92" t="s">
        <v>162</v>
      </c>
      <c r="X23" s="99">
        <v>51.188446999999996</v>
      </c>
      <c r="Y23" s="93">
        <v>4.4537969999999998</v>
      </c>
      <c r="Z23" s="92" t="s">
        <v>163</v>
      </c>
      <c r="AA23" s="92">
        <v>39</v>
      </c>
      <c r="AB23" s="92" t="s">
        <v>164</v>
      </c>
      <c r="AC23" s="91">
        <v>700</v>
      </c>
      <c r="AD23" t="s">
        <v>129</v>
      </c>
      <c r="AE23" t="s">
        <v>130</v>
      </c>
      <c r="AF23" t="s">
        <v>165</v>
      </c>
      <c r="AG23" t="s">
        <v>131</v>
      </c>
      <c r="AI23" s="100" t="s">
        <v>166</v>
      </c>
      <c r="AJ23" s="101" t="s">
        <v>167</v>
      </c>
      <c r="AK23" s="94" t="s">
        <v>168</v>
      </c>
      <c r="AL23" s="102" t="s">
        <v>169</v>
      </c>
      <c r="AM23" s="94"/>
    </row>
    <row r="24" spans="1:39">
      <c r="A24" t="s">
        <v>170</v>
      </c>
      <c r="F24">
        <v>50</v>
      </c>
      <c r="W24" s="92" t="s">
        <v>171</v>
      </c>
      <c r="X24" s="103">
        <v>50.153256199999902</v>
      </c>
      <c r="Y24" s="98">
        <v>4.3841456999999702</v>
      </c>
      <c r="Z24" s="92" t="s">
        <v>172</v>
      </c>
      <c r="AA24" s="92">
        <v>990</v>
      </c>
      <c r="AB24" s="92" t="s">
        <v>173</v>
      </c>
      <c r="AC24" s="91">
        <v>1900</v>
      </c>
      <c r="AD24" t="s">
        <v>174</v>
      </c>
      <c r="AE24" t="s">
        <v>175</v>
      </c>
      <c r="AI24" s="94">
        <v>123.2</v>
      </c>
      <c r="AJ24" s="94"/>
      <c r="AK24" s="94"/>
      <c r="AL24" s="95"/>
      <c r="AM24" s="94"/>
    </row>
    <row r="25" spans="1:39">
      <c r="A25" t="s">
        <v>120</v>
      </c>
      <c r="F25">
        <f>F24+1</f>
        <v>51</v>
      </c>
      <c r="W25" s="92" t="s">
        <v>15</v>
      </c>
      <c r="X25" s="93">
        <v>50.460048</v>
      </c>
      <c r="Y25" s="93">
        <v>4.4532290000000003</v>
      </c>
      <c r="Z25" s="92" t="s">
        <v>176</v>
      </c>
      <c r="AA25" s="92">
        <v>614</v>
      </c>
      <c r="AB25" s="92" t="s">
        <v>177</v>
      </c>
      <c r="AC25" s="91">
        <v>1600</v>
      </c>
      <c r="AD25" t="s">
        <v>129</v>
      </c>
      <c r="AE25" t="s">
        <v>130</v>
      </c>
      <c r="AF25" t="s">
        <v>139</v>
      </c>
      <c r="AG25" t="s">
        <v>131</v>
      </c>
      <c r="AH25" s="104" t="s">
        <v>178</v>
      </c>
      <c r="AI25" s="105" t="s">
        <v>179</v>
      </c>
      <c r="AJ25" s="105" t="s">
        <v>180</v>
      </c>
      <c r="AK25" s="94" t="s">
        <v>22</v>
      </c>
      <c r="AL25" s="106">
        <v>121000</v>
      </c>
      <c r="AM25" s="94"/>
    </row>
    <row r="26" spans="1:39">
      <c r="F26">
        <f t="shared" ref="F26:F71" si="1">F25+1</f>
        <v>52</v>
      </c>
      <c r="W26" s="92" t="s">
        <v>22</v>
      </c>
      <c r="X26">
        <v>50.636126099999998</v>
      </c>
      <c r="Y26" s="107">
        <v>5.4479115999999896</v>
      </c>
      <c r="Z26" s="92" t="s">
        <v>181</v>
      </c>
      <c r="AA26" s="92">
        <v>659</v>
      </c>
      <c r="AB26" s="92" t="s">
        <v>182</v>
      </c>
      <c r="AC26" s="91">
        <v>1500</v>
      </c>
      <c r="AD26" t="s">
        <v>129</v>
      </c>
      <c r="AE26" t="s">
        <v>130</v>
      </c>
      <c r="AF26" t="s">
        <v>183</v>
      </c>
      <c r="AG26" t="s">
        <v>131</v>
      </c>
      <c r="AI26" s="94" t="s">
        <v>184</v>
      </c>
      <c r="AJ26" s="105" t="s">
        <v>185</v>
      </c>
      <c r="AK26" s="94" t="s">
        <v>186</v>
      </c>
      <c r="AL26" s="95" t="s">
        <v>187</v>
      </c>
      <c r="AM26" s="94"/>
    </row>
    <row r="27" spans="1:39">
      <c r="F27">
        <f t="shared" si="1"/>
        <v>53</v>
      </c>
      <c r="W27" s="92" t="s">
        <v>142</v>
      </c>
      <c r="X27">
        <v>50.488126000000001</v>
      </c>
      <c r="Y27">
        <v>4.7697649999999996</v>
      </c>
      <c r="Z27" s="92" t="s">
        <v>188</v>
      </c>
      <c r="AA27" s="92">
        <v>594</v>
      </c>
      <c r="AB27" s="92" t="s">
        <v>189</v>
      </c>
      <c r="AC27" s="91">
        <v>1600</v>
      </c>
      <c r="AD27" t="s">
        <v>129</v>
      </c>
      <c r="AE27" t="s">
        <v>130</v>
      </c>
      <c r="AF27" t="s">
        <v>140</v>
      </c>
      <c r="AG27" t="s">
        <v>139</v>
      </c>
      <c r="AI27" s="106">
        <v>118000</v>
      </c>
      <c r="AJ27" s="94"/>
      <c r="AK27" s="94" t="s">
        <v>15</v>
      </c>
      <c r="AL27" s="95"/>
      <c r="AM27" s="94"/>
    </row>
    <row r="28" spans="1:39">
      <c r="F28">
        <f t="shared" si="1"/>
        <v>54</v>
      </c>
      <c r="W28" s="92" t="s">
        <v>190</v>
      </c>
      <c r="X28">
        <v>51.204193799999999</v>
      </c>
      <c r="Y28">
        <v>2.8698127999999699</v>
      </c>
      <c r="Z28" s="92" t="s">
        <v>191</v>
      </c>
      <c r="AA28" s="92"/>
      <c r="AB28" s="92"/>
      <c r="AC28" s="91">
        <v>900</v>
      </c>
      <c r="AD28" t="s">
        <v>129</v>
      </c>
      <c r="AE28" t="s">
        <v>130</v>
      </c>
      <c r="AI28" s="94"/>
      <c r="AJ28" s="94"/>
      <c r="AK28" s="94"/>
      <c r="AL28" s="95"/>
      <c r="AM28" s="94"/>
    </row>
    <row r="29" spans="1:39">
      <c r="F29">
        <f t="shared" si="1"/>
        <v>55</v>
      </c>
      <c r="W29" s="92" t="s">
        <v>192</v>
      </c>
      <c r="X29">
        <v>50.039421699999998</v>
      </c>
      <c r="Y29">
        <v>5.4056166000000303</v>
      </c>
      <c r="Z29" s="92" t="s">
        <v>193</v>
      </c>
      <c r="AA29" s="92">
        <v>1847</v>
      </c>
      <c r="AB29" s="92" t="s">
        <v>194</v>
      </c>
      <c r="AC29" s="91">
        <v>2800</v>
      </c>
      <c r="AD29" t="s">
        <v>129</v>
      </c>
      <c r="AE29" t="s">
        <v>130</v>
      </c>
      <c r="AG29" t="s">
        <v>139</v>
      </c>
      <c r="AI29" s="94" t="s">
        <v>195</v>
      </c>
      <c r="AJ29" s="94"/>
      <c r="AK29" s="94"/>
      <c r="AL29" s="95"/>
      <c r="AM29" s="94"/>
    </row>
    <row r="30" spans="1:39">
      <c r="F30">
        <f>F29+1</f>
        <v>56</v>
      </c>
      <c r="W30" s="92" t="s">
        <v>14</v>
      </c>
      <c r="X30">
        <v>50.478774899999998</v>
      </c>
      <c r="Y30">
        <v>5.9099232999999396</v>
      </c>
      <c r="Z30" s="92" t="s">
        <v>196</v>
      </c>
      <c r="AA30" s="92">
        <v>1542</v>
      </c>
      <c r="AB30" s="92" t="s">
        <v>197</v>
      </c>
      <c r="AC30" s="91">
        <v>2600</v>
      </c>
      <c r="AD30" t="s">
        <v>129</v>
      </c>
      <c r="AE30" t="s">
        <v>130</v>
      </c>
      <c r="AF30" t="s">
        <v>139</v>
      </c>
      <c r="AG30" t="s">
        <v>131</v>
      </c>
      <c r="AI30" s="94" t="s">
        <v>198</v>
      </c>
      <c r="AJ30" s="94"/>
      <c r="AK30" s="94" t="s">
        <v>22</v>
      </c>
      <c r="AL30" s="95"/>
      <c r="AM30" s="94"/>
    </row>
    <row r="31" spans="1:39">
      <c r="F31">
        <f>F29+1</f>
        <v>56</v>
      </c>
      <c r="W31" s="92" t="s">
        <v>168</v>
      </c>
      <c r="X31">
        <v>50.789632599999997</v>
      </c>
      <c r="Y31">
        <v>5.1972984000000197</v>
      </c>
      <c r="Z31" s="92" t="s">
        <v>199</v>
      </c>
      <c r="AA31" s="92">
        <v>246</v>
      </c>
      <c r="AB31" s="92" t="s">
        <v>200</v>
      </c>
      <c r="AC31" s="91">
        <v>1800</v>
      </c>
      <c r="AD31" t="s">
        <v>129</v>
      </c>
      <c r="AE31" t="s">
        <v>130</v>
      </c>
      <c r="AF31" t="s">
        <v>140</v>
      </c>
      <c r="AG31" t="s">
        <v>139</v>
      </c>
      <c r="AI31" s="94" t="s">
        <v>201</v>
      </c>
      <c r="AJ31" s="94"/>
      <c r="AK31" s="94" t="s">
        <v>22</v>
      </c>
      <c r="AL31" s="95"/>
      <c r="AM31" s="94"/>
    </row>
    <row r="32" spans="1:39">
      <c r="F32">
        <f t="shared" si="1"/>
        <v>57</v>
      </c>
      <c r="W32" s="92" t="s">
        <v>186</v>
      </c>
      <c r="X32">
        <v>50.552692099999902</v>
      </c>
      <c r="Y32">
        <v>5.8563986999999997</v>
      </c>
      <c r="Z32" s="92" t="s">
        <v>202</v>
      </c>
      <c r="AA32" s="92">
        <v>1099</v>
      </c>
      <c r="AB32" s="92" t="s">
        <v>203</v>
      </c>
      <c r="AC32" s="91">
        <v>2100</v>
      </c>
      <c r="AD32" t="s">
        <v>129</v>
      </c>
      <c r="AE32" t="s">
        <v>130</v>
      </c>
      <c r="AF32" t="s">
        <v>131</v>
      </c>
      <c r="AG32" t="s">
        <v>139</v>
      </c>
      <c r="AI32" s="94" t="s">
        <v>204</v>
      </c>
      <c r="AJ32" s="94"/>
      <c r="AK32" s="94" t="s">
        <v>22</v>
      </c>
      <c r="AL32" s="95"/>
      <c r="AM32" s="94"/>
    </row>
    <row r="33" spans="6:39">
      <c r="F33">
        <f t="shared" si="1"/>
        <v>58</v>
      </c>
      <c r="W33" s="92" t="s">
        <v>205</v>
      </c>
      <c r="X33" s="93">
        <v>50.97</v>
      </c>
      <c r="Y33" s="93">
        <v>5.375</v>
      </c>
      <c r="Z33" s="92" t="s">
        <v>206</v>
      </c>
      <c r="AA33" s="92">
        <v>141</v>
      </c>
      <c r="AB33" s="92" t="s">
        <v>207</v>
      </c>
      <c r="AC33" s="91">
        <v>1200</v>
      </c>
      <c r="AF33" t="s">
        <v>165</v>
      </c>
      <c r="AG33" t="s">
        <v>183</v>
      </c>
      <c r="AI33" s="106">
        <v>118325</v>
      </c>
      <c r="AJ33" s="94"/>
      <c r="AK33" s="94"/>
      <c r="AL33" s="95"/>
      <c r="AM33" s="94"/>
    </row>
    <row r="34" spans="6:39">
      <c r="F34">
        <f t="shared" si="1"/>
        <v>59</v>
      </c>
      <c r="W34" s="92" t="s">
        <v>208</v>
      </c>
      <c r="X34">
        <v>51.014995999999996</v>
      </c>
      <c r="Y34">
        <v>5.5256080000000303</v>
      </c>
      <c r="Z34" s="92" t="s">
        <v>209</v>
      </c>
      <c r="AA34" s="92">
        <v>278</v>
      </c>
      <c r="AB34" s="92" t="s">
        <v>210</v>
      </c>
      <c r="AC34" s="91">
        <v>800</v>
      </c>
      <c r="AD34" t="s">
        <v>129</v>
      </c>
      <c r="AE34" t="s">
        <v>130</v>
      </c>
      <c r="AF34" t="s">
        <v>140</v>
      </c>
      <c r="AG34" t="s">
        <v>139</v>
      </c>
      <c r="AI34" s="108" t="s">
        <v>211</v>
      </c>
      <c r="AJ34" s="94"/>
      <c r="AK34" s="94" t="s">
        <v>22</v>
      </c>
      <c r="AL34" s="95"/>
      <c r="AM34" s="92" t="s">
        <v>212</v>
      </c>
    </row>
    <row r="35" spans="6:39">
      <c r="F35">
        <f t="shared" si="1"/>
        <v>60</v>
      </c>
      <c r="W35" s="92" t="s">
        <v>213</v>
      </c>
      <c r="X35" s="97">
        <v>50.68</v>
      </c>
      <c r="Y35" s="98">
        <v>5.6589999999999998</v>
      </c>
      <c r="Z35" s="92" t="s">
        <v>214</v>
      </c>
      <c r="AA35" s="92"/>
      <c r="AB35" s="92" t="s">
        <v>215</v>
      </c>
      <c r="AC35" s="91">
        <v>2000</v>
      </c>
      <c r="AI35" s="94" t="s">
        <v>184</v>
      </c>
      <c r="AJ35" s="94"/>
      <c r="AK35" s="94"/>
      <c r="AL35" s="109">
        <v>126250</v>
      </c>
      <c r="AM35" s="110"/>
    </row>
    <row r="36" spans="6:39">
      <c r="F36">
        <f t="shared" si="1"/>
        <v>61</v>
      </c>
      <c r="W36" s="92" t="s">
        <v>216</v>
      </c>
      <c r="Z36" s="92" t="s">
        <v>217</v>
      </c>
      <c r="AA36" s="92">
        <v>125</v>
      </c>
      <c r="AB36" s="92" t="s">
        <v>218</v>
      </c>
      <c r="AC36" s="91">
        <v>1200</v>
      </c>
      <c r="AI36" s="94"/>
      <c r="AJ36" s="94"/>
      <c r="AK36" s="94"/>
      <c r="AL36" s="95"/>
      <c r="AM36" s="94"/>
    </row>
    <row r="37" spans="6:39">
      <c r="F37">
        <f t="shared" si="1"/>
        <v>62</v>
      </c>
      <c r="W37" s="92" t="s">
        <v>219</v>
      </c>
      <c r="X37" s="93">
        <v>50.876665000000003</v>
      </c>
      <c r="Y37" s="93">
        <v>5.134512</v>
      </c>
      <c r="Z37" s="92" t="s">
        <v>220</v>
      </c>
      <c r="AA37" s="92"/>
      <c r="AB37" s="92" t="s">
        <v>221</v>
      </c>
      <c r="AC37" s="91">
        <v>2000</v>
      </c>
      <c r="AD37" t="s">
        <v>129</v>
      </c>
      <c r="AE37" t="s">
        <v>130</v>
      </c>
      <c r="AF37" t="s">
        <v>165</v>
      </c>
      <c r="AG37" t="s">
        <v>131</v>
      </c>
      <c r="AI37" s="94" t="s">
        <v>222</v>
      </c>
      <c r="AJ37" s="94"/>
      <c r="AK37" s="94" t="s">
        <v>168</v>
      </c>
      <c r="AL37" s="95"/>
      <c r="AM37" s="94"/>
    </row>
    <row r="38" spans="6:39">
      <c r="F38">
        <f t="shared" si="1"/>
        <v>63</v>
      </c>
      <c r="W38" s="92" t="s">
        <v>223</v>
      </c>
      <c r="X38">
        <v>50.589255999999999</v>
      </c>
      <c r="Y38">
        <v>5.9748079999999302</v>
      </c>
      <c r="Z38" s="92" t="s">
        <v>224</v>
      </c>
      <c r="AA38" s="92"/>
      <c r="AB38" s="92" t="s">
        <v>225</v>
      </c>
      <c r="AC38" s="91">
        <v>2500</v>
      </c>
      <c r="AD38" t="s">
        <v>129</v>
      </c>
      <c r="AE38" t="s">
        <v>130</v>
      </c>
      <c r="AF38" t="s">
        <v>131</v>
      </c>
      <c r="AG38" t="s">
        <v>139</v>
      </c>
      <c r="AI38" s="94"/>
      <c r="AJ38" s="94"/>
      <c r="AK38" s="94" t="s">
        <v>14</v>
      </c>
      <c r="AL38" s="95"/>
      <c r="AM38" s="94"/>
    </row>
    <row r="39" spans="6:39">
      <c r="F39">
        <f t="shared" si="1"/>
        <v>64</v>
      </c>
      <c r="W39" s="92" t="s">
        <v>27</v>
      </c>
      <c r="X39">
        <v>50.445999999999998</v>
      </c>
      <c r="Y39" s="111">
        <v>5.9630000000000001</v>
      </c>
      <c r="Z39" s="92" t="s">
        <v>226</v>
      </c>
      <c r="AA39" s="92"/>
      <c r="AB39" s="92" t="s">
        <v>227</v>
      </c>
      <c r="AC39" s="91">
        <v>2600</v>
      </c>
      <c r="AD39" t="s">
        <v>129</v>
      </c>
      <c r="AE39" t="s">
        <v>130</v>
      </c>
      <c r="AF39" t="s">
        <v>139</v>
      </c>
      <c r="AG39" t="s">
        <v>131</v>
      </c>
      <c r="AI39" s="94"/>
      <c r="AJ39" s="94"/>
      <c r="AK39" s="94" t="s">
        <v>14</v>
      </c>
      <c r="AL39" s="95"/>
      <c r="AM39" s="94"/>
    </row>
    <row r="40" spans="6:39">
      <c r="F40">
        <f t="shared" si="1"/>
        <v>65</v>
      </c>
      <c r="W40" s="92" t="s">
        <v>228</v>
      </c>
      <c r="X40">
        <v>49.122355599999999</v>
      </c>
      <c r="Y40">
        <v>5.4690471999999701</v>
      </c>
      <c r="Z40" s="92" t="s">
        <v>229</v>
      </c>
      <c r="AA40" s="92"/>
      <c r="AB40" s="92"/>
      <c r="AC40" s="91">
        <v>1600</v>
      </c>
      <c r="AD40" t="s">
        <v>129</v>
      </c>
      <c r="AE40" t="s">
        <v>230</v>
      </c>
      <c r="AI40" s="94"/>
      <c r="AJ40" s="94"/>
      <c r="AK40" s="94"/>
      <c r="AL40" s="95"/>
      <c r="AM40" s="94"/>
    </row>
    <row r="41" spans="6:39">
      <c r="F41">
        <f t="shared" si="1"/>
        <v>66</v>
      </c>
      <c r="W41" s="92" t="s">
        <v>231</v>
      </c>
      <c r="X41" s="93">
        <v>50.308481</v>
      </c>
      <c r="Y41" s="93">
        <v>4.0301609999999997</v>
      </c>
      <c r="Z41" s="92" t="s">
        <v>232</v>
      </c>
      <c r="AA41" s="92">
        <v>452</v>
      </c>
      <c r="AB41" s="92" t="s">
        <v>233</v>
      </c>
      <c r="AC41" s="91">
        <v>2000</v>
      </c>
      <c r="AD41" t="s">
        <v>234</v>
      </c>
      <c r="AE41" t="s">
        <v>230</v>
      </c>
      <c r="AF41" t="s">
        <v>235</v>
      </c>
      <c r="AG41" t="s">
        <v>139</v>
      </c>
      <c r="AI41" s="94" t="s">
        <v>236</v>
      </c>
      <c r="AJ41" s="94"/>
      <c r="AK41" s="94"/>
      <c r="AL41" s="95"/>
      <c r="AM41" s="94"/>
    </row>
    <row r="42" spans="6:39">
      <c r="F42">
        <f t="shared" si="1"/>
        <v>67</v>
      </c>
      <c r="W42" s="92" t="s">
        <v>237</v>
      </c>
      <c r="X42">
        <v>50.585913200486303</v>
      </c>
      <c r="Y42">
        <v>5.7103580782988903</v>
      </c>
      <c r="Z42" s="92" t="s">
        <v>238</v>
      </c>
      <c r="AA42" s="92">
        <v>790</v>
      </c>
      <c r="AB42" s="112" t="s">
        <v>239</v>
      </c>
      <c r="AC42" s="91">
        <v>2000</v>
      </c>
      <c r="AD42" t="s">
        <v>129</v>
      </c>
      <c r="AE42" t="s">
        <v>130</v>
      </c>
      <c r="AF42" t="s">
        <v>131</v>
      </c>
      <c r="AG42" t="s">
        <v>139</v>
      </c>
      <c r="AI42" s="94" t="s">
        <v>240</v>
      </c>
      <c r="AJ42" s="94"/>
      <c r="AK42" s="94" t="s">
        <v>22</v>
      </c>
      <c r="AL42" s="95" t="s">
        <v>187</v>
      </c>
      <c r="AM42" s="94"/>
    </row>
    <row r="43" spans="6:39">
      <c r="F43">
        <f t="shared" si="1"/>
        <v>68</v>
      </c>
      <c r="W43" s="92" t="s">
        <v>241</v>
      </c>
      <c r="X43" s="93">
        <v>50.358156000000001</v>
      </c>
      <c r="Y43" s="93">
        <v>4.8820680000000003</v>
      </c>
      <c r="Z43" s="92" t="s">
        <v>242</v>
      </c>
      <c r="AA43" s="92"/>
      <c r="AB43" s="92" t="s">
        <v>243</v>
      </c>
      <c r="AC43" s="91">
        <v>2000</v>
      </c>
      <c r="AD43" t="s">
        <v>129</v>
      </c>
      <c r="AE43" t="s">
        <v>130</v>
      </c>
      <c r="AF43" t="s">
        <v>139</v>
      </c>
      <c r="AG43" t="s">
        <v>235</v>
      </c>
      <c r="AI43" s="94"/>
      <c r="AJ43" s="94"/>
      <c r="AK43" s="94"/>
      <c r="AL43" s="95"/>
      <c r="AM43" s="94"/>
    </row>
    <row r="44" spans="6:39">
      <c r="F44">
        <f t="shared" si="1"/>
        <v>69</v>
      </c>
      <c r="W44" s="92" t="s">
        <v>244</v>
      </c>
      <c r="Z44" s="92" t="s">
        <v>245</v>
      </c>
      <c r="AA44" s="92">
        <v>2000</v>
      </c>
      <c r="AB44" s="92" t="s">
        <v>246</v>
      </c>
      <c r="AC44" s="91"/>
      <c r="AI44" s="94">
        <v>133.125</v>
      </c>
      <c r="AJ44" s="94"/>
      <c r="AK44" s="94"/>
      <c r="AL44" s="95"/>
      <c r="AM44" s="94"/>
    </row>
    <row r="45" spans="6:39">
      <c r="F45">
        <f t="shared" si="1"/>
        <v>70</v>
      </c>
      <c r="W45" s="92" t="s">
        <v>247</v>
      </c>
      <c r="Z45" s="92" t="s">
        <v>248</v>
      </c>
      <c r="AA45" s="92">
        <v>2000</v>
      </c>
      <c r="AB45" s="92" t="s">
        <v>249</v>
      </c>
      <c r="AC45" s="91"/>
      <c r="AI45" s="94">
        <v>133.125</v>
      </c>
      <c r="AJ45" s="94"/>
      <c r="AK45" s="94"/>
      <c r="AL45" s="95"/>
      <c r="AM45" s="94"/>
    </row>
    <row r="46" spans="6:39">
      <c r="F46">
        <f t="shared" si="1"/>
        <v>71</v>
      </c>
      <c r="W46" s="92" t="s">
        <v>250</v>
      </c>
      <c r="Z46" s="92" t="s">
        <v>251</v>
      </c>
      <c r="AA46" s="92">
        <v>2000</v>
      </c>
      <c r="AB46" s="92" t="s">
        <v>252</v>
      </c>
      <c r="AC46" s="91"/>
      <c r="AI46" s="94">
        <v>133.125</v>
      </c>
      <c r="AJ46" s="94"/>
      <c r="AK46" s="94"/>
      <c r="AL46" s="95"/>
      <c r="AM46" s="94"/>
    </row>
    <row r="47" spans="6:39">
      <c r="F47">
        <f t="shared" si="1"/>
        <v>72</v>
      </c>
      <c r="W47" s="92" t="s">
        <v>253</v>
      </c>
      <c r="X47">
        <v>50.792000000000002</v>
      </c>
      <c r="Y47">
        <v>5.5309999999999997</v>
      </c>
      <c r="Z47" s="92" t="s">
        <v>254</v>
      </c>
      <c r="AA47" s="92"/>
      <c r="AB47" s="92" t="s">
        <v>215</v>
      </c>
      <c r="AC47" s="91">
        <v>2000</v>
      </c>
      <c r="AI47" s="105" t="s">
        <v>184</v>
      </c>
      <c r="AJ47" s="94"/>
      <c r="AK47" s="94"/>
      <c r="AL47" s="95"/>
      <c r="AM47" s="94"/>
    </row>
    <row r="48" spans="6:39">
      <c r="F48">
        <f t="shared" si="1"/>
        <v>73</v>
      </c>
      <c r="W48" s="92" t="s">
        <v>255</v>
      </c>
      <c r="X48" s="113">
        <v>50.5354851376132</v>
      </c>
      <c r="Y48">
        <v>4.3636751174926696</v>
      </c>
      <c r="Z48" s="92" t="s">
        <v>256</v>
      </c>
      <c r="AA48" s="92">
        <v>2000</v>
      </c>
      <c r="AB48" s="92" t="s">
        <v>257</v>
      </c>
      <c r="AC48" s="91">
        <v>459</v>
      </c>
      <c r="AI48" s="94">
        <v>133.125</v>
      </c>
      <c r="AJ48" s="94"/>
      <c r="AK48" s="94"/>
      <c r="AL48" s="95"/>
      <c r="AM48" s="94"/>
    </row>
    <row r="49" spans="6:39">
      <c r="F49">
        <f t="shared" si="1"/>
        <v>74</v>
      </c>
      <c r="W49" s="92" t="s">
        <v>258</v>
      </c>
      <c r="X49" s="114">
        <v>50.566513426772701</v>
      </c>
      <c r="Y49" s="114">
        <v>5.5494689941406197</v>
      </c>
      <c r="Z49" s="92" t="s">
        <v>259</v>
      </c>
      <c r="AA49" s="92"/>
      <c r="AB49" s="92" t="s">
        <v>215</v>
      </c>
      <c r="AC49" s="91">
        <v>2000</v>
      </c>
      <c r="AD49" t="s">
        <v>174</v>
      </c>
      <c r="AE49" t="s">
        <v>175</v>
      </c>
      <c r="AF49" t="s">
        <v>131</v>
      </c>
      <c r="AG49" t="s">
        <v>260</v>
      </c>
      <c r="AI49" s="94" t="s">
        <v>184</v>
      </c>
      <c r="AJ49" s="94"/>
      <c r="AK49" s="94" t="s">
        <v>22</v>
      </c>
      <c r="AL49" s="95" t="s">
        <v>187</v>
      </c>
      <c r="AM49" s="94"/>
    </row>
    <row r="50" spans="6:39">
      <c r="F50">
        <f t="shared" si="1"/>
        <v>75</v>
      </c>
      <c r="W50" s="92" t="s">
        <v>261</v>
      </c>
      <c r="X50" s="114">
        <v>50.7043294056419</v>
      </c>
      <c r="Y50" s="114">
        <v>5.2933502197265598</v>
      </c>
      <c r="Z50" s="92" t="s">
        <v>262</v>
      </c>
      <c r="AA50" s="92"/>
      <c r="AB50" s="92" t="s">
        <v>215</v>
      </c>
      <c r="AC50" s="91">
        <v>2000</v>
      </c>
      <c r="AD50" t="s">
        <v>129</v>
      </c>
      <c r="AE50" t="s">
        <v>130</v>
      </c>
      <c r="AF50" t="s">
        <v>131</v>
      </c>
      <c r="AG50" t="s">
        <v>139</v>
      </c>
      <c r="AI50" s="94" t="s">
        <v>184</v>
      </c>
      <c r="AJ50" s="94"/>
      <c r="AK50" s="94" t="s">
        <v>22</v>
      </c>
      <c r="AL50" s="95" t="s">
        <v>187</v>
      </c>
      <c r="AM50" s="94"/>
    </row>
    <row r="51" spans="6:39">
      <c r="F51">
        <f t="shared" si="1"/>
        <v>76</v>
      </c>
      <c r="W51" s="92" t="s">
        <v>263</v>
      </c>
      <c r="Z51" s="92" t="s">
        <v>264</v>
      </c>
      <c r="AA51" s="92">
        <v>2000</v>
      </c>
      <c r="AB51" s="92" t="s">
        <v>265</v>
      </c>
      <c r="AC51" s="91"/>
      <c r="AI51" s="94">
        <v>133.125</v>
      </c>
      <c r="AJ51" s="94"/>
      <c r="AK51" s="94"/>
      <c r="AL51" s="95"/>
      <c r="AM51" s="94"/>
    </row>
    <row r="52" spans="6:39">
      <c r="F52">
        <f t="shared" si="1"/>
        <v>77</v>
      </c>
      <c r="W52" s="92" t="s">
        <v>33</v>
      </c>
      <c r="X52">
        <v>50.410202281882199</v>
      </c>
      <c r="Y52">
        <v>4.4955110549926696</v>
      </c>
      <c r="Z52" s="92" t="s">
        <v>266</v>
      </c>
      <c r="AA52" s="92">
        <v>2000</v>
      </c>
      <c r="AB52" s="92" t="s">
        <v>267</v>
      </c>
      <c r="AC52" s="91">
        <v>413</v>
      </c>
      <c r="AI52" s="94">
        <v>133.125</v>
      </c>
      <c r="AJ52" s="94"/>
      <c r="AK52" s="94"/>
      <c r="AL52" s="95"/>
      <c r="AM52" s="94"/>
    </row>
    <row r="53" spans="6:39">
      <c r="F53">
        <f t="shared" si="1"/>
        <v>78</v>
      </c>
      <c r="W53" s="92" t="s">
        <v>31</v>
      </c>
      <c r="X53">
        <v>50.38391</v>
      </c>
      <c r="Y53">
        <v>4.5786600000000099</v>
      </c>
      <c r="Z53" s="92" t="s">
        <v>268</v>
      </c>
      <c r="AA53" s="92">
        <v>2000</v>
      </c>
      <c r="AB53" s="92" t="s">
        <v>269</v>
      </c>
      <c r="AC53" s="91">
        <v>443</v>
      </c>
      <c r="AI53" s="94">
        <v>133.125</v>
      </c>
      <c r="AJ53" s="94"/>
      <c r="AK53" s="94"/>
      <c r="AL53" s="95"/>
      <c r="AM53" s="94"/>
    </row>
    <row r="54" spans="6:39">
      <c r="F54">
        <f t="shared" si="1"/>
        <v>79</v>
      </c>
      <c r="W54" s="92" t="s">
        <v>29</v>
      </c>
      <c r="X54">
        <v>50.514742652144001</v>
      </c>
      <c r="Y54">
        <v>5.6234779565254396</v>
      </c>
      <c r="Z54" s="92" t="s">
        <v>270</v>
      </c>
      <c r="AA54" s="112">
        <v>931</v>
      </c>
      <c r="AB54" s="112" t="s">
        <v>271</v>
      </c>
      <c r="AC54" s="91">
        <v>2000</v>
      </c>
      <c r="AD54" t="s">
        <v>129</v>
      </c>
      <c r="AE54" t="s">
        <v>130</v>
      </c>
      <c r="AF54" t="s">
        <v>139</v>
      </c>
      <c r="AG54" t="s">
        <v>131</v>
      </c>
      <c r="AI54" s="94" t="s">
        <v>272</v>
      </c>
      <c r="AJ54" s="94"/>
      <c r="AK54" s="94" t="s">
        <v>22</v>
      </c>
      <c r="AL54" s="95" t="s">
        <v>187</v>
      </c>
      <c r="AM54" s="94"/>
    </row>
    <row r="55" spans="6:39">
      <c r="F55">
        <f t="shared" si="1"/>
        <v>80</v>
      </c>
      <c r="W55" s="92" t="s">
        <v>273</v>
      </c>
      <c r="X55">
        <v>50.528028999999997</v>
      </c>
      <c r="Y55">
        <v>5.9193990000000003</v>
      </c>
      <c r="Z55" s="92" t="s">
        <v>274</v>
      </c>
      <c r="AA55" s="92"/>
      <c r="AB55" s="92" t="s">
        <v>155</v>
      </c>
      <c r="AC55" s="91">
        <v>2600</v>
      </c>
      <c r="AI55" s="94"/>
      <c r="AJ55" s="94"/>
      <c r="AK55" s="94"/>
      <c r="AL55" s="95"/>
      <c r="AM55" s="94"/>
    </row>
    <row r="56" spans="6:39">
      <c r="F56">
        <f t="shared" si="1"/>
        <v>81</v>
      </c>
      <c r="W56" s="91" t="s">
        <v>275</v>
      </c>
      <c r="X56" s="91">
        <v>0</v>
      </c>
      <c r="Y56" s="91">
        <v>0</v>
      </c>
      <c r="Z56" s="91" t="s">
        <v>275</v>
      </c>
      <c r="AA56" s="91"/>
      <c r="AB56" s="91"/>
      <c r="AC56" s="91">
        <v>0</v>
      </c>
      <c r="AD56" s="91">
        <v>0</v>
      </c>
      <c r="AE56" s="91">
        <v>0</v>
      </c>
      <c r="AF56" s="91">
        <v>0</v>
      </c>
      <c r="AG56" s="91">
        <v>0</v>
      </c>
      <c r="AH56" s="91"/>
      <c r="AI56" s="94">
        <v>0</v>
      </c>
      <c r="AJ56" s="94">
        <v>0</v>
      </c>
      <c r="AK56" s="94"/>
      <c r="AL56" s="95"/>
      <c r="AM56" s="94"/>
    </row>
    <row r="57" spans="6:39">
      <c r="F57">
        <f t="shared" si="1"/>
        <v>82</v>
      </c>
      <c r="Z57"/>
      <c r="AF57" s="94"/>
      <c r="AG57" s="94"/>
      <c r="AH57" s="94"/>
    </row>
    <row r="58" spans="6:39">
      <c r="F58">
        <f t="shared" si="1"/>
        <v>83</v>
      </c>
      <c r="Z58"/>
      <c r="AF58" s="94"/>
      <c r="AG58" s="94"/>
      <c r="AH58" s="94"/>
    </row>
    <row r="59" spans="6:39">
      <c r="F59">
        <f t="shared" si="1"/>
        <v>84</v>
      </c>
      <c r="Z59"/>
      <c r="AF59" s="94"/>
      <c r="AG59" s="94"/>
      <c r="AH59" s="94"/>
    </row>
    <row r="60" spans="6:39">
      <c r="F60">
        <f t="shared" si="1"/>
        <v>85</v>
      </c>
      <c r="Z60"/>
    </row>
    <row r="61" spans="6:39">
      <c r="F61">
        <f t="shared" si="1"/>
        <v>86</v>
      </c>
    </row>
    <row r="62" spans="6:39">
      <c r="F62">
        <f t="shared" si="1"/>
        <v>87</v>
      </c>
    </row>
    <row r="63" spans="6:39">
      <c r="F63">
        <f t="shared" si="1"/>
        <v>88</v>
      </c>
    </row>
    <row r="64" spans="6:39">
      <c r="F64">
        <f t="shared" si="1"/>
        <v>89</v>
      </c>
    </row>
    <row r="65" spans="6:6">
      <c r="F65">
        <f t="shared" si="1"/>
        <v>90</v>
      </c>
    </row>
    <row r="66" spans="6:6">
      <c r="F66">
        <f t="shared" si="1"/>
        <v>91</v>
      </c>
    </row>
    <row r="67" spans="6:6">
      <c r="F67">
        <f t="shared" si="1"/>
        <v>92</v>
      </c>
    </row>
    <row r="68" spans="6:6">
      <c r="F68">
        <f t="shared" si="1"/>
        <v>93</v>
      </c>
    </row>
    <row r="69" spans="6:6">
      <c r="F69">
        <f t="shared" si="1"/>
        <v>94</v>
      </c>
    </row>
    <row r="70" spans="6:6">
      <c r="F70">
        <f t="shared" si="1"/>
        <v>95</v>
      </c>
    </row>
    <row r="71" spans="6:6">
      <c r="F71">
        <f t="shared" si="1"/>
        <v>96</v>
      </c>
    </row>
    <row r="72" spans="6:6">
      <c r="F72">
        <f>F71+1</f>
        <v>97</v>
      </c>
    </row>
    <row r="73" spans="6:6">
      <c r="F73">
        <f>F72+1</f>
        <v>98</v>
      </c>
    </row>
    <row r="74" spans="6:6">
      <c r="F74">
        <f t="shared" ref="F74:F75" si="2">F73+1</f>
        <v>99</v>
      </c>
    </row>
    <row r="75" spans="6:6">
      <c r="F75">
        <f t="shared" si="2"/>
        <v>100</v>
      </c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autoFill="0" autoPict="0" macro="[2]!Bouton6_Cliquer">
                <anchor moveWithCells="1" sizeWithCells="1">
                  <from>
                    <xdr:col>0</xdr:col>
                    <xdr:colOff>447675</xdr:colOff>
                    <xdr:row>29</xdr:row>
                    <xdr:rowOff>38100</xdr:rowOff>
                  </from>
                  <to>
                    <xdr:col>1</xdr:col>
                    <xdr:colOff>571500</xdr:colOff>
                    <xdr:row>31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tableParts count="8"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8">
    <tabColor rgb="FF7030A0"/>
    <pageSetUpPr fitToPage="1"/>
  </sheetPr>
  <dimension ref="A1:M39"/>
  <sheetViews>
    <sheetView topLeftCell="A21" zoomScale="88" workbookViewId="0">
      <selection activeCell="C36" sqref="C36:C37"/>
    </sheetView>
  </sheetViews>
  <sheetFormatPr baseColWidth="10" defaultRowHeight="15"/>
  <cols>
    <col min="2" max="2" width="14.7109375" customWidth="1"/>
    <col min="3" max="3" width="18.28515625" bestFit="1" customWidth="1"/>
    <col min="4" max="4" width="14" customWidth="1"/>
    <col min="5" max="5" width="12.28515625" bestFit="1" customWidth="1"/>
    <col min="6" max="6" width="16" bestFit="1" customWidth="1"/>
    <col min="7" max="7" width="19.28515625" customWidth="1"/>
    <col min="8" max="8" width="13" bestFit="1" customWidth="1"/>
    <col min="13" max="13" width="10.7109375" customWidth="1"/>
  </cols>
  <sheetData>
    <row r="1" spans="1:13" ht="23.25">
      <c r="A1" s="311" t="s">
        <v>0</v>
      </c>
      <c r="B1" s="312"/>
      <c r="C1" s="312"/>
      <c r="D1" s="312"/>
      <c r="E1" s="312"/>
      <c r="F1" s="1" t="str">
        <f>E5</f>
        <v>EBCI</v>
      </c>
      <c r="G1" s="313" t="e">
        <f>IF(ISNA(VLOOKUP(F1,[2]!IOAC1[#Data],4,FALSE)),"",VLOOKUP(F1,[2]!IOAC1[#Data],4,FALSE))</f>
        <v>#REF!</v>
      </c>
      <c r="H1" s="313"/>
      <c r="I1" s="313"/>
      <c r="J1" s="313"/>
      <c r="K1" s="314"/>
    </row>
    <row r="2" spans="1:13" ht="23.25">
      <c r="A2" s="315" t="s">
        <v>1</v>
      </c>
      <c r="B2" s="315"/>
      <c r="C2" s="2" t="s">
        <v>2</v>
      </c>
      <c r="D2" s="3"/>
      <c r="E2" s="3"/>
      <c r="F2" s="4" t="s">
        <v>3</v>
      </c>
      <c r="G2" s="4" t="s">
        <v>4</v>
      </c>
      <c r="H2" s="2" t="s">
        <v>5</v>
      </c>
      <c r="I2" s="2" t="s">
        <v>6</v>
      </c>
      <c r="J2" s="2" t="s">
        <v>7</v>
      </c>
      <c r="K2" s="2" t="s">
        <v>8</v>
      </c>
    </row>
    <row r="3" spans="1:13" ht="23.25">
      <c r="A3" s="316">
        <f ca="1">TODAY()</f>
        <v>43149</v>
      </c>
      <c r="B3" s="316"/>
      <c r="C3" s="5" t="e">
        <f>LTC</f>
        <v>#REF!</v>
      </c>
      <c r="D3" s="317" t="s">
        <v>9</v>
      </c>
      <c r="E3" s="318"/>
      <c r="F3" s="319">
        <v>0.46527777777777773</v>
      </c>
      <c r="G3" s="320" t="e">
        <f>ETD+Ttth</f>
        <v>#REF!</v>
      </c>
      <c r="H3" s="6" t="s">
        <v>80</v>
      </c>
      <c r="I3" s="7" t="e">
        <f>(fuel/Conso)/1440</f>
        <v>#REF!</v>
      </c>
      <c r="J3" s="8" t="e">
        <f>IF(ISNA(VLOOKUP(H3,[2]!AVION1[#Data],7,FALSE)),"",VLOOKUP(H3,[2]!AVION1[#Data],7,FALSE))</f>
        <v>#REF!</v>
      </c>
      <c r="K3" s="9" t="e">
        <f>totalfuel</f>
        <v>#REF!</v>
      </c>
    </row>
    <row r="4" spans="1:13" ht="18.75">
      <c r="A4" s="321"/>
      <c r="B4" s="322"/>
      <c r="C4" s="10" t="e">
        <f>UTC</f>
        <v>#REF!</v>
      </c>
      <c r="D4" s="11" t="s">
        <v>11</v>
      </c>
      <c r="E4" s="11" t="s">
        <v>12</v>
      </c>
      <c r="F4" s="319"/>
      <c r="G4" s="320"/>
      <c r="H4" s="12">
        <f>IF(ISNA(VLOOKUP(H3,AVION1[],3,FALSE)),"",VLOOKUP(H3,AVION1[],3,FALSE))</f>
        <v>1.84</v>
      </c>
      <c r="I4" s="13">
        <v>88</v>
      </c>
      <c r="J4" s="14"/>
      <c r="K4" s="15"/>
      <c r="M4" s="16"/>
    </row>
    <row r="5" spans="1:13" ht="19.5" thickBot="1">
      <c r="A5" s="307" t="s">
        <v>13</v>
      </c>
      <c r="B5" s="307"/>
      <c r="C5" s="307"/>
      <c r="D5" s="17" t="s">
        <v>14</v>
      </c>
      <c r="E5" s="17" t="s">
        <v>15</v>
      </c>
      <c r="F5" s="18" t="s">
        <v>16</v>
      </c>
      <c r="G5" s="19"/>
      <c r="H5" s="20" t="s">
        <v>17</v>
      </c>
      <c r="I5" s="21" t="s">
        <v>18</v>
      </c>
      <c r="J5" s="11" t="s">
        <v>19</v>
      </c>
      <c r="K5" s="19" t="s">
        <v>20</v>
      </c>
      <c r="M5" s="16"/>
    </row>
    <row r="6" spans="1:13" ht="29.25" thickBot="1">
      <c r="A6" s="308" t="s">
        <v>21</v>
      </c>
      <c r="B6" s="308"/>
      <c r="C6" s="308"/>
      <c r="D6" s="295"/>
      <c r="E6" s="295"/>
      <c r="F6" s="22" t="s">
        <v>22</v>
      </c>
      <c r="G6" s="17" t="s">
        <v>23</v>
      </c>
      <c r="H6" s="23">
        <f>IF(ISNA(VLOOKUP(H3,AVION1[],4,FALSE)),"",VLOOKUP(H3,AVION1[],4,FALSE))</f>
        <v>90</v>
      </c>
      <c r="I6" s="24" t="e">
        <f>Ttt/86400</f>
        <v>#REF!</v>
      </c>
      <c r="J6" s="25">
        <v>250</v>
      </c>
      <c r="K6" s="26">
        <v>20</v>
      </c>
      <c r="M6" s="16"/>
    </row>
    <row r="7" spans="1:13" ht="20.100000000000001" customHeight="1" thickBot="1">
      <c r="A7" s="309" t="s">
        <v>24</v>
      </c>
      <c r="B7" s="309"/>
      <c r="C7" s="309"/>
      <c r="D7" s="27" t="str">
        <f>D5</f>
        <v>EBSP</v>
      </c>
      <c r="E7" s="310" t="e">
        <f>IF(ISNA(VLOOKUP(D7,[2]!IOAC1[#Data],4,FALSE)),"",VLOOKUP(D7,[2]!IOAC1[#Data],4,FALSE))</f>
        <v>#REF!</v>
      </c>
      <c r="F7" s="310"/>
      <c r="G7" s="28"/>
      <c r="H7" s="29" t="s">
        <v>25</v>
      </c>
      <c r="I7" s="30" t="e">
        <f>Ttt*H4</f>
        <v>#REF!</v>
      </c>
      <c r="J7" s="31"/>
      <c r="K7" s="31"/>
    </row>
    <row r="8" spans="1:13" ht="20.100000000000001" customHeight="1">
      <c r="A8" s="295" t="s">
        <v>26</v>
      </c>
      <c r="B8" s="295"/>
      <c r="C8" s="295"/>
      <c r="D8" s="32" t="s">
        <v>27</v>
      </c>
      <c r="E8" s="296" t="e">
        <f>IF(ISNA(VLOOKUP(D8,[2]!IOAC1[#Data],4,FALSE)),"",VLOOKUP(D8,[2]!IOAC1[#Data],4,FALSE))</f>
        <v>#REF!</v>
      </c>
      <c r="F8" s="296"/>
    </row>
    <row r="9" spans="1:13" ht="20.100000000000001" customHeight="1">
      <c r="A9" s="305" t="s">
        <v>28</v>
      </c>
      <c r="B9" s="305"/>
      <c r="C9" s="305"/>
      <c r="D9" s="33" t="s">
        <v>29</v>
      </c>
      <c r="E9" s="306" t="e">
        <f>IF(ISNA(VLOOKUP(D9,[2]!IOAC1[#Data],4,FALSE)),"",VLOOKUP(D9,[2]!IOAC1[#Data],4,FALSE))</f>
        <v>#REF!</v>
      </c>
      <c r="F9" s="306"/>
    </row>
    <row r="10" spans="1:13" ht="20.100000000000001" customHeight="1">
      <c r="A10" s="295" t="s">
        <v>30</v>
      </c>
      <c r="B10" s="295"/>
      <c r="C10" s="295"/>
      <c r="D10" s="32" t="s">
        <v>31</v>
      </c>
      <c r="E10" s="296" t="e">
        <f>IF(ISNA(VLOOKUP(D10,[2]!IOAC1[#Data],4,FALSE)),"",VLOOKUP(D10,[2]!IOAC1[#Data],4,FALSE))</f>
        <v>#REF!</v>
      </c>
      <c r="F10" s="296"/>
    </row>
    <row r="11" spans="1:13" ht="20.100000000000001" customHeight="1">
      <c r="A11" s="305" t="s">
        <v>32</v>
      </c>
      <c r="B11" s="305"/>
      <c r="C11" s="305"/>
      <c r="D11" s="33" t="s">
        <v>33</v>
      </c>
      <c r="E11" s="306" t="e">
        <f>IF(ISNA(VLOOKUP(D11,[2]!IOAC1[#Data],4,FALSE)),"",VLOOKUP(D11,[2]!IOAC1[#Data],4,FALSE))</f>
        <v>#REF!</v>
      </c>
      <c r="F11" s="306"/>
    </row>
    <row r="12" spans="1:13" ht="20.100000000000001" customHeight="1">
      <c r="A12" s="295" t="s">
        <v>34</v>
      </c>
      <c r="B12" s="295"/>
      <c r="C12" s="295"/>
      <c r="D12" s="32" t="s">
        <v>15</v>
      </c>
      <c r="E12" s="296" t="e">
        <f>IF(ISNA(VLOOKUP(D12,[2]!IOAC1[#Data],4,FALSE)),"",VLOOKUP(D12,[2]!IOAC1[#Data],4,FALSE))</f>
        <v>#REF!</v>
      </c>
      <c r="F12" s="296"/>
    </row>
    <row r="13" spans="1:13" ht="20.100000000000001" customHeight="1">
      <c r="A13" s="297" t="s">
        <v>35</v>
      </c>
      <c r="B13" s="297"/>
      <c r="C13" s="297"/>
      <c r="D13" s="34" t="str">
        <f>E5</f>
        <v>EBCI</v>
      </c>
      <c r="E13" s="298" t="str">
        <f>IF(ISNA(VLOOKUP(F1,IOAC1[],4,FALSE)),"",VLOOKUP(F1,IOAC1[],4,FALSE))</f>
        <v>Aeroport de Charleroi</v>
      </c>
      <c r="F13" s="298"/>
    </row>
    <row r="14" spans="1:13" ht="20.100000000000001" customHeight="1" thickBot="1">
      <c r="A14" s="35"/>
      <c r="B14" s="35"/>
      <c r="C14" s="35"/>
      <c r="D14" s="36"/>
      <c r="E14" s="37"/>
      <c r="F14" s="37"/>
    </row>
    <row r="15" spans="1:13" ht="20.100000000000001" customHeight="1">
      <c r="A15" s="299" t="s">
        <v>36</v>
      </c>
      <c r="B15" s="300"/>
      <c r="C15" s="300"/>
      <c r="D15" s="300"/>
      <c r="E15" s="300"/>
      <c r="F15" s="38"/>
      <c r="G15" s="39"/>
    </row>
    <row r="16" spans="1:13" ht="15.95" customHeight="1" thickBot="1">
      <c r="A16" s="301"/>
      <c r="B16" s="302"/>
      <c r="C16" s="302"/>
      <c r="D16" s="302"/>
      <c r="E16" s="302"/>
      <c r="F16" s="40"/>
      <c r="G16" s="39"/>
      <c r="H16" s="41"/>
      <c r="I16" s="41"/>
      <c r="J16" s="41"/>
      <c r="K16" s="41"/>
    </row>
    <row r="17" spans="1:11" ht="20.100000000000001" customHeight="1" thickBot="1">
      <c r="A17" s="42" t="s">
        <v>5</v>
      </c>
      <c r="B17" s="43" t="s">
        <v>37</v>
      </c>
      <c r="C17" s="303">
        <f ca="1">A3</f>
        <v>43149</v>
      </c>
      <c r="D17" s="304"/>
      <c r="E17" s="44" t="s">
        <v>38</v>
      </c>
      <c r="F17" s="45">
        <f>IF(ISNA(VLOOKUP(H3,AVION1[],8,FALSE)),"",VLOOKUP(H3,AVION1[],8,FALSE))</f>
        <v>1107.82</v>
      </c>
      <c r="G17" s="41"/>
      <c r="H17" s="41"/>
      <c r="I17" s="41"/>
      <c r="J17" s="41"/>
      <c r="K17" s="41"/>
    </row>
    <row r="18" spans="1:11" ht="20.100000000000001" customHeight="1">
      <c r="A18" s="46" t="str">
        <f>H3</f>
        <v>OO-ALD</v>
      </c>
      <c r="B18" s="47" t="s">
        <v>39</v>
      </c>
      <c r="C18" s="291" t="s">
        <v>40</v>
      </c>
      <c r="D18" s="292"/>
      <c r="E18" s="48" t="s">
        <v>41</v>
      </c>
      <c r="F18" s="49">
        <f>IF(ISNA(VLOOKUP(H3,AVION1[],9,FALSE)),"",VLOOKUP(H3,AVION1[],9,FALSE))</f>
        <v>32.68</v>
      </c>
      <c r="G18" s="41"/>
      <c r="H18" s="41"/>
      <c r="I18" s="41"/>
      <c r="J18" s="41"/>
      <c r="K18" s="41"/>
    </row>
    <row r="19" spans="1:11" ht="20.100000000000001" customHeight="1" thickBot="1">
      <c r="A19" s="50" t="e">
        <f>IF(ISNA(VLOOKUP(H3,[2]!AVION1[#Data],2,FALSE)),"",VLOOKUP(H3,[2]!AVION1[#Data],2,FALSE))</f>
        <v>#REF!</v>
      </c>
      <c r="B19" s="51"/>
      <c r="C19" s="51"/>
      <c r="D19" s="51"/>
      <c r="E19" s="52" t="s">
        <v>42</v>
      </c>
      <c r="F19" s="53">
        <f>IF(ISNA(VLOOKUP(H3,AVION1[],10,FALSE)),"",VLOOKUP(H3,AVION1[],10,FALSE))</f>
        <v>1600</v>
      </c>
      <c r="G19" s="41"/>
      <c r="H19" s="41"/>
      <c r="I19" s="41"/>
      <c r="J19" s="41"/>
      <c r="K19" s="41"/>
    </row>
    <row r="20" spans="1:11" ht="20.100000000000001" customHeight="1">
      <c r="A20" s="54" t="e">
        <f>IF(ISNA(VLOOKUP(H3,[2]!AVION1[#Data],5,FALSE)),"",VLOOKUP(H3,[2]!AVION1[#Data],5,FALSE))</f>
        <v>#REF!</v>
      </c>
      <c r="B20" s="55" t="s">
        <v>43</v>
      </c>
      <c r="C20" s="56" t="s">
        <v>44</v>
      </c>
      <c r="D20" s="56" t="s">
        <v>45</v>
      </c>
      <c r="E20" s="56" t="s">
        <v>46</v>
      </c>
      <c r="F20" s="56" t="s">
        <v>47</v>
      </c>
      <c r="G20" s="41"/>
      <c r="H20" s="41"/>
      <c r="I20" s="41"/>
      <c r="J20" s="41"/>
      <c r="K20" s="41"/>
    </row>
    <row r="21" spans="1:11" ht="20.100000000000001" customHeight="1" thickBot="1">
      <c r="A21" s="54" t="e">
        <f>IF(ISNA(VLOOKUP(H3,[2]!AVION1[#Data],6,FALSE)),"",VLOOKUP(H3,[2]!AVION1[#Data],6,FALSE))</f>
        <v>#REF!</v>
      </c>
      <c r="B21" s="57"/>
      <c r="C21" s="58"/>
      <c r="D21" s="58"/>
      <c r="E21" s="58"/>
      <c r="F21" s="58"/>
      <c r="G21" s="41"/>
      <c r="H21" s="41"/>
      <c r="I21" s="41"/>
      <c r="J21" s="41"/>
      <c r="K21" s="41"/>
    </row>
    <row r="22" spans="1:11" ht="20.100000000000001" customHeight="1">
      <c r="B22" s="59" t="s">
        <v>48</v>
      </c>
      <c r="C22" s="60">
        <v>63</v>
      </c>
      <c r="D22" s="61">
        <f>C22*2.20462</f>
        <v>138.89105999999998</v>
      </c>
      <c r="E22" s="62">
        <f>IF(ISNA(VLOOKUP(H3,AVION1[],11,FALSE)),"",VLOOKUP(H3,AVION1[],11,FALSE))</f>
        <v>39</v>
      </c>
      <c r="F22" s="63">
        <f>E22*D22</f>
        <v>5416.7513399999989</v>
      </c>
      <c r="G22" s="41"/>
      <c r="H22" s="41"/>
      <c r="I22" s="41"/>
      <c r="J22" s="41"/>
      <c r="K22" s="41"/>
    </row>
    <row r="23" spans="1:11" ht="20.100000000000001" customHeight="1">
      <c r="B23" s="64" t="s">
        <v>49</v>
      </c>
      <c r="C23" s="60">
        <v>65</v>
      </c>
      <c r="D23" s="61">
        <f>C23*2.20462</f>
        <v>143.30029999999999</v>
      </c>
      <c r="E23" s="65">
        <f>IF(ISNA(VLOOKUP(H3,AVION1[],11,FALSE)),"",VLOOKUP(H3,AVION1[],11,FALSE))</f>
        <v>39</v>
      </c>
      <c r="F23" s="63">
        <f>E23*D23</f>
        <v>5588.7116999999998</v>
      </c>
      <c r="G23" s="41"/>
      <c r="H23" s="41"/>
      <c r="I23" s="41"/>
      <c r="J23" s="41"/>
      <c r="K23" s="41"/>
    </row>
    <row r="24" spans="1:11" ht="20.100000000000001" customHeight="1">
      <c r="B24" s="66" t="s">
        <v>50</v>
      </c>
      <c r="C24" s="67">
        <v>90</v>
      </c>
      <c r="D24" s="61">
        <f>C24*2.20462</f>
        <v>198.41579999999999</v>
      </c>
      <c r="E24" s="68">
        <f>IF(ISNA(VLOOKUP(H3,AVION1[],17,FALSE)),"",VLOOKUP(H3,AVION1[],17,FALSE))</f>
        <v>0</v>
      </c>
      <c r="F24" s="63">
        <f>E24*D24</f>
        <v>0</v>
      </c>
      <c r="G24" s="41"/>
      <c r="H24" s="41"/>
      <c r="I24" s="41"/>
      <c r="J24" s="41"/>
      <c r="K24" s="41"/>
    </row>
    <row r="25" spans="1:11" ht="20.100000000000001" customHeight="1" thickBot="1">
      <c r="B25" s="69" t="s">
        <v>51</v>
      </c>
      <c r="C25" s="60"/>
      <c r="D25" s="61" t="e">
        <f>IF(ISNA(VLOOKUP(H3,[2]!AVION1[#Data],13,FALSE)),"",VLOOKUP(H3,[2]!AVION1[#Data],13,FALSE))</f>
        <v>#REF!</v>
      </c>
      <c r="E25" s="65">
        <f>IF(ISNA(VLOOKUP(H3,AVION1[],12,FALSE)),"",VLOOKUP(H3,AVION1[],12,FALSE))</f>
        <v>-9</v>
      </c>
      <c r="F25" s="63" t="e">
        <f>E25*D25</f>
        <v>#REF!</v>
      </c>
      <c r="G25" s="41"/>
      <c r="H25" s="41"/>
      <c r="I25" s="41"/>
      <c r="J25" s="41"/>
      <c r="K25" s="41"/>
    </row>
    <row r="26" spans="1:11" ht="20.100000000000001" customHeight="1" thickBot="1">
      <c r="B26" s="57"/>
      <c r="C26" s="70"/>
      <c r="D26" s="71"/>
      <c r="E26" s="72"/>
      <c r="F26" s="73"/>
      <c r="G26" s="41"/>
      <c r="H26" s="41"/>
      <c r="I26" s="41"/>
      <c r="J26" s="41"/>
      <c r="K26" s="41"/>
    </row>
    <row r="27" spans="1:11" ht="20.100000000000001" customHeight="1">
      <c r="B27" s="59" t="s">
        <v>52</v>
      </c>
      <c r="C27" s="74">
        <v>250</v>
      </c>
      <c r="D27" s="61">
        <f>(C27*0.72)*2.20462</f>
        <v>396.83159999999998</v>
      </c>
      <c r="E27" s="65">
        <f>IF(ISNA(VLOOKUP(H3,AVION1[],16,FALSE)),"",VLOOKUP(H3,AVION1[],16,FALSE))</f>
        <v>42</v>
      </c>
      <c r="F27" s="63">
        <f>E27*D27</f>
        <v>16666.927199999998</v>
      </c>
      <c r="G27" s="41"/>
      <c r="H27" s="41"/>
      <c r="I27" s="41"/>
      <c r="J27" s="41"/>
      <c r="K27" s="41"/>
    </row>
    <row r="28" spans="1:11" ht="20.100000000000001" customHeight="1" thickBot="1">
      <c r="B28" s="69" t="s">
        <v>53</v>
      </c>
      <c r="C28" s="75" t="e">
        <f>fuel-'[2]LOG NAV'!G35</f>
        <v>#REF!</v>
      </c>
      <c r="D28" s="61" t="e">
        <f>(C28*0.72)*2.20462</f>
        <v>#REF!</v>
      </c>
      <c r="E28" s="65">
        <f>IF(ISNA(VLOOKUP(H3,AVION1[],16,FALSE)),"",VLOOKUP(H3,AVION1[],16,FALSE))</f>
        <v>42</v>
      </c>
      <c r="F28" s="63" t="e">
        <f>E28*D28</f>
        <v>#REF!</v>
      </c>
      <c r="G28" s="41"/>
      <c r="H28" s="41"/>
      <c r="I28" s="41"/>
      <c r="J28" s="41"/>
      <c r="K28" s="41"/>
    </row>
    <row r="29" spans="1:11" ht="20.100000000000001" customHeight="1">
      <c r="B29" s="57"/>
      <c r="C29" s="70"/>
      <c r="D29" s="71"/>
      <c r="E29" s="72"/>
      <c r="F29" s="73"/>
      <c r="G29" s="41"/>
      <c r="H29" s="41"/>
      <c r="I29" s="41"/>
      <c r="J29" s="41"/>
      <c r="K29" s="41"/>
    </row>
    <row r="30" spans="1:11" ht="20.100000000000001" customHeight="1">
      <c r="B30" s="76" t="s">
        <v>54</v>
      </c>
      <c r="C30" s="77">
        <v>10</v>
      </c>
      <c r="D30" s="61">
        <f>C30*2.20462</f>
        <v>22.046199999999999</v>
      </c>
      <c r="E30" s="65">
        <f>IF(ISNA(VLOOKUP(H3,AVION1[],14,FALSE)),"",VLOOKUP(H3,AVION1[],14,FALSE))</f>
        <v>65</v>
      </c>
      <c r="F30" s="63">
        <f>E30*D30</f>
        <v>1433.0029999999999</v>
      </c>
      <c r="G30" s="41"/>
      <c r="H30" s="41"/>
      <c r="I30" s="41"/>
      <c r="J30" s="41"/>
      <c r="K30" s="41"/>
    </row>
    <row r="31" spans="1:11" ht="20.100000000000001" customHeight="1" thickBot="1">
      <c r="B31" s="57"/>
      <c r="C31" s="70"/>
      <c r="D31" s="71"/>
      <c r="E31" s="72"/>
      <c r="F31" s="73"/>
      <c r="G31" s="41"/>
      <c r="H31" s="41"/>
      <c r="I31" s="41"/>
      <c r="J31" s="41"/>
      <c r="K31" s="41"/>
    </row>
    <row r="32" spans="1:11" ht="20.100000000000001" customHeight="1" thickBot="1">
      <c r="B32" s="78" t="s">
        <v>55</v>
      </c>
      <c r="C32" s="60">
        <v>0</v>
      </c>
      <c r="D32" s="61">
        <f>C32*2.20462</f>
        <v>0</v>
      </c>
      <c r="E32" s="65">
        <f>IF(ISNA(VLOOKUP(H3,AVION1[],15,FALSE)),"",VLOOKUP(H3,AVION1[],15,FALSE))</f>
        <v>80</v>
      </c>
      <c r="F32" s="63">
        <f>E32*D32</f>
        <v>0</v>
      </c>
      <c r="G32" s="41"/>
      <c r="H32" s="41"/>
      <c r="I32" s="41"/>
      <c r="J32" s="41"/>
      <c r="K32" s="41"/>
    </row>
    <row r="33" spans="1:11" ht="20.100000000000001" customHeight="1">
      <c r="A33" s="79"/>
      <c r="C33" s="80" t="s">
        <v>56</v>
      </c>
      <c r="D33" s="61">
        <f>F17</f>
        <v>1107.82</v>
      </c>
      <c r="E33" s="65">
        <f>F18</f>
        <v>32.68</v>
      </c>
      <c r="F33" s="63">
        <f>E33*D33</f>
        <v>36203.5576</v>
      </c>
      <c r="G33" s="41"/>
      <c r="H33" s="41"/>
      <c r="I33" s="41"/>
      <c r="J33" s="41"/>
      <c r="K33" s="41"/>
    </row>
    <row r="34" spans="1:11" ht="20.100000000000001" customHeight="1">
      <c r="A34" s="79"/>
      <c r="C34" s="80" t="s">
        <v>57</v>
      </c>
      <c r="D34" s="81" t="e">
        <f>D32+D30+D27+D24+D25+D23+D22+D33</f>
        <v>#REF!</v>
      </c>
      <c r="E34" s="82" t="e">
        <f>F34/D34</f>
        <v>#REF!</v>
      </c>
      <c r="F34" s="63" t="e">
        <f>F32+F30+F27+F25+F23+F24+F22+F33</f>
        <v>#REF!</v>
      </c>
      <c r="G34" s="41"/>
      <c r="H34" s="41"/>
      <c r="I34" s="41"/>
      <c r="J34" s="41"/>
      <c r="K34" s="41"/>
    </row>
    <row r="35" spans="1:11" ht="20.100000000000001" customHeight="1" thickBot="1">
      <c r="A35" s="79"/>
      <c r="C35" s="233" t="s">
        <v>58</v>
      </c>
      <c r="D35" s="81" t="e">
        <f>D32+D30+D28+D24+D25+D23+D22+D33</f>
        <v>#REF!</v>
      </c>
      <c r="E35" s="82" t="e">
        <f>F35/D35</f>
        <v>#REF!</v>
      </c>
      <c r="F35" s="63" t="e">
        <f>F32+F30+F28+F25+F23+F24+F22+F33</f>
        <v>#REF!</v>
      </c>
      <c r="G35" s="41"/>
      <c r="H35" s="41"/>
      <c r="I35" s="41"/>
      <c r="J35" s="41"/>
      <c r="K35" s="41"/>
    </row>
    <row r="36" spans="1:11" ht="20.100000000000001" customHeight="1">
      <c r="A36" s="79"/>
      <c r="C36" s="293" t="str">
        <f>IF(ISNA(VLOOKUP(H3,AVION1[],18,FALSE)),"",VLOOKUP(H3,AVION1[],18,FALSE))</f>
        <v>Graphique1</v>
      </c>
      <c r="D36" s="232"/>
      <c r="E36" s="83"/>
      <c r="F36" s="84"/>
      <c r="G36" s="41"/>
      <c r="H36" s="41"/>
      <c r="I36" s="41"/>
      <c r="J36" s="41"/>
      <c r="K36" s="41"/>
    </row>
    <row r="37" spans="1:11" ht="20.100000000000001" customHeight="1" thickBot="1">
      <c r="A37" s="85"/>
      <c r="B37" s="86"/>
      <c r="C37" s="294"/>
      <c r="D37" s="86"/>
      <c r="E37" s="86"/>
      <c r="F37" s="87"/>
      <c r="G37" s="41"/>
      <c r="H37" s="41"/>
      <c r="I37" s="41"/>
      <c r="J37" s="41"/>
      <c r="K37" s="41"/>
    </row>
    <row r="38" spans="1:11">
      <c r="A38" s="79"/>
      <c r="B38" s="41"/>
      <c r="C38" s="41"/>
      <c r="D38" s="41"/>
      <c r="E38" s="41"/>
      <c r="F38" s="41"/>
      <c r="G38" s="41"/>
      <c r="H38" s="41"/>
      <c r="I38" s="41"/>
      <c r="J38" s="41"/>
      <c r="K38" s="41"/>
    </row>
    <row r="39" spans="1:11">
      <c r="A39" s="41"/>
      <c r="B39" s="41"/>
      <c r="C39" s="41"/>
      <c r="D39" s="41"/>
      <c r="E39" s="41"/>
      <c r="F39" s="41"/>
      <c r="G39" s="41"/>
      <c r="H39" s="41"/>
      <c r="I39" s="41"/>
      <c r="J39" s="41"/>
      <c r="K39" s="41"/>
    </row>
  </sheetData>
  <mergeCells count="29">
    <mergeCell ref="A8:C8"/>
    <mergeCell ref="E8:F8"/>
    <mergeCell ref="A1:E1"/>
    <mergeCell ref="G1:K1"/>
    <mergeCell ref="A2:B2"/>
    <mergeCell ref="A3:B3"/>
    <mergeCell ref="D3:E3"/>
    <mergeCell ref="F3:F4"/>
    <mergeCell ref="G3:G4"/>
    <mergeCell ref="A4:B4"/>
    <mergeCell ref="A5:C5"/>
    <mergeCell ref="A6:C6"/>
    <mergeCell ref="D6:E6"/>
    <mergeCell ref="A7:C7"/>
    <mergeCell ref="E7:F7"/>
    <mergeCell ref="A9:C9"/>
    <mergeCell ref="E9:F9"/>
    <mergeCell ref="A10:C10"/>
    <mergeCell ref="E10:F10"/>
    <mergeCell ref="A11:C11"/>
    <mergeCell ref="E11:F11"/>
    <mergeCell ref="C18:D18"/>
    <mergeCell ref="C36:C37"/>
    <mergeCell ref="A12:C12"/>
    <mergeCell ref="E12:F12"/>
    <mergeCell ref="A13:C13"/>
    <mergeCell ref="E13:F13"/>
    <mergeCell ref="A15:E16"/>
    <mergeCell ref="C17:D17"/>
  </mergeCells>
  <conditionalFormatting sqref="G34">
    <cfRule type="iconSet" priority="4">
      <iconSet showValue="0">
        <cfvo type="percent" val="0"/>
        <cfvo type="percent" val="31"/>
        <cfvo type="percent" val="38" gte="0"/>
      </iconSet>
    </cfRule>
  </conditionalFormatting>
  <conditionalFormatting sqref="E34">
    <cfRule type="cellIs" dxfId="1" priority="3" operator="between">
      <formula>$A$20</formula>
      <formula>$A$21</formula>
    </cfRule>
  </conditionalFormatting>
  <conditionalFormatting sqref="F15">
    <cfRule type="iconSet" priority="2">
      <iconSet iconSet="3Flags">
        <cfvo type="percent" val="0"/>
        <cfvo type="percent" val="33"/>
        <cfvo type="percent" val="67"/>
      </iconSet>
    </cfRule>
  </conditionalFormatting>
  <conditionalFormatting sqref="E35:E36">
    <cfRule type="cellIs" dxfId="0" priority="1" operator="between">
      <formula>$A$20</formula>
      <formula>$A$21</formula>
    </cfRule>
  </conditionalFormatting>
  <dataValidations count="1">
    <dataValidation type="list" allowBlank="1" showInputMessage="1" showErrorMessage="1" sqref="F6" xr:uid="{00000000-0002-0000-0400-000000000000}">
      <formula1>$N$18:$N$59</formula1>
    </dataValidation>
  </dataValidations>
  <pageMargins left="0.25" right="0.25" top="0.75" bottom="0.75" header="0.3" footer="0.3"/>
  <pageSetup paperSize="9" scale="9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2]!Bouton6_Cliquer">
                <anchor moveWithCells="1" sizeWithCells="1">
                  <from>
                    <xdr:col>9</xdr:col>
                    <xdr:colOff>647700</xdr:colOff>
                    <xdr:row>8</xdr:row>
                    <xdr:rowOff>9525</xdr:rowOff>
                  </from>
                  <to>
                    <xdr:col>11</xdr:col>
                    <xdr:colOff>0</xdr:colOff>
                    <xdr:row>9</xdr:row>
                    <xdr:rowOff>219075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 xr:uid="{00000000-0002-0000-0400-000001000000}">
          <x14:formula1>
            <xm:f>'C:\Users\bernardpenders\Desktop\[FlyOfficeV2.0.xlsm]Data'!#REF!</xm:f>
          </x14:formula1>
          <xm:sqref>C18</xm:sqref>
        </x14:dataValidation>
        <x14:dataValidation type="list" allowBlank="1" showInputMessage="1" showErrorMessage="1" xr:uid="{00000000-0002-0000-0400-000002000000}">
          <x14:formula1>
            <xm:f>'C:\Users\bernardpenders\Desktop\[FlyOfficeV2.0.xlsm]Data'!#REF!</xm:f>
          </x14:formula1>
          <xm:sqref>C22:C24</xm:sqref>
        </x14:dataValidation>
        <x14:dataValidation type="list" allowBlank="1" showInputMessage="1" showErrorMessage="1" xr:uid="{00000000-0002-0000-0400-000003000000}">
          <x14:formula1>
            <xm:f>'C:\Users\bernardpenders\Desktop\[FlyOfficeV2.0.xlsm]Data'!#REF!</xm:f>
          </x14:formula1>
          <xm:sqref>D5:E5</xm:sqref>
        </x14:dataValidation>
        <x14:dataValidation type="list" allowBlank="1" showInputMessage="1" showErrorMessage="1" xr:uid="{00000000-0002-0000-0400-000004000000}">
          <x14:formula1>
            <xm:f>'C:\Users\bernardpenders\Desktop\[FlyOfficeV2.0.xlsm]Data'!#REF!</xm:f>
          </x14:formula1>
          <xm:sqref>D8:D12</xm:sqref>
        </x14:dataValidation>
        <x14:dataValidation type="list" allowBlank="1" showInputMessage="1" showErrorMessage="1" xr:uid="{00000000-0002-0000-0400-000005000000}">
          <x14:formula1>
            <xm:f>Data!$A$3:$A$19</xm:f>
          </x14:formula1>
          <xm:sqref>H3</xm:sqref>
        </x14:dataValidation>
        <x14:dataValidation type="list" allowBlank="1" showInputMessage="1" showErrorMessage="1" xr:uid="{00000000-0002-0000-0400-000006000000}">
          <x14:formula1>
            <xm:f>'C:\Users\bernardpenders\Desktop\[FlyOfficeV2.0.xlsm]Data'!#REF!</xm:f>
          </x14:formula1>
          <xm:sqref>A6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Feuilles de calcul</vt:lpstr>
      </vt:variant>
      <vt:variant>
        <vt:i4>3</vt:i4>
      </vt:variant>
      <vt:variant>
        <vt:lpstr>Graphiques</vt:lpstr>
      </vt:variant>
      <vt:variant>
        <vt:i4>2</vt:i4>
      </vt:variant>
      <vt:variant>
        <vt:lpstr>Plages nommées</vt:lpstr>
      </vt:variant>
      <vt:variant>
        <vt:i4>23</vt:i4>
      </vt:variant>
    </vt:vector>
  </HeadingPairs>
  <TitlesOfParts>
    <vt:vector size="28" baseType="lpstr">
      <vt:lpstr>LOG NAV</vt:lpstr>
      <vt:lpstr>Data</vt:lpstr>
      <vt:lpstr>PREPARATION nav</vt:lpstr>
      <vt:lpstr>Graphique1</vt:lpstr>
      <vt:lpstr>Graphique2</vt:lpstr>
      <vt:lpstr>_05_10_2016</vt:lpstr>
      <vt:lpstr>Arrivee</vt:lpstr>
      <vt:lpstr>Autono</vt:lpstr>
      <vt:lpstr>Autovol</vt:lpstr>
      <vt:lpstr>Choix</vt:lpstr>
      <vt:lpstr>Conso</vt:lpstr>
      <vt:lpstr>derive5</vt:lpstr>
      <vt:lpstr>ETA</vt:lpstr>
      <vt:lpstr>ETD</vt:lpstr>
      <vt:lpstr>fuel</vt:lpstr>
      <vt:lpstr>Point1</vt:lpstr>
      <vt:lpstr>Point2</vt:lpstr>
      <vt:lpstr>Point3</vt:lpstr>
      <vt:lpstr>Point4</vt:lpstr>
      <vt:lpstr>Point5</vt:lpstr>
      <vt:lpstr>TANK</vt:lpstr>
      <vt:lpstr>TAS</vt:lpstr>
      <vt:lpstr>totalfuel</vt:lpstr>
      <vt:lpstr>Ttth</vt:lpstr>
      <vt:lpstr>WINd</vt:lpstr>
      <vt:lpstr>WINf</vt:lpstr>
      <vt:lpstr>'LOG NAV'!Zone_d_impression</vt:lpstr>
      <vt:lpstr>'PREPARATION nav'!Zone_d_impression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Patricia</cp:lastModifiedBy>
  <dcterms:created xsi:type="dcterms:W3CDTF">2018-02-18T10:45:01Z</dcterms:created>
  <dcterms:modified xsi:type="dcterms:W3CDTF">2018-02-18T11:42:04Z</dcterms:modified>
</cp:coreProperties>
</file>