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ichelballet/Desktop/"/>
    </mc:Choice>
  </mc:AlternateContent>
  <bookViews>
    <workbookView xWindow="80" yWindow="1420" windowWidth="27760" windowHeight="16240" tabRatio="500"/>
  </bookViews>
  <sheets>
    <sheet name="aaaaa" sheetId="1" r:id="rId1"/>
    <sheet name="bbbbb" sheetId="2" r:id="rId2"/>
    <sheet name="ccccc" sheetId="3" r:id="rId3"/>
    <sheet name="ddddd" sheetId="4" r:id="rId4"/>
    <sheet name="eeeee" sheetId="5" r:id="rId5"/>
  </sheets>
  <externalReferences>
    <externalReference r:id="rId6"/>
    <externalReference r:id="rId7"/>
    <externalReference r:id="rId8"/>
  </externalReferences>
  <definedNames>
    <definedName name="artim" localSheetId="0">[1]travail!#REF!</definedName>
    <definedName name="artim" localSheetId="1">[2]travail!#REF!</definedName>
    <definedName name="artim" localSheetId="2">[1]travail!#REF!</definedName>
    <definedName name="artim" localSheetId="3">[1]travail!#REF!</definedName>
    <definedName name="artim" localSheetId="4">[1]travail!#REF!</definedName>
    <definedName name="artim">[1]travail!#REF!</definedName>
    <definedName name="concour2">[3]Feuil1!$C$4</definedName>
    <definedName name="concour4">[3]Feuil1!$E$4</definedName>
    <definedName name="concours3">[3]Feuil1!$D$4</definedName>
    <definedName name="FRANCK" localSheetId="0">#REF!</definedName>
    <definedName name="FRANCK" localSheetId="1">#REF!</definedName>
    <definedName name="FRANCK" localSheetId="2">#REF!</definedName>
    <definedName name="FRANCK" localSheetId="3">#REF!</definedName>
    <definedName name="FRANCK">#REF!</definedName>
    <definedName name="MOIS" localSheetId="0">aaaaa!$E$1</definedName>
    <definedName name="MOIS" localSheetId="1">bbbbb!$E$1</definedName>
    <definedName name="MOIS" localSheetId="2">ccccc!$E$1</definedName>
    <definedName name="MOIS" localSheetId="3">ddddd!$E$1</definedName>
    <definedName name="MOIS" localSheetId="4">eeeee!$E$1</definedName>
    <definedName name="MOIS">#REF!</definedName>
    <definedName name="NOM" localSheetId="0">aaaaa!$F$4:$G$4</definedName>
    <definedName name="NOM" localSheetId="1">bbbbb!$F$4:$G$4</definedName>
    <definedName name="NOM" localSheetId="2">ccccc!$F$4:$G$4</definedName>
    <definedName name="NOM" localSheetId="3">ddddd!$F$4:$G$4</definedName>
    <definedName name="NOM" localSheetId="4">eeeee!$F$4:$G$4</definedName>
    <definedName name="NOM">#REF!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5" l="1"/>
  <c r="F8" i="5"/>
  <c r="G8" i="5"/>
  <c r="F75" i="5"/>
  <c r="A10" i="5"/>
  <c r="E9" i="5"/>
  <c r="F9" i="5"/>
  <c r="G9" i="5"/>
  <c r="E10" i="5"/>
  <c r="F10" i="5"/>
  <c r="G10" i="5"/>
  <c r="E11" i="5"/>
  <c r="F11" i="5"/>
  <c r="G11" i="5"/>
  <c r="F12" i="5"/>
  <c r="G12" i="5"/>
  <c r="E13" i="5"/>
  <c r="F13" i="5"/>
  <c r="G13" i="5"/>
  <c r="F14" i="5"/>
  <c r="G14" i="5"/>
  <c r="E15" i="5"/>
  <c r="F15" i="5"/>
  <c r="G15" i="5"/>
  <c r="G52" i="5"/>
  <c r="F77" i="5"/>
  <c r="F86" i="5"/>
  <c r="F87" i="5"/>
  <c r="H7" i="5"/>
  <c r="F76" i="5"/>
  <c r="H9" i="5"/>
  <c r="H10" i="5"/>
  <c r="H11" i="5"/>
  <c r="H12" i="5"/>
  <c r="H13" i="5"/>
  <c r="H15" i="5"/>
  <c r="E17" i="5"/>
  <c r="F17" i="5"/>
  <c r="H17" i="5"/>
  <c r="A19" i="5"/>
  <c r="E18" i="5"/>
  <c r="F18" i="5"/>
  <c r="H18" i="5"/>
  <c r="E19" i="5"/>
  <c r="F19" i="5"/>
  <c r="H19" i="5"/>
  <c r="E20" i="5"/>
  <c r="F20" i="5"/>
  <c r="H20" i="5"/>
  <c r="E21" i="5"/>
  <c r="F21" i="5"/>
  <c r="H21" i="5"/>
  <c r="F22" i="5"/>
  <c r="H22" i="5"/>
  <c r="D23" i="5"/>
  <c r="E23" i="5"/>
  <c r="F23" i="5"/>
  <c r="H23" i="5"/>
  <c r="D24" i="5"/>
  <c r="E24" i="5"/>
  <c r="F24" i="5"/>
  <c r="H24" i="5"/>
  <c r="D25" i="5"/>
  <c r="E25" i="5"/>
  <c r="F25" i="5"/>
  <c r="H25" i="5"/>
  <c r="D26" i="5"/>
  <c r="E26" i="5"/>
  <c r="F26" i="5"/>
  <c r="H26" i="5"/>
  <c r="D27" i="5"/>
  <c r="E27" i="5"/>
  <c r="F27" i="5"/>
  <c r="H27" i="5"/>
  <c r="D33" i="5"/>
  <c r="E33" i="5"/>
  <c r="F33" i="5"/>
  <c r="H33" i="5"/>
  <c r="D34" i="5"/>
  <c r="E34" i="5"/>
  <c r="F34" i="5"/>
  <c r="H34" i="5"/>
  <c r="D35" i="5"/>
  <c r="E35" i="5"/>
  <c r="F35" i="5"/>
  <c r="H35" i="5"/>
  <c r="D36" i="5"/>
  <c r="E36" i="5"/>
  <c r="F36" i="5"/>
  <c r="H36" i="5"/>
  <c r="D37" i="5"/>
  <c r="E37" i="5"/>
  <c r="F37" i="5"/>
  <c r="H37" i="5"/>
  <c r="D38" i="5"/>
  <c r="E38" i="5"/>
  <c r="F38" i="5"/>
  <c r="H38" i="5"/>
  <c r="D39" i="5"/>
  <c r="E39" i="5"/>
  <c r="F39" i="5"/>
  <c r="H39" i="5"/>
  <c r="D40" i="5"/>
  <c r="E40" i="5"/>
  <c r="F40" i="5"/>
  <c r="H40" i="5"/>
  <c r="D41" i="5"/>
  <c r="E41" i="5"/>
  <c r="F41" i="5"/>
  <c r="H41" i="5"/>
  <c r="D42" i="5"/>
  <c r="E42" i="5"/>
  <c r="F42" i="5"/>
  <c r="H42" i="5"/>
  <c r="D43" i="5"/>
  <c r="F43" i="5"/>
  <c r="H43" i="5"/>
  <c r="E45" i="5"/>
  <c r="F45" i="5"/>
  <c r="H45" i="5"/>
  <c r="E46" i="5"/>
  <c r="F46" i="5"/>
  <c r="H46" i="5"/>
  <c r="F47" i="5"/>
  <c r="H47" i="5"/>
  <c r="E48" i="5"/>
  <c r="F48" i="5"/>
  <c r="H48" i="5"/>
  <c r="E49" i="5"/>
  <c r="F49" i="5"/>
  <c r="H49" i="5"/>
  <c r="E50" i="5"/>
  <c r="F50" i="5"/>
  <c r="H50" i="5"/>
  <c r="F51" i="5"/>
  <c r="H51" i="5"/>
  <c r="H52" i="5"/>
  <c r="F78" i="5"/>
  <c r="F88" i="5"/>
  <c r="F89" i="5"/>
  <c r="D28" i="5"/>
  <c r="F28" i="5"/>
  <c r="K28" i="5"/>
  <c r="D29" i="5"/>
  <c r="F29" i="5"/>
  <c r="K29" i="5"/>
  <c r="D30" i="5"/>
  <c r="F30" i="5"/>
  <c r="K30" i="5"/>
  <c r="D31" i="5"/>
  <c r="F31" i="5"/>
  <c r="K31" i="5"/>
  <c r="D32" i="5"/>
  <c r="F32" i="5"/>
  <c r="K32" i="5"/>
  <c r="L43" i="5"/>
  <c r="F79" i="5"/>
  <c r="F90" i="5"/>
  <c r="F92" i="5"/>
  <c r="A79" i="5"/>
  <c r="D71" i="5"/>
  <c r="D70" i="5"/>
  <c r="D69" i="5"/>
  <c r="E62" i="5"/>
  <c r="J7" i="5"/>
  <c r="J9" i="5"/>
  <c r="J10" i="5"/>
  <c r="J11" i="5"/>
  <c r="J13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33" i="5"/>
  <c r="J34" i="5"/>
  <c r="J35" i="5"/>
  <c r="J36" i="5"/>
  <c r="J37" i="5"/>
  <c r="J38" i="5"/>
  <c r="J39" i="5"/>
  <c r="J40" i="5"/>
  <c r="J41" i="5"/>
  <c r="J42" i="5"/>
  <c r="J45" i="5"/>
  <c r="J46" i="5"/>
  <c r="J48" i="5"/>
  <c r="J49" i="5"/>
  <c r="J50" i="5"/>
  <c r="J51" i="5"/>
  <c r="J52" i="5"/>
  <c r="J53" i="5"/>
  <c r="J54" i="5"/>
  <c r="J55" i="5"/>
  <c r="I7" i="5"/>
  <c r="I9" i="5"/>
  <c r="I10" i="5"/>
  <c r="I11" i="5"/>
  <c r="I12" i="5"/>
  <c r="I13" i="5"/>
  <c r="I15" i="5"/>
  <c r="I52" i="5"/>
  <c r="I53" i="5"/>
  <c r="I54" i="5"/>
  <c r="I55" i="5"/>
  <c r="F7" i="5"/>
  <c r="F16" i="5"/>
  <c r="F44" i="5"/>
  <c r="F52" i="5"/>
  <c r="F53" i="5"/>
  <c r="K52" i="5"/>
  <c r="L51" i="5"/>
  <c r="L50" i="5"/>
  <c r="L49" i="5"/>
  <c r="L48" i="5"/>
  <c r="L47" i="5"/>
  <c r="L46" i="5"/>
  <c r="L45" i="5"/>
  <c r="L44" i="5"/>
  <c r="L42" i="5"/>
  <c r="B42" i="5"/>
  <c r="L41" i="5"/>
  <c r="B41" i="5"/>
  <c r="L40" i="5"/>
  <c r="B40" i="5"/>
  <c r="L39" i="5"/>
  <c r="B39" i="5"/>
  <c r="L38" i="5"/>
  <c r="B38" i="5"/>
  <c r="L37" i="5"/>
  <c r="B37" i="5"/>
  <c r="L36" i="5"/>
  <c r="B36" i="5"/>
  <c r="L35" i="5"/>
  <c r="B35" i="5"/>
  <c r="L34" i="5"/>
  <c r="B34" i="5"/>
  <c r="L33" i="5"/>
  <c r="B33" i="5"/>
  <c r="L32" i="5"/>
  <c r="B32" i="5"/>
  <c r="L31" i="5"/>
  <c r="B31" i="5"/>
  <c r="L30" i="5"/>
  <c r="B30" i="5"/>
  <c r="L29" i="5"/>
  <c r="B29" i="5"/>
  <c r="L28" i="5"/>
  <c r="B28" i="5"/>
  <c r="L27" i="5"/>
  <c r="B27" i="5"/>
  <c r="L26" i="5"/>
  <c r="B26" i="5"/>
  <c r="L25" i="5"/>
  <c r="B25" i="5"/>
  <c r="L24" i="5"/>
  <c r="B24" i="5"/>
  <c r="L23" i="5"/>
  <c r="B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B7" i="5"/>
  <c r="E1" i="5"/>
  <c r="G7" i="4"/>
  <c r="F8" i="4"/>
  <c r="G8" i="4"/>
  <c r="F75" i="4"/>
  <c r="A10" i="4"/>
  <c r="E9" i="4"/>
  <c r="F9" i="4"/>
  <c r="G9" i="4"/>
  <c r="E10" i="4"/>
  <c r="F10" i="4"/>
  <c r="G10" i="4"/>
  <c r="E11" i="4"/>
  <c r="F11" i="4"/>
  <c r="G11" i="4"/>
  <c r="F12" i="4"/>
  <c r="G12" i="4"/>
  <c r="E13" i="4"/>
  <c r="F13" i="4"/>
  <c r="G13" i="4"/>
  <c r="F14" i="4"/>
  <c r="G14" i="4"/>
  <c r="E15" i="4"/>
  <c r="F15" i="4"/>
  <c r="G15" i="4"/>
  <c r="G52" i="4"/>
  <c r="F77" i="4"/>
  <c r="F86" i="4"/>
  <c r="F87" i="4"/>
  <c r="H7" i="4"/>
  <c r="F76" i="4"/>
  <c r="H9" i="4"/>
  <c r="H10" i="4"/>
  <c r="H11" i="4"/>
  <c r="H12" i="4"/>
  <c r="H13" i="4"/>
  <c r="H15" i="4"/>
  <c r="E17" i="4"/>
  <c r="F17" i="4"/>
  <c r="H17" i="4"/>
  <c r="A19" i="4"/>
  <c r="E18" i="4"/>
  <c r="F18" i="4"/>
  <c r="H18" i="4"/>
  <c r="E19" i="4"/>
  <c r="F19" i="4"/>
  <c r="H19" i="4"/>
  <c r="E20" i="4"/>
  <c r="F20" i="4"/>
  <c r="H20" i="4"/>
  <c r="E21" i="4"/>
  <c r="F21" i="4"/>
  <c r="H21" i="4"/>
  <c r="F22" i="4"/>
  <c r="H22" i="4"/>
  <c r="D23" i="4"/>
  <c r="E23" i="4"/>
  <c r="F23" i="4"/>
  <c r="H23" i="4"/>
  <c r="D24" i="4"/>
  <c r="E24" i="4"/>
  <c r="F24" i="4"/>
  <c r="H24" i="4"/>
  <c r="D25" i="4"/>
  <c r="E25" i="4"/>
  <c r="F25" i="4"/>
  <c r="H25" i="4"/>
  <c r="D26" i="4"/>
  <c r="E26" i="4"/>
  <c r="F26" i="4"/>
  <c r="H26" i="4"/>
  <c r="D27" i="4"/>
  <c r="E27" i="4"/>
  <c r="F27" i="4"/>
  <c r="H27" i="4"/>
  <c r="D33" i="4"/>
  <c r="E33" i="4"/>
  <c r="F33" i="4"/>
  <c r="H33" i="4"/>
  <c r="D34" i="4"/>
  <c r="E34" i="4"/>
  <c r="F34" i="4"/>
  <c r="H34" i="4"/>
  <c r="D35" i="4"/>
  <c r="E35" i="4"/>
  <c r="F35" i="4"/>
  <c r="H35" i="4"/>
  <c r="D36" i="4"/>
  <c r="E36" i="4"/>
  <c r="F36" i="4"/>
  <c r="H36" i="4"/>
  <c r="D37" i="4"/>
  <c r="E37" i="4"/>
  <c r="F37" i="4"/>
  <c r="H37" i="4"/>
  <c r="D38" i="4"/>
  <c r="E38" i="4"/>
  <c r="F38" i="4"/>
  <c r="H38" i="4"/>
  <c r="D39" i="4"/>
  <c r="E39" i="4"/>
  <c r="F39" i="4"/>
  <c r="H39" i="4"/>
  <c r="D40" i="4"/>
  <c r="E40" i="4"/>
  <c r="F40" i="4"/>
  <c r="H40" i="4"/>
  <c r="D41" i="4"/>
  <c r="E41" i="4"/>
  <c r="F41" i="4"/>
  <c r="H41" i="4"/>
  <c r="D42" i="4"/>
  <c r="E42" i="4"/>
  <c r="F42" i="4"/>
  <c r="H42" i="4"/>
  <c r="D43" i="4"/>
  <c r="F43" i="4"/>
  <c r="H43" i="4"/>
  <c r="E45" i="4"/>
  <c r="F45" i="4"/>
  <c r="H45" i="4"/>
  <c r="E46" i="4"/>
  <c r="F46" i="4"/>
  <c r="H46" i="4"/>
  <c r="F47" i="4"/>
  <c r="H47" i="4"/>
  <c r="E48" i="4"/>
  <c r="F48" i="4"/>
  <c r="H48" i="4"/>
  <c r="E49" i="4"/>
  <c r="F49" i="4"/>
  <c r="H49" i="4"/>
  <c r="E50" i="4"/>
  <c r="F50" i="4"/>
  <c r="H50" i="4"/>
  <c r="F51" i="4"/>
  <c r="H51" i="4"/>
  <c r="H52" i="4"/>
  <c r="F78" i="4"/>
  <c r="F88" i="4"/>
  <c r="F89" i="4"/>
  <c r="D28" i="4"/>
  <c r="F28" i="4"/>
  <c r="K28" i="4"/>
  <c r="D29" i="4"/>
  <c r="F29" i="4"/>
  <c r="K29" i="4"/>
  <c r="D30" i="4"/>
  <c r="F30" i="4"/>
  <c r="K30" i="4"/>
  <c r="D31" i="4"/>
  <c r="F31" i="4"/>
  <c r="K31" i="4"/>
  <c r="D32" i="4"/>
  <c r="F32" i="4"/>
  <c r="K32" i="4"/>
  <c r="F79" i="4"/>
  <c r="F90" i="4"/>
  <c r="F92" i="4"/>
  <c r="A79" i="4"/>
  <c r="D70" i="4"/>
  <c r="D69" i="4"/>
  <c r="E62" i="4"/>
  <c r="J7" i="4"/>
  <c r="J9" i="4"/>
  <c r="J10" i="4"/>
  <c r="J11" i="4"/>
  <c r="J13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33" i="4"/>
  <c r="J34" i="4"/>
  <c r="J35" i="4"/>
  <c r="J36" i="4"/>
  <c r="J37" i="4"/>
  <c r="J38" i="4"/>
  <c r="J39" i="4"/>
  <c r="J40" i="4"/>
  <c r="J41" i="4"/>
  <c r="J42" i="4"/>
  <c r="J45" i="4"/>
  <c r="J46" i="4"/>
  <c r="J48" i="4"/>
  <c r="J49" i="4"/>
  <c r="J50" i="4"/>
  <c r="J51" i="4"/>
  <c r="J52" i="4"/>
  <c r="J53" i="4"/>
  <c r="J54" i="4"/>
  <c r="J55" i="4"/>
  <c r="I7" i="4"/>
  <c r="I9" i="4"/>
  <c r="I10" i="4"/>
  <c r="I11" i="4"/>
  <c r="I12" i="4"/>
  <c r="I13" i="4"/>
  <c r="I15" i="4"/>
  <c r="I52" i="4"/>
  <c r="I53" i="4"/>
  <c r="I54" i="4"/>
  <c r="I55" i="4"/>
  <c r="F7" i="4"/>
  <c r="F16" i="4"/>
  <c r="F44" i="4"/>
  <c r="F52" i="4"/>
  <c r="F53" i="4"/>
  <c r="L51" i="4"/>
  <c r="L50" i="4"/>
  <c r="L49" i="4"/>
  <c r="L48" i="4"/>
  <c r="L47" i="4"/>
  <c r="L46" i="4"/>
  <c r="L45" i="4"/>
  <c r="L44" i="4"/>
  <c r="L43" i="4"/>
  <c r="L42" i="4"/>
  <c r="B42" i="4"/>
  <c r="L41" i="4"/>
  <c r="B41" i="4"/>
  <c r="L40" i="4"/>
  <c r="B40" i="4"/>
  <c r="L39" i="4"/>
  <c r="B39" i="4"/>
  <c r="L38" i="4"/>
  <c r="B38" i="4"/>
  <c r="L37" i="4"/>
  <c r="B37" i="4"/>
  <c r="L36" i="4"/>
  <c r="B36" i="4"/>
  <c r="L35" i="4"/>
  <c r="B35" i="4"/>
  <c r="L34" i="4"/>
  <c r="B34" i="4"/>
  <c r="L33" i="4"/>
  <c r="B33" i="4"/>
  <c r="L32" i="4"/>
  <c r="B32" i="4"/>
  <c r="L31" i="4"/>
  <c r="B31" i="4"/>
  <c r="L30" i="4"/>
  <c r="B30" i="4"/>
  <c r="L29" i="4"/>
  <c r="B29" i="4"/>
  <c r="L28" i="4"/>
  <c r="B28" i="4"/>
  <c r="L27" i="4"/>
  <c r="B27" i="4"/>
  <c r="L26" i="4"/>
  <c r="B26" i="4"/>
  <c r="L25" i="4"/>
  <c r="B25" i="4"/>
  <c r="L24" i="4"/>
  <c r="B24" i="4"/>
  <c r="L23" i="4"/>
  <c r="B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B7" i="4"/>
  <c r="E1" i="4"/>
  <c r="G7" i="3"/>
  <c r="F8" i="3"/>
  <c r="G8" i="3"/>
  <c r="F75" i="3"/>
  <c r="A10" i="3"/>
  <c r="E9" i="3"/>
  <c r="F9" i="3"/>
  <c r="G9" i="3"/>
  <c r="E10" i="3"/>
  <c r="F10" i="3"/>
  <c r="G10" i="3"/>
  <c r="E11" i="3"/>
  <c r="F11" i="3"/>
  <c r="G11" i="3"/>
  <c r="F12" i="3"/>
  <c r="G12" i="3"/>
  <c r="E13" i="3"/>
  <c r="F13" i="3"/>
  <c r="G13" i="3"/>
  <c r="F14" i="3"/>
  <c r="G14" i="3"/>
  <c r="E15" i="3"/>
  <c r="F15" i="3"/>
  <c r="G15" i="3"/>
  <c r="E17" i="3"/>
  <c r="F17" i="3"/>
  <c r="G17" i="3"/>
  <c r="A19" i="3"/>
  <c r="E18" i="3"/>
  <c r="F18" i="3"/>
  <c r="G18" i="3"/>
  <c r="E19" i="3"/>
  <c r="F19" i="3"/>
  <c r="G19" i="3"/>
  <c r="E20" i="3"/>
  <c r="F20" i="3"/>
  <c r="G20" i="3"/>
  <c r="E21" i="3"/>
  <c r="F21" i="3"/>
  <c r="G21" i="3"/>
  <c r="G52" i="3"/>
  <c r="F77" i="3"/>
  <c r="F86" i="3"/>
  <c r="F87" i="3"/>
  <c r="H7" i="3"/>
  <c r="F76" i="3"/>
  <c r="H9" i="3"/>
  <c r="H10" i="3"/>
  <c r="H11" i="3"/>
  <c r="H12" i="3"/>
  <c r="H13" i="3"/>
  <c r="H15" i="3"/>
  <c r="H17" i="3"/>
  <c r="H18" i="3"/>
  <c r="H19" i="3"/>
  <c r="H20" i="3"/>
  <c r="H21" i="3"/>
  <c r="F22" i="3"/>
  <c r="H22" i="3"/>
  <c r="D23" i="3"/>
  <c r="E23" i="3"/>
  <c r="F23" i="3"/>
  <c r="H23" i="3"/>
  <c r="D24" i="3"/>
  <c r="E24" i="3"/>
  <c r="F24" i="3"/>
  <c r="H24" i="3"/>
  <c r="D25" i="3"/>
  <c r="E25" i="3"/>
  <c r="F25" i="3"/>
  <c r="H25" i="3"/>
  <c r="D26" i="3"/>
  <c r="E26" i="3"/>
  <c r="F26" i="3"/>
  <c r="H26" i="3"/>
  <c r="D27" i="3"/>
  <c r="E27" i="3"/>
  <c r="F27" i="3"/>
  <c r="H27" i="3"/>
  <c r="D33" i="3"/>
  <c r="E33" i="3"/>
  <c r="F33" i="3"/>
  <c r="H33" i="3"/>
  <c r="D34" i="3"/>
  <c r="E34" i="3"/>
  <c r="F34" i="3"/>
  <c r="H34" i="3"/>
  <c r="D35" i="3"/>
  <c r="E35" i="3"/>
  <c r="F35" i="3"/>
  <c r="H35" i="3"/>
  <c r="D36" i="3"/>
  <c r="E36" i="3"/>
  <c r="F36" i="3"/>
  <c r="H36" i="3"/>
  <c r="D37" i="3"/>
  <c r="E37" i="3"/>
  <c r="F37" i="3"/>
  <c r="H37" i="3"/>
  <c r="D38" i="3"/>
  <c r="E38" i="3"/>
  <c r="F38" i="3"/>
  <c r="H38" i="3"/>
  <c r="D39" i="3"/>
  <c r="E39" i="3"/>
  <c r="F39" i="3"/>
  <c r="H39" i="3"/>
  <c r="D40" i="3"/>
  <c r="E40" i="3"/>
  <c r="F40" i="3"/>
  <c r="H40" i="3"/>
  <c r="D41" i="3"/>
  <c r="E41" i="3"/>
  <c r="F41" i="3"/>
  <c r="H41" i="3"/>
  <c r="D42" i="3"/>
  <c r="E42" i="3"/>
  <c r="F42" i="3"/>
  <c r="H42" i="3"/>
  <c r="D43" i="3"/>
  <c r="F43" i="3"/>
  <c r="H43" i="3"/>
  <c r="E45" i="3"/>
  <c r="F45" i="3"/>
  <c r="H45" i="3"/>
  <c r="E46" i="3"/>
  <c r="F46" i="3"/>
  <c r="H46" i="3"/>
  <c r="F47" i="3"/>
  <c r="H47" i="3"/>
  <c r="E48" i="3"/>
  <c r="F48" i="3"/>
  <c r="H48" i="3"/>
  <c r="E49" i="3"/>
  <c r="F49" i="3"/>
  <c r="H49" i="3"/>
  <c r="E50" i="3"/>
  <c r="F50" i="3"/>
  <c r="H50" i="3"/>
  <c r="F51" i="3"/>
  <c r="H51" i="3"/>
  <c r="H52" i="3"/>
  <c r="F78" i="3"/>
  <c r="F88" i="3"/>
  <c r="F89" i="3"/>
  <c r="D28" i="3"/>
  <c r="F28" i="3"/>
  <c r="K28" i="3"/>
  <c r="D29" i="3"/>
  <c r="F29" i="3"/>
  <c r="K29" i="3"/>
  <c r="D30" i="3"/>
  <c r="F30" i="3"/>
  <c r="K30" i="3"/>
  <c r="D31" i="3"/>
  <c r="F31" i="3"/>
  <c r="K31" i="3"/>
  <c r="D32" i="3"/>
  <c r="F32" i="3"/>
  <c r="K32" i="3"/>
  <c r="F79" i="3"/>
  <c r="F90" i="3"/>
  <c r="F92" i="3"/>
  <c r="A79" i="3"/>
  <c r="D71" i="3"/>
  <c r="D70" i="3"/>
  <c r="D69" i="3"/>
  <c r="E62" i="3"/>
  <c r="J7" i="3"/>
  <c r="J9" i="3"/>
  <c r="J10" i="3"/>
  <c r="J11" i="3"/>
  <c r="J13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33" i="3"/>
  <c r="J34" i="3"/>
  <c r="J35" i="3"/>
  <c r="J36" i="3"/>
  <c r="J37" i="3"/>
  <c r="J38" i="3"/>
  <c r="J39" i="3"/>
  <c r="J40" i="3"/>
  <c r="J41" i="3"/>
  <c r="J42" i="3"/>
  <c r="J45" i="3"/>
  <c r="J46" i="3"/>
  <c r="J48" i="3"/>
  <c r="J49" i="3"/>
  <c r="J50" i="3"/>
  <c r="J51" i="3"/>
  <c r="J52" i="3"/>
  <c r="J53" i="3"/>
  <c r="J54" i="3"/>
  <c r="J55" i="3"/>
  <c r="I7" i="3"/>
  <c r="I9" i="3"/>
  <c r="I10" i="3"/>
  <c r="I11" i="3"/>
  <c r="I12" i="3"/>
  <c r="I13" i="3"/>
  <c r="I15" i="3"/>
  <c r="I17" i="3"/>
  <c r="I18" i="3"/>
  <c r="I19" i="3"/>
  <c r="I20" i="3"/>
  <c r="I21" i="3"/>
  <c r="I52" i="3"/>
  <c r="I53" i="3"/>
  <c r="I54" i="3"/>
  <c r="I55" i="3"/>
  <c r="F7" i="3"/>
  <c r="F16" i="3"/>
  <c r="F44" i="3"/>
  <c r="F52" i="3"/>
  <c r="F53" i="3"/>
  <c r="K52" i="3"/>
  <c r="L51" i="3"/>
  <c r="L50" i="3"/>
  <c r="L49" i="3"/>
  <c r="L48" i="3"/>
  <c r="L47" i="3"/>
  <c r="L46" i="3"/>
  <c r="L45" i="3"/>
  <c r="L44" i="3"/>
  <c r="L43" i="3"/>
  <c r="L42" i="3"/>
  <c r="B42" i="3"/>
  <c r="L41" i="3"/>
  <c r="B41" i="3"/>
  <c r="L40" i="3"/>
  <c r="B40" i="3"/>
  <c r="L39" i="3"/>
  <c r="B39" i="3"/>
  <c r="L38" i="3"/>
  <c r="B38" i="3"/>
  <c r="L37" i="3"/>
  <c r="B37" i="3"/>
  <c r="L36" i="3"/>
  <c r="B36" i="3"/>
  <c r="L35" i="3"/>
  <c r="B35" i="3"/>
  <c r="L34" i="3"/>
  <c r="B34" i="3"/>
  <c r="L33" i="3"/>
  <c r="B33" i="3"/>
  <c r="L32" i="3"/>
  <c r="B32" i="3"/>
  <c r="L31" i="3"/>
  <c r="B31" i="3"/>
  <c r="L30" i="3"/>
  <c r="B30" i="3"/>
  <c r="L29" i="3"/>
  <c r="B29" i="3"/>
  <c r="L28" i="3"/>
  <c r="B28" i="3"/>
  <c r="L27" i="3"/>
  <c r="B27" i="3"/>
  <c r="L26" i="3"/>
  <c r="B26" i="3"/>
  <c r="L25" i="3"/>
  <c r="B25" i="3"/>
  <c r="L24" i="3"/>
  <c r="B24" i="3"/>
  <c r="L23" i="3"/>
  <c r="B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B7" i="3"/>
  <c r="E1" i="3"/>
  <c r="F8" i="2"/>
  <c r="G8" i="2"/>
  <c r="G7" i="2"/>
  <c r="F76" i="2"/>
  <c r="A10" i="2"/>
  <c r="E9" i="2"/>
  <c r="F9" i="2"/>
  <c r="G9" i="2"/>
  <c r="E10" i="2"/>
  <c r="F10" i="2"/>
  <c r="G10" i="2"/>
  <c r="E11" i="2"/>
  <c r="F11" i="2"/>
  <c r="G11" i="2"/>
  <c r="F12" i="2"/>
  <c r="G12" i="2"/>
  <c r="E13" i="2"/>
  <c r="F13" i="2"/>
  <c r="G13" i="2"/>
  <c r="F14" i="2"/>
  <c r="G14" i="2"/>
  <c r="F15" i="2"/>
  <c r="G15" i="2"/>
  <c r="G52" i="2"/>
  <c r="F78" i="2"/>
  <c r="F87" i="2"/>
  <c r="I7" i="2"/>
  <c r="I9" i="2"/>
  <c r="I10" i="2"/>
  <c r="I11" i="2"/>
  <c r="I12" i="2"/>
  <c r="I13" i="2"/>
  <c r="I15" i="2"/>
  <c r="I52" i="2"/>
  <c r="I53" i="2"/>
  <c r="F88" i="2"/>
  <c r="H7" i="2"/>
  <c r="F77" i="2"/>
  <c r="H9" i="2"/>
  <c r="H10" i="2"/>
  <c r="H11" i="2"/>
  <c r="H12" i="2"/>
  <c r="H13" i="2"/>
  <c r="H15" i="2"/>
  <c r="E17" i="2"/>
  <c r="F17" i="2"/>
  <c r="H17" i="2"/>
  <c r="F18" i="2"/>
  <c r="H18" i="2"/>
  <c r="A19" i="2"/>
  <c r="E19" i="2"/>
  <c r="F19" i="2"/>
  <c r="H19" i="2"/>
  <c r="E20" i="2"/>
  <c r="F20" i="2"/>
  <c r="H20" i="2"/>
  <c r="E21" i="2"/>
  <c r="F21" i="2"/>
  <c r="H21" i="2"/>
  <c r="F22" i="2"/>
  <c r="H22" i="2"/>
  <c r="D23" i="2"/>
  <c r="E23" i="2"/>
  <c r="F23" i="2"/>
  <c r="H23" i="2"/>
  <c r="D24" i="2"/>
  <c r="E24" i="2"/>
  <c r="F24" i="2"/>
  <c r="H24" i="2"/>
  <c r="D25" i="2"/>
  <c r="E25" i="2"/>
  <c r="F25" i="2"/>
  <c r="H25" i="2"/>
  <c r="D26" i="2"/>
  <c r="E26" i="2"/>
  <c r="F26" i="2"/>
  <c r="H26" i="2"/>
  <c r="D27" i="2"/>
  <c r="E27" i="2"/>
  <c r="F27" i="2"/>
  <c r="H27" i="2"/>
  <c r="D33" i="2"/>
  <c r="E33" i="2"/>
  <c r="F33" i="2"/>
  <c r="H33" i="2"/>
  <c r="D34" i="2"/>
  <c r="E34" i="2"/>
  <c r="F34" i="2"/>
  <c r="H34" i="2"/>
  <c r="D35" i="2"/>
  <c r="E35" i="2"/>
  <c r="F35" i="2"/>
  <c r="H35" i="2"/>
  <c r="D36" i="2"/>
  <c r="E36" i="2"/>
  <c r="F36" i="2"/>
  <c r="H36" i="2"/>
  <c r="D37" i="2"/>
  <c r="E37" i="2"/>
  <c r="F37" i="2"/>
  <c r="H37" i="2"/>
  <c r="D38" i="2"/>
  <c r="E38" i="2"/>
  <c r="F38" i="2"/>
  <c r="H38" i="2"/>
  <c r="D39" i="2"/>
  <c r="E39" i="2"/>
  <c r="F39" i="2"/>
  <c r="H39" i="2"/>
  <c r="D40" i="2"/>
  <c r="E40" i="2"/>
  <c r="F40" i="2"/>
  <c r="H40" i="2"/>
  <c r="D41" i="2"/>
  <c r="E41" i="2"/>
  <c r="F41" i="2"/>
  <c r="H41" i="2"/>
  <c r="D42" i="2"/>
  <c r="E42" i="2"/>
  <c r="F42" i="2"/>
  <c r="H42" i="2"/>
  <c r="D43" i="2"/>
  <c r="F43" i="2"/>
  <c r="H43" i="2"/>
  <c r="E45" i="2"/>
  <c r="F45" i="2"/>
  <c r="H45" i="2"/>
  <c r="E46" i="2"/>
  <c r="F46" i="2"/>
  <c r="H46" i="2"/>
  <c r="F47" i="2"/>
  <c r="H47" i="2"/>
  <c r="E48" i="2"/>
  <c r="F48" i="2"/>
  <c r="H48" i="2"/>
  <c r="E49" i="2"/>
  <c r="F49" i="2"/>
  <c r="H49" i="2"/>
  <c r="E50" i="2"/>
  <c r="F50" i="2"/>
  <c r="H50" i="2"/>
  <c r="F51" i="2"/>
  <c r="H51" i="2"/>
  <c r="H52" i="2"/>
  <c r="F79" i="2"/>
  <c r="F89" i="2"/>
  <c r="J7" i="2"/>
  <c r="J9" i="2"/>
  <c r="J10" i="2"/>
  <c r="J11" i="2"/>
  <c r="J13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33" i="2"/>
  <c r="J34" i="2"/>
  <c r="J35" i="2"/>
  <c r="J36" i="2"/>
  <c r="J37" i="2"/>
  <c r="J38" i="2"/>
  <c r="J39" i="2"/>
  <c r="J40" i="2"/>
  <c r="J41" i="2"/>
  <c r="J42" i="2"/>
  <c r="J45" i="2"/>
  <c r="J46" i="2"/>
  <c r="J48" i="2"/>
  <c r="J49" i="2"/>
  <c r="J50" i="2"/>
  <c r="J51" i="2"/>
  <c r="J52" i="2"/>
  <c r="J53" i="2"/>
  <c r="F90" i="2"/>
  <c r="D28" i="2"/>
  <c r="F28" i="2"/>
  <c r="K28" i="2"/>
  <c r="D29" i="2"/>
  <c r="F29" i="2"/>
  <c r="K29" i="2"/>
  <c r="D30" i="2"/>
  <c r="F30" i="2"/>
  <c r="K30" i="2"/>
  <c r="D31" i="2"/>
  <c r="F31" i="2"/>
  <c r="K31" i="2"/>
  <c r="D32" i="2"/>
  <c r="F32" i="2"/>
  <c r="K32" i="2"/>
  <c r="F80" i="2"/>
  <c r="F91" i="2"/>
  <c r="F93" i="2"/>
  <c r="A80" i="2"/>
  <c r="D70" i="2"/>
  <c r="E62" i="2"/>
  <c r="J54" i="2"/>
  <c r="J55" i="2"/>
  <c r="I54" i="2"/>
  <c r="I55" i="2"/>
  <c r="K52" i="2"/>
  <c r="F7" i="2"/>
  <c r="F16" i="2"/>
  <c r="F44" i="2"/>
  <c r="F52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L7" i="2"/>
  <c r="B7" i="2"/>
  <c r="E1" i="2"/>
  <c r="G7" i="1"/>
  <c r="F8" i="1"/>
  <c r="G8" i="1"/>
  <c r="F75" i="1"/>
  <c r="A10" i="1"/>
  <c r="E9" i="1"/>
  <c r="F9" i="1"/>
  <c r="G9" i="1"/>
  <c r="E10" i="1"/>
  <c r="F10" i="1"/>
  <c r="G10" i="1"/>
  <c r="E11" i="1"/>
  <c r="F11" i="1"/>
  <c r="G11" i="1"/>
  <c r="F12" i="1"/>
  <c r="G12" i="1"/>
  <c r="E13" i="1"/>
  <c r="F13" i="1"/>
  <c r="G13" i="1"/>
  <c r="F14" i="1"/>
  <c r="G14" i="1"/>
  <c r="E15" i="1"/>
  <c r="F15" i="1"/>
  <c r="G15" i="1"/>
  <c r="G52" i="1"/>
  <c r="F77" i="1"/>
  <c r="F86" i="1"/>
  <c r="F87" i="1"/>
  <c r="H7" i="1"/>
  <c r="F76" i="1"/>
  <c r="H9" i="1"/>
  <c r="H10" i="1"/>
  <c r="H11" i="1"/>
  <c r="H12" i="1"/>
  <c r="H13" i="1"/>
  <c r="H15" i="1"/>
  <c r="E17" i="1"/>
  <c r="F17" i="1"/>
  <c r="H17" i="1"/>
  <c r="A19" i="1"/>
  <c r="E18" i="1"/>
  <c r="F18" i="1"/>
  <c r="H18" i="1"/>
  <c r="E19" i="1"/>
  <c r="F19" i="1"/>
  <c r="H19" i="1"/>
  <c r="E20" i="1"/>
  <c r="F20" i="1"/>
  <c r="H20" i="1"/>
  <c r="E21" i="1"/>
  <c r="F21" i="1"/>
  <c r="H21" i="1"/>
  <c r="F22" i="1"/>
  <c r="H22" i="1"/>
  <c r="D23" i="1"/>
  <c r="E23" i="1"/>
  <c r="F23" i="1"/>
  <c r="H23" i="1"/>
  <c r="D24" i="1"/>
  <c r="E24" i="1"/>
  <c r="F24" i="1"/>
  <c r="H24" i="1"/>
  <c r="D25" i="1"/>
  <c r="E25" i="1"/>
  <c r="F25" i="1"/>
  <c r="H25" i="1"/>
  <c r="D26" i="1"/>
  <c r="E26" i="1"/>
  <c r="F26" i="1"/>
  <c r="H26" i="1"/>
  <c r="D27" i="1"/>
  <c r="E27" i="1"/>
  <c r="F27" i="1"/>
  <c r="H27" i="1"/>
  <c r="D33" i="1"/>
  <c r="E33" i="1"/>
  <c r="F33" i="1"/>
  <c r="H33" i="1"/>
  <c r="D34" i="1"/>
  <c r="E34" i="1"/>
  <c r="F34" i="1"/>
  <c r="H34" i="1"/>
  <c r="D35" i="1"/>
  <c r="E35" i="1"/>
  <c r="F35" i="1"/>
  <c r="H35" i="1"/>
  <c r="D36" i="1"/>
  <c r="E36" i="1"/>
  <c r="F36" i="1"/>
  <c r="H36" i="1"/>
  <c r="D37" i="1"/>
  <c r="E37" i="1"/>
  <c r="F37" i="1"/>
  <c r="H37" i="1"/>
  <c r="D38" i="1"/>
  <c r="E38" i="1"/>
  <c r="F38" i="1"/>
  <c r="H38" i="1"/>
  <c r="D39" i="1"/>
  <c r="E39" i="1"/>
  <c r="F39" i="1"/>
  <c r="H39" i="1"/>
  <c r="D40" i="1"/>
  <c r="E40" i="1"/>
  <c r="F40" i="1"/>
  <c r="H40" i="1"/>
  <c r="D41" i="1"/>
  <c r="E41" i="1"/>
  <c r="F41" i="1"/>
  <c r="H41" i="1"/>
  <c r="D42" i="1"/>
  <c r="E42" i="1"/>
  <c r="F42" i="1"/>
  <c r="H42" i="1"/>
  <c r="D43" i="1"/>
  <c r="F43" i="1"/>
  <c r="H43" i="1"/>
  <c r="E45" i="1"/>
  <c r="F45" i="1"/>
  <c r="H45" i="1"/>
  <c r="E46" i="1"/>
  <c r="F46" i="1"/>
  <c r="H46" i="1"/>
  <c r="F47" i="1"/>
  <c r="H47" i="1"/>
  <c r="E48" i="1"/>
  <c r="F48" i="1"/>
  <c r="H48" i="1"/>
  <c r="E49" i="1"/>
  <c r="F49" i="1"/>
  <c r="H49" i="1"/>
  <c r="E50" i="1"/>
  <c r="F50" i="1"/>
  <c r="H50" i="1"/>
  <c r="F51" i="1"/>
  <c r="H51" i="1"/>
  <c r="H52" i="1"/>
  <c r="F78" i="1"/>
  <c r="F88" i="1"/>
  <c r="F89" i="1"/>
  <c r="D28" i="1"/>
  <c r="F28" i="1"/>
  <c r="K28" i="1"/>
  <c r="D29" i="1"/>
  <c r="F29" i="1"/>
  <c r="K29" i="1"/>
  <c r="D30" i="1"/>
  <c r="F30" i="1"/>
  <c r="K30" i="1"/>
  <c r="D31" i="1"/>
  <c r="F31" i="1"/>
  <c r="K31" i="1"/>
  <c r="D32" i="1"/>
  <c r="F32" i="1"/>
  <c r="K32" i="1"/>
  <c r="F79" i="1"/>
  <c r="F90" i="1"/>
  <c r="F92" i="1"/>
  <c r="A79" i="1"/>
  <c r="D71" i="1"/>
  <c r="D70" i="1"/>
  <c r="D69" i="1"/>
  <c r="E62" i="1"/>
  <c r="J7" i="1"/>
  <c r="J9" i="1"/>
  <c r="J10" i="1"/>
  <c r="J11" i="1"/>
  <c r="J13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33" i="1"/>
  <c r="J34" i="1"/>
  <c r="J35" i="1"/>
  <c r="J36" i="1"/>
  <c r="J37" i="1"/>
  <c r="J38" i="1"/>
  <c r="J39" i="1"/>
  <c r="J40" i="1"/>
  <c r="J41" i="1"/>
  <c r="J42" i="1"/>
  <c r="J45" i="1"/>
  <c r="J46" i="1"/>
  <c r="J48" i="1"/>
  <c r="J49" i="1"/>
  <c r="J50" i="1"/>
  <c r="J51" i="1"/>
  <c r="J52" i="1"/>
  <c r="J53" i="1"/>
  <c r="J54" i="1"/>
  <c r="J55" i="1"/>
  <c r="I7" i="1"/>
  <c r="I9" i="1"/>
  <c r="I10" i="1"/>
  <c r="I11" i="1"/>
  <c r="I12" i="1"/>
  <c r="I13" i="1"/>
  <c r="I15" i="1"/>
  <c r="I52" i="1"/>
  <c r="I53" i="1"/>
  <c r="I54" i="1"/>
  <c r="I55" i="1"/>
  <c r="F7" i="1"/>
  <c r="F16" i="1"/>
  <c r="F44" i="1"/>
  <c r="F52" i="1"/>
  <c r="F53" i="1"/>
  <c r="K52" i="1"/>
  <c r="L51" i="1"/>
  <c r="L50" i="1"/>
  <c r="L49" i="1"/>
  <c r="L48" i="1"/>
  <c r="L47" i="1"/>
  <c r="L46" i="1"/>
  <c r="L45" i="1"/>
  <c r="L44" i="1"/>
  <c r="L43" i="1"/>
  <c r="L42" i="1"/>
  <c r="B42" i="1"/>
  <c r="L41" i="1"/>
  <c r="B41" i="1"/>
  <c r="L40" i="1"/>
  <c r="B40" i="1"/>
  <c r="L39" i="1"/>
  <c r="B39" i="1"/>
  <c r="L38" i="1"/>
  <c r="B38" i="1"/>
  <c r="L37" i="1"/>
  <c r="B37" i="1"/>
  <c r="L36" i="1"/>
  <c r="B36" i="1"/>
  <c r="L35" i="1"/>
  <c r="B35" i="1"/>
  <c r="L34" i="1"/>
  <c r="B34" i="1"/>
  <c r="L33" i="1"/>
  <c r="B33" i="1"/>
  <c r="L32" i="1"/>
  <c r="B32" i="1"/>
  <c r="L31" i="1"/>
  <c r="B31" i="1"/>
  <c r="L30" i="1"/>
  <c r="B30" i="1"/>
  <c r="L29" i="1"/>
  <c r="B29" i="1"/>
  <c r="L28" i="1"/>
  <c r="B28" i="1"/>
  <c r="L27" i="1"/>
  <c r="B27" i="1"/>
  <c r="L26" i="1"/>
  <c r="B26" i="1"/>
  <c r="L25" i="1"/>
  <c r="B25" i="1"/>
  <c r="L24" i="1"/>
  <c r="B24" i="1"/>
  <c r="L23" i="1"/>
  <c r="B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B7" i="1"/>
  <c r="E1" i="1"/>
  <c r="A80" i="1"/>
  <c r="A81" i="2"/>
  <c r="A80" i="3"/>
  <c r="A80" i="4"/>
  <c r="A80" i="5"/>
</calcChain>
</file>

<file path=xl/sharedStrings.xml><?xml version="1.0" encoding="utf-8"?>
<sst xmlns="http://schemas.openxmlformats.org/spreadsheetml/2006/main" count="470" uniqueCount="88">
  <si>
    <t xml:space="preserve">FACTURE MOIS DE </t>
  </si>
  <si>
    <t>NOM DU CHEVAL</t>
  </si>
  <si>
    <t>Ozon</t>
  </si>
  <si>
    <t xml:space="preserve"> CAVALIER</t>
  </si>
  <si>
    <t>PRIX UNITAIRE</t>
  </si>
  <si>
    <t>QUANTITE</t>
  </si>
  <si>
    <t>MONTANT</t>
  </si>
  <si>
    <t>base5</t>
  </si>
  <si>
    <t>base20</t>
  </si>
  <si>
    <t>tva5</t>
  </si>
  <si>
    <t>tva20</t>
  </si>
  <si>
    <t>non soumis</t>
  </si>
  <si>
    <t>total</t>
  </si>
  <si>
    <t>PENSION</t>
  </si>
  <si>
    <t>MARCHEUR/PADDOCK</t>
  </si>
  <si>
    <t>DE 1 à 9 FOIS</t>
  </si>
  <si>
    <t>DE 10  à 19 FOIS</t>
  </si>
  <si>
    <t>20 FOIS ET PLUS</t>
  </si>
  <si>
    <t>MARCHEUR/PADDOCK DIMANCHE</t>
  </si>
  <si>
    <t>TAPIS ROULANT</t>
  </si>
  <si>
    <t>A L'UNITE</t>
  </si>
  <si>
    <t>FORFAIT 6X/SEMAINE</t>
  </si>
  <si>
    <t>COURS COLLECTIF</t>
  </si>
  <si>
    <t>COURS/MONTE</t>
  </si>
  <si>
    <t>DE 1 à 7 COURS</t>
  </si>
  <si>
    <t>DE 8 à 11 COURS</t>
  </si>
  <si>
    <t>DE 12 à 16 COURS</t>
  </si>
  <si>
    <t>PLUS DE 16 COURS</t>
  </si>
  <si>
    <t>CSO</t>
  </si>
  <si>
    <t>DETENTE</t>
  </si>
  <si>
    <t>ENGAGEMENT</t>
  </si>
  <si>
    <t>Participation transport</t>
  </si>
  <si>
    <t>BOXES</t>
  </si>
  <si>
    <t>GAINS</t>
  </si>
  <si>
    <t>AUTRES</t>
  </si>
  <si>
    <t>COUVERTURE /FENETRE</t>
  </si>
  <si>
    <t>FORFAIT AU MOIS</t>
  </si>
  <si>
    <t>TONTES</t>
  </si>
  <si>
    <t>CORPS 1/2 TETE</t>
  </si>
  <si>
    <t>ENTIERE</t>
  </si>
  <si>
    <t>PAS EN MAIN</t>
  </si>
  <si>
    <t>TOTAL</t>
  </si>
  <si>
    <t>ss total w</t>
  </si>
  <si>
    <t>A REGLER</t>
  </si>
  <si>
    <t>calcul tva</t>
  </si>
  <si>
    <t>diff</t>
  </si>
  <si>
    <t>Facture N°</t>
  </si>
  <si>
    <t>2016-03</t>
  </si>
  <si>
    <t>01</t>
  </si>
  <si>
    <t>du</t>
  </si>
  <si>
    <t>Ecurie Saint-Amour</t>
  </si>
  <si>
    <t>DESIGNATION</t>
  </si>
  <si>
    <t>TVA</t>
  </si>
  <si>
    <t>montant ht</t>
  </si>
  <si>
    <t>DROIT D UTILISATION DES INSTALLATIONS</t>
  </si>
  <si>
    <t xml:space="preserve">PENSION </t>
  </si>
  <si>
    <t>part à 20%</t>
  </si>
  <si>
    <t xml:space="preserve">PRESTATIONS </t>
  </si>
  <si>
    <t>MONTANT HT 5,5%</t>
  </si>
  <si>
    <t>TVA 5,5%</t>
  </si>
  <si>
    <t>MONTANT HT 20%</t>
  </si>
  <si>
    <t>TVA 20%</t>
  </si>
  <si>
    <t xml:space="preserve">NON SOUMIS </t>
  </si>
  <si>
    <t>MONTANT TTC</t>
  </si>
  <si>
    <t>Valeur en votre aimable règlement, paiement comptant,</t>
  </si>
  <si>
    <t>Adhérent d'un centre de gestion agréé, acceptant les réglements par chèque</t>
  </si>
  <si>
    <t>Les marchandises vendues restent notre propriété jusqu'à paiement intégral de leur prix. Sans escompte pour règlement anticipé</t>
  </si>
  <si>
    <t xml:space="preserve">Une pénalité équivalente à une fois et demie le taux d'intérét légal en vigueur en France sera appliquée pour tout retard </t>
  </si>
  <si>
    <t>de règlement au delà de l'échéance prévue</t>
  </si>
  <si>
    <t>*****</t>
  </si>
  <si>
    <t>02</t>
  </si>
  <si>
    <t>Valeur en votre aimable règlement, paiement comptant, avant le 10 du mois.</t>
  </si>
  <si>
    <t>Alain</t>
  </si>
  <si>
    <t>03</t>
  </si>
  <si>
    <t xml:space="preserve">NOM </t>
  </si>
  <si>
    <t>Qualité Perrières</t>
  </si>
  <si>
    <t>74140 MESSERY</t>
  </si>
  <si>
    <t>04</t>
  </si>
  <si>
    <t>Toscane</t>
  </si>
  <si>
    <t>05</t>
  </si>
  <si>
    <t>aaaaa</t>
  </si>
  <si>
    <t>xxxxxxx</t>
  </si>
  <si>
    <t>Tél : 06.11.33.44.55</t>
  </si>
  <si>
    <t>bbbbb</t>
  </si>
  <si>
    <t>ccccc</t>
  </si>
  <si>
    <t>ddd</t>
  </si>
  <si>
    <t>ddddd</t>
  </si>
  <si>
    <t>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</si>
</sst>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 mmmm"/>
    <numFmt numFmtId="165" formatCode="#,##0.00\ &quot;€&quot;"/>
    <numFmt numFmtId="166" formatCode="[$-40C]d\ mmmm\ yyyy;@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color rgb="FFFF0000"/>
      <name val="Arial"/>
      <family val="2"/>
    </font>
    <font>
      <b/>
      <sz val="12"/>
      <name val="Calibri"/>
      <family val="2"/>
      <scheme val="minor"/>
    </font>
    <font>
      <u/>
      <sz val="14"/>
      <color theme="10"/>
      <name val="Calibri"/>
      <family val="2"/>
    </font>
    <font>
      <sz val="12"/>
      <color rgb="FF0070C0"/>
      <name val="Arial"/>
      <family val="2"/>
    </font>
    <font>
      <b/>
      <sz val="16"/>
      <color rgb="FF996633"/>
      <name val="Lucida Calligraphy"/>
      <family val="4"/>
    </font>
    <font>
      <b/>
      <sz val="12"/>
      <color rgb="FF996633"/>
      <name val="Lucida Calligraphy"/>
      <family val="4"/>
    </font>
    <font>
      <sz val="12"/>
      <color rgb="FF996633"/>
      <name val="Arial"/>
      <family val="2"/>
    </font>
    <font>
      <sz val="12"/>
      <color rgb="FF948B54"/>
      <name val="Arial"/>
      <family val="2"/>
    </font>
    <font>
      <sz val="10"/>
      <color rgb="FF996633"/>
      <name val="Arial"/>
      <family val="2"/>
    </font>
    <font>
      <sz val="11"/>
      <color rgb="FF996633"/>
      <name val="Arial"/>
      <family val="2"/>
    </font>
    <font>
      <b/>
      <sz val="12"/>
      <color rgb="FF996633"/>
      <name val="Arial"/>
      <family val="2"/>
    </font>
    <font>
      <sz val="8"/>
      <color rgb="FF996633"/>
      <name val="Arial"/>
      <family val="2"/>
    </font>
    <font>
      <u/>
      <sz val="11"/>
      <color theme="0"/>
      <name val="Calibri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sz val="14"/>
      <name val="Arial"/>
      <family val="2"/>
    </font>
    <font>
      <sz val="12"/>
      <color theme="0"/>
      <name val="Arial"/>
      <family val="2"/>
    </font>
    <font>
      <u/>
      <sz val="11"/>
      <color rgb="FFFF0000"/>
      <name val="Calibri"/>
      <family val="2"/>
    </font>
    <font>
      <u/>
      <sz val="11"/>
      <color indexed="12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/>
  </cellStyleXfs>
  <cellXfs count="116">
    <xf numFmtId="0" fontId="0" fillId="0" borderId="0" xfId="0"/>
    <xf numFmtId="0" fontId="2" fillId="0" borderId="0" xfId="0" applyFont="1" applyProtection="1"/>
    <xf numFmtId="49" fontId="2" fillId="0" borderId="0" xfId="0" applyNumberFormat="1" applyFont="1"/>
    <xf numFmtId="0" fontId="2" fillId="0" borderId="0" xfId="0" applyFont="1"/>
    <xf numFmtId="0" fontId="2" fillId="0" borderId="0" xfId="0" applyFont="1" applyAlignment="1" applyProtection="1">
      <alignment horizontal="center"/>
    </xf>
    <xf numFmtId="0" fontId="6" fillId="0" borderId="0" xfId="1" applyFont="1" applyBorder="1" applyAlignment="1" applyProtection="1"/>
    <xf numFmtId="0" fontId="2" fillId="0" borderId="0" xfId="0" applyFont="1" applyBorder="1" applyProtection="1">
      <protection locked="0"/>
    </xf>
    <xf numFmtId="0" fontId="4" fillId="0" borderId="0" xfId="0" applyFont="1" applyBorder="1" applyAlignment="1" applyProtection="1"/>
    <xf numFmtId="0" fontId="6" fillId="0" borderId="0" xfId="1" applyFont="1" applyBorder="1" applyAlignment="1" applyProtection="1">
      <protection locked="0"/>
    </xf>
    <xf numFmtId="49" fontId="2" fillId="0" borderId="0" xfId="0" applyNumberFormat="1" applyFont="1" applyBorder="1"/>
    <xf numFmtId="0" fontId="2" fillId="0" borderId="0" xfId="0" applyFont="1" applyBorder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2" fillId="0" borderId="1" xfId="0" applyFont="1" applyBorder="1" applyProtection="1"/>
    <xf numFmtId="0" fontId="2" fillId="0" borderId="1" xfId="0" applyFont="1" applyBorder="1" applyAlignment="1" applyProtection="1">
      <alignment horizontal="center"/>
    </xf>
    <xf numFmtId="164" fontId="2" fillId="0" borderId="0" xfId="0" applyNumberFormat="1" applyFont="1" applyBorder="1" applyProtection="1"/>
    <xf numFmtId="165" fontId="2" fillId="0" borderId="1" xfId="0" applyNumberFormat="1" applyFont="1" applyBorder="1" applyProtection="1"/>
    <xf numFmtId="0" fontId="2" fillId="0" borderId="1" xfId="0" applyFont="1" applyBorder="1" applyAlignment="1" applyProtection="1">
      <alignment horizontal="center"/>
      <protection locked="0"/>
    </xf>
    <xf numFmtId="2" fontId="2" fillId="0" borderId="0" xfId="0" applyNumberFormat="1" applyFont="1"/>
    <xf numFmtId="4" fontId="2" fillId="0" borderId="1" xfId="0" applyNumberFormat="1" applyFont="1" applyBorder="1" applyProtection="1"/>
    <xf numFmtId="0" fontId="8" fillId="0" borderId="2" xfId="0" applyFont="1" applyBorder="1" applyAlignment="1" applyProtection="1"/>
    <xf numFmtId="0" fontId="3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9" fillId="0" borderId="0" xfId="1" applyFont="1" applyBorder="1" applyAlignment="1" applyProtection="1">
      <protection locked="0"/>
    </xf>
    <xf numFmtId="2" fontId="2" fillId="0" borderId="0" xfId="0" applyNumberFormat="1" applyFont="1" applyProtection="1"/>
    <xf numFmtId="165" fontId="2" fillId="0" borderId="1" xfId="0" applyNumberFormat="1" applyFont="1" applyBorder="1" applyProtection="1">
      <protection locked="0"/>
    </xf>
    <xf numFmtId="0" fontId="2" fillId="0" borderId="0" xfId="0" applyFont="1" applyProtection="1">
      <protection locked="0"/>
    </xf>
    <xf numFmtId="165" fontId="2" fillId="0" borderId="0" xfId="0" applyNumberFormat="1" applyFont="1" applyProtection="1"/>
    <xf numFmtId="165" fontId="3" fillId="0" borderId="0" xfId="0" applyNumberFormat="1" applyFont="1" applyProtection="1"/>
    <xf numFmtId="49" fontId="10" fillId="0" borderId="0" xfId="0" applyNumberFormat="1" applyFont="1"/>
    <xf numFmtId="2" fontId="10" fillId="0" borderId="0" xfId="0" applyNumberFormat="1" applyFont="1"/>
    <xf numFmtId="0" fontId="10" fillId="0" borderId="0" xfId="0" applyFont="1"/>
    <xf numFmtId="14" fontId="2" fillId="0" borderId="0" xfId="0" applyNumberFormat="1" applyFont="1" applyAlignment="1" applyProtection="1">
      <alignment horizontal="center"/>
      <protection locked="0"/>
    </xf>
    <xf numFmtId="49" fontId="2" fillId="0" borderId="0" xfId="0" applyNumberFormat="1" applyFont="1" applyProtection="1">
      <protection locked="0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3" fillId="0" borderId="0" xfId="0" applyFont="1" applyAlignment="1">
      <alignment horizontal="right"/>
    </xf>
    <xf numFmtId="49" fontId="3" fillId="0" borderId="0" xfId="0" applyNumberFormat="1" applyFont="1"/>
    <xf numFmtId="0" fontId="2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3" fillId="0" borderId="5" xfId="0" applyFont="1" applyBorder="1" applyProtection="1">
      <protection locked="0"/>
    </xf>
    <xf numFmtId="0" fontId="14" fillId="0" borderId="0" xfId="0" applyFont="1"/>
    <xf numFmtId="0" fontId="15" fillId="0" borderId="6" xfId="0" applyFont="1" applyBorder="1" applyAlignment="1" applyProtection="1">
      <alignment horizontal="center"/>
      <protection locked="0"/>
    </xf>
    <xf numFmtId="10" fontId="15" fillId="0" borderId="6" xfId="0" applyNumberFormat="1" applyFont="1" applyBorder="1" applyAlignment="1" applyProtection="1">
      <alignment horizontal="center"/>
      <protection locked="0"/>
    </xf>
    <xf numFmtId="2" fontId="13" fillId="0" borderId="6" xfId="0" applyNumberFormat="1" applyFont="1" applyBorder="1" applyAlignment="1">
      <alignment horizontal="right"/>
    </xf>
    <xf numFmtId="0" fontId="13" fillId="0" borderId="0" xfId="0" applyFont="1"/>
    <xf numFmtId="0" fontId="15" fillId="0" borderId="5" xfId="0" applyFont="1" applyBorder="1" applyAlignment="1" applyProtection="1">
      <alignment horizontal="center"/>
      <protection locked="0"/>
    </xf>
    <xf numFmtId="10" fontId="15" fillId="0" borderId="7" xfId="0" applyNumberFormat="1" applyFont="1" applyBorder="1" applyAlignment="1" applyProtection="1">
      <alignment horizontal="center"/>
      <protection locked="0"/>
    </xf>
    <xf numFmtId="2" fontId="13" fillId="0" borderId="7" xfId="0" applyNumberFormat="1" applyFont="1" applyBorder="1" applyAlignment="1">
      <alignment horizontal="right"/>
    </xf>
    <xf numFmtId="0" fontId="15" fillId="0" borderId="7" xfId="0" applyFont="1" applyBorder="1" applyAlignment="1" applyProtection="1">
      <alignment horizontal="center"/>
      <protection locked="0"/>
    </xf>
    <xf numFmtId="2" fontId="13" fillId="0" borderId="7" xfId="0" applyNumberFormat="1" applyFont="1" applyBorder="1"/>
    <xf numFmtId="0" fontId="2" fillId="0" borderId="7" xfId="0" applyFont="1" applyBorder="1"/>
    <xf numFmtId="0" fontId="2" fillId="0" borderId="5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2" fontId="13" fillId="0" borderId="8" xfId="0" applyNumberFormat="1" applyFont="1" applyBorder="1" applyAlignment="1">
      <alignment horizontal="right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3" fillId="0" borderId="9" xfId="0" applyFont="1" applyBorder="1" applyAlignment="1">
      <alignment horizontal="left"/>
    </xf>
    <xf numFmtId="0" fontId="13" fillId="0" borderId="10" xfId="0" applyFont="1" applyBorder="1" applyAlignment="1">
      <alignment horizontal="left"/>
    </xf>
    <xf numFmtId="2" fontId="13" fillId="0" borderId="11" xfId="0" applyNumberFormat="1" applyFont="1" applyBorder="1" applyAlignment="1">
      <alignment horizontal="right"/>
    </xf>
    <xf numFmtId="0" fontId="2" fillId="0" borderId="2" xfId="0" applyFont="1" applyBorder="1"/>
    <xf numFmtId="0" fontId="13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2" fontId="13" fillId="0" borderId="2" xfId="0" applyNumberFormat="1" applyFont="1" applyBorder="1" applyAlignment="1">
      <alignment horizontal="right"/>
    </xf>
    <xf numFmtId="0" fontId="13" fillId="0" borderId="5" xfId="0" applyFont="1" applyBorder="1" applyAlignment="1">
      <alignment horizontal="left"/>
    </xf>
    <xf numFmtId="0" fontId="16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0" borderId="12" xfId="0" applyFont="1" applyBorder="1" applyAlignment="1"/>
    <xf numFmtId="0" fontId="2" fillId="0" borderId="13" xfId="0" applyFont="1" applyBorder="1" applyAlignment="1"/>
    <xf numFmtId="2" fontId="2" fillId="0" borderId="14" xfId="0" applyNumberFormat="1" applyFont="1" applyBorder="1" applyAlignment="1">
      <alignment horizontal="right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17" fillId="0" borderId="3" xfId="0" applyFont="1" applyBorder="1" applyAlignment="1"/>
    <xf numFmtId="0" fontId="17" fillId="0" borderId="4" xfId="0" applyFont="1" applyBorder="1" applyAlignment="1"/>
    <xf numFmtId="165" fontId="17" fillId="0" borderId="15" xfId="0" applyNumberFormat="1" applyFont="1" applyBorder="1" applyAlignment="1">
      <alignment horizontal="right"/>
    </xf>
    <xf numFmtId="0" fontId="15" fillId="0" borderId="0" xfId="0" applyFont="1"/>
    <xf numFmtId="0" fontId="18" fillId="0" borderId="0" xfId="0" applyFont="1"/>
    <xf numFmtId="0" fontId="19" fillId="0" borderId="0" xfId="1" applyFont="1" applyAlignment="1" applyProtection="1">
      <alignment horizontal="center"/>
      <protection locked="0"/>
    </xf>
    <xf numFmtId="0" fontId="21" fillId="0" borderId="0" xfId="0" applyFont="1" applyBorder="1" applyAlignment="1" applyProtection="1"/>
    <xf numFmtId="0" fontId="22" fillId="0" borderId="0" xfId="0" applyFont="1" applyBorder="1" applyProtection="1">
      <protection locked="0"/>
    </xf>
    <xf numFmtId="164" fontId="2" fillId="0" borderId="0" xfId="0" applyNumberFormat="1" applyFont="1" applyProtection="1"/>
    <xf numFmtId="0" fontId="21" fillId="0" borderId="2" xfId="0" applyNumberFormat="1" applyFont="1" applyBorder="1" applyAlignment="1" applyProtection="1"/>
    <xf numFmtId="0" fontId="2" fillId="0" borderId="0" xfId="0" applyFont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23" fillId="0" borderId="0" xfId="0" applyFont="1" applyBorder="1" applyProtection="1">
      <protection locked="0"/>
    </xf>
    <xf numFmtId="2" fontId="7" fillId="0" borderId="0" xfId="0" applyNumberFormat="1" applyFont="1"/>
    <xf numFmtId="0" fontId="22" fillId="0" borderId="1" xfId="0" applyFont="1" applyBorder="1" applyProtection="1">
      <protection locked="0"/>
    </xf>
    <xf numFmtId="0" fontId="5" fillId="0" borderId="1" xfId="1" applyBorder="1" applyAlignment="1" applyProtection="1">
      <protection locked="0"/>
    </xf>
    <xf numFmtId="0" fontId="2" fillId="0" borderId="5" xfId="0" applyFont="1" applyBorder="1" applyProtection="1">
      <protection locked="0"/>
    </xf>
    <xf numFmtId="0" fontId="21" fillId="0" borderId="2" xfId="0" applyFont="1" applyBorder="1" applyAlignment="1" applyProtection="1"/>
    <xf numFmtId="0" fontId="5" fillId="0" borderId="0" xfId="1" applyAlignment="1" applyProtection="1">
      <protection locked="0"/>
    </xf>
    <xf numFmtId="0" fontId="7" fillId="0" borderId="0" xfId="0" applyFont="1"/>
    <xf numFmtId="0" fontId="7" fillId="0" borderId="0" xfId="0" applyFont="1" applyAlignment="1">
      <alignment horizontal="center"/>
    </xf>
    <xf numFmtId="0" fontId="24" fillId="0" borderId="0" xfId="1" applyFont="1" applyAlignment="1" applyProtection="1">
      <alignment horizontal="center"/>
      <protection locked="0"/>
    </xf>
    <xf numFmtId="49" fontId="7" fillId="0" borderId="0" xfId="0" applyNumberFormat="1" applyFont="1"/>
    <xf numFmtId="0" fontId="3" fillId="0" borderId="0" xfId="0" applyFont="1" applyAlignment="1" applyProtection="1">
      <alignment vertical="center"/>
    </xf>
    <xf numFmtId="164" fontId="3" fillId="0" borderId="0" xfId="0" applyNumberFormat="1" applyFont="1" applyAlignment="1" applyProtection="1">
      <alignment horizontal="center"/>
    </xf>
    <xf numFmtId="164" fontId="4" fillId="0" borderId="0" xfId="0" applyNumberFormat="1" applyFont="1" applyAlignment="1" applyProtection="1">
      <alignment horizontal="center"/>
    </xf>
    <xf numFmtId="0" fontId="3" fillId="0" borderId="1" xfId="0" applyFont="1" applyBorder="1" applyAlignment="1" applyProtection="1">
      <protection locked="0"/>
    </xf>
    <xf numFmtId="0" fontId="1" fillId="0" borderId="1" xfId="0" applyFont="1" applyBorder="1" applyAlignment="1" applyProtection="1">
      <protection locked="0"/>
    </xf>
    <xf numFmtId="166" fontId="2" fillId="0" borderId="0" xfId="0" applyNumberFormat="1" applyFont="1" applyAlignment="1">
      <alignment horizontal="center"/>
    </xf>
    <xf numFmtId="0" fontId="20" fillId="0" borderId="0" xfId="0" applyFont="1" applyAlignment="1" applyProtection="1">
      <alignment vertical="center"/>
    </xf>
    <xf numFmtId="164" fontId="21" fillId="0" borderId="0" xfId="0" applyNumberFormat="1" applyFont="1" applyAlignment="1" applyProtection="1">
      <alignment horizontal="center"/>
    </xf>
    <xf numFmtId="0" fontId="0" fillId="0" borderId="1" xfId="0" applyBorder="1" applyAlignment="1" applyProtection="1">
      <protection locked="0"/>
    </xf>
    <xf numFmtId="0" fontId="3" fillId="0" borderId="3" xfId="0" applyFont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4">
    <cellStyle name="Lien hypertexte" xfId="1" builtinId="8"/>
    <cellStyle name="Lien hypertexte 2" xfId="2"/>
    <cellStyle name="Normal" xfId="0" builtinId="0"/>
    <cellStyle name="Normal 2" xfId="3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externalLink" Target="externalLinks/externalLink1.xml"/><Relationship Id="rId7" Type="http://schemas.openxmlformats.org/officeDocument/2006/relationships/externalLink" Target="externalLinks/externalLink2.xml"/><Relationship Id="rId8" Type="http://schemas.openxmlformats.org/officeDocument/2006/relationships/externalLink" Target="externalLinks/externalLink3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58</xdr:row>
      <xdr:rowOff>0</xdr:rowOff>
    </xdr:from>
    <xdr:to>
      <xdr:col>1</xdr:col>
      <xdr:colOff>944880</xdr:colOff>
      <xdr:row>67</xdr:row>
      <xdr:rowOff>93849</xdr:rowOff>
    </xdr:to>
    <xdr:pic>
      <xdr:nvPicPr>
        <xdr:cNvPr id="2" name="Image 1" descr="saut-gif0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569700"/>
          <a:ext cx="2811780" cy="19226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1</xdr:col>
      <xdr:colOff>944880</xdr:colOff>
      <xdr:row>67</xdr:row>
      <xdr:rowOff>93849</xdr:rowOff>
    </xdr:to>
    <xdr:pic>
      <xdr:nvPicPr>
        <xdr:cNvPr id="3" name="Image 2" descr="saut-gif0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569700"/>
          <a:ext cx="2811780" cy="19226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59</xdr:row>
      <xdr:rowOff>0</xdr:rowOff>
    </xdr:from>
    <xdr:to>
      <xdr:col>1</xdr:col>
      <xdr:colOff>944880</xdr:colOff>
      <xdr:row>68</xdr:row>
      <xdr:rowOff>144649</xdr:rowOff>
    </xdr:to>
    <xdr:pic>
      <xdr:nvPicPr>
        <xdr:cNvPr id="2" name="Image 1" descr="saut-gif0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620500"/>
          <a:ext cx="2811780" cy="19734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58</xdr:row>
      <xdr:rowOff>0</xdr:rowOff>
    </xdr:from>
    <xdr:to>
      <xdr:col>1</xdr:col>
      <xdr:colOff>944880</xdr:colOff>
      <xdr:row>67</xdr:row>
      <xdr:rowOff>93849</xdr:rowOff>
    </xdr:to>
    <xdr:pic>
      <xdr:nvPicPr>
        <xdr:cNvPr id="2" name="Image 1" descr="saut-gif0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569700"/>
          <a:ext cx="2811780" cy="19226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58</xdr:row>
      <xdr:rowOff>0</xdr:rowOff>
    </xdr:from>
    <xdr:to>
      <xdr:col>1</xdr:col>
      <xdr:colOff>944880</xdr:colOff>
      <xdr:row>67</xdr:row>
      <xdr:rowOff>93849</xdr:rowOff>
    </xdr:to>
    <xdr:pic>
      <xdr:nvPicPr>
        <xdr:cNvPr id="2" name="Image 1" descr="saut-gif0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671300"/>
          <a:ext cx="2811780" cy="19226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58</xdr:row>
      <xdr:rowOff>0</xdr:rowOff>
    </xdr:from>
    <xdr:to>
      <xdr:col>1</xdr:col>
      <xdr:colOff>944880</xdr:colOff>
      <xdr:row>67</xdr:row>
      <xdr:rowOff>93849</xdr:rowOff>
    </xdr:to>
    <xdr:pic>
      <xdr:nvPicPr>
        <xdr:cNvPr id="2" name="Image 1" descr="saut-gif0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620500"/>
          <a:ext cx="2811780" cy="19226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ballet/Library/Containers/com.microsoft.Excel/Data/Documents/E:\mes%20documents\SYLVIE\2014\2014-09bi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ballet/Library/Containers/com.microsoft.Excel/Data/Documents/E:\DOCUMENTS\model%20imp%20pd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vail"/>
      <sheetName val="concours"/>
      <sheetName val="recap"/>
      <sheetName val="TISSEDRE"/>
      <sheetName val="SYNERGIA"/>
      <sheetName val="ALAIN"/>
      <sheetName val="ANCEAUME"/>
      <sheetName val="BARCELLA"/>
      <sheetName val="BLANCHARD"/>
      <sheetName val="BONN"/>
      <sheetName val="CATTANEO"/>
      <sheetName val="CHAPUIS"/>
      <sheetName val="DARCIS"/>
      <sheetName val="DAVID"/>
      <sheetName val="DEKEUKELAERE"/>
      <sheetName val="DETORO"/>
      <sheetName val="DUCREST"/>
      <sheetName val="DUCROT"/>
      <sheetName val="FOURNIER"/>
      <sheetName val="GAILLEN"/>
      <sheetName val="DUCHAMP"/>
      <sheetName val="GONSETH"/>
      <sheetName val="GYSEELS"/>
      <sheetName val="IMBERT"/>
      <sheetName val="JAMBON"/>
      <sheetName val="KERN"/>
      <sheetName val="KUGLER"/>
      <sheetName val="LEGRAS"/>
      <sheetName val="LENOIR"/>
      <sheetName val="LEVRIER"/>
      <sheetName val="LORIOT"/>
      <sheetName val="MENARD"/>
      <sheetName val="MERIGUET"/>
      <sheetName val="MOSSNER"/>
      <sheetName val="NOBLECOURT"/>
      <sheetName val="PANZOLATO"/>
      <sheetName val="PERRIN"/>
      <sheetName val="PEYRET"/>
      <sheetName val="POURRAZ"/>
      <sheetName val="RAPPO"/>
      <sheetName val="SAVARIT"/>
      <sheetName val="SERAFINOS"/>
      <sheetName val="BARTOLI"/>
      <sheetName val="PINGARD"/>
      <sheetName val="JACOTTIN"/>
      <sheetName val="LAUSDAT"/>
      <sheetName val="SEVAN"/>
      <sheetName val="SAYAN"/>
      <sheetName val="LAVY"/>
      <sheetName val="VAUTIER"/>
      <sheetName val="MALAKIAN"/>
      <sheetName val="ILLI"/>
      <sheetName val="DANTON"/>
      <sheetName val="Feuil3"/>
      <sheetName val="Feuil1"/>
    </sheetNames>
    <sheetDataSet>
      <sheetData sheetId="0">
        <row r="1">
          <cell r="A1">
            <v>42430</v>
          </cell>
        </row>
        <row r="3">
          <cell r="A3">
            <v>42401</v>
          </cell>
          <cell r="DC3" t="str">
            <v>marcheur</v>
          </cell>
          <cell r="DD3" t="str">
            <v>marcheur dim</v>
          </cell>
          <cell r="DE3" t="str">
            <v>tapis</v>
          </cell>
          <cell r="DF3" t="str">
            <v>total cours</v>
          </cell>
          <cell r="DG3" t="str">
            <v>couvertures</v>
          </cell>
          <cell r="DH3" t="str">
            <v>forfait couv</v>
          </cell>
          <cell r="DI3" t="str">
            <v>main</v>
          </cell>
          <cell r="DJ3" t="str">
            <v>tonte 90</v>
          </cell>
          <cell r="DK3" t="str">
            <v>tonte 70</v>
          </cell>
          <cell r="DL3" t="str">
            <v>cours philibert</v>
          </cell>
          <cell r="DM3" t="str">
            <v>monte philibert</v>
          </cell>
          <cell r="DN3" t="str">
            <v>cours mathieu</v>
          </cell>
          <cell r="DO3" t="str">
            <v>monte mathieu</v>
          </cell>
          <cell r="DP3" t="str">
            <v>cours christophe</v>
          </cell>
          <cell r="DQ3" t="str">
            <v>monte christophe</v>
          </cell>
          <cell r="DR3" t="str">
            <v>ccoll philibert</v>
          </cell>
          <cell r="DS3" t="str">
            <v>ccoll mathieu</v>
          </cell>
          <cell r="DT3" t="str">
            <v>ccoll chris</v>
          </cell>
          <cell r="DU3" t="str">
            <v>total collectifs</v>
          </cell>
        </row>
        <row r="4">
          <cell r="A4" t="str">
            <v>Adonis</v>
          </cell>
          <cell r="DC4">
            <v>20</v>
          </cell>
          <cell r="DD4">
            <v>4</v>
          </cell>
          <cell r="DE4">
            <v>5</v>
          </cell>
          <cell r="DF4">
            <v>6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>
            <v>0</v>
          </cell>
          <cell r="DO4">
            <v>0</v>
          </cell>
          <cell r="DP4">
            <v>0</v>
          </cell>
          <cell r="DQ4">
            <v>6</v>
          </cell>
          <cell r="DR4">
            <v>0</v>
          </cell>
          <cell r="DS4">
            <v>0</v>
          </cell>
          <cell r="DT4">
            <v>0</v>
          </cell>
          <cell r="DU4">
            <v>0</v>
          </cell>
        </row>
        <row r="5">
          <cell r="A5" t="str">
            <v>Aguona</v>
          </cell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  <cell r="DH5">
            <v>0</v>
          </cell>
          <cell r="DI5">
            <v>0</v>
          </cell>
          <cell r="DJ5">
            <v>0</v>
          </cell>
          <cell r="DK5">
            <v>0</v>
          </cell>
          <cell r="DL5">
            <v>0</v>
          </cell>
          <cell r="DM5">
            <v>0</v>
          </cell>
          <cell r="DN5">
            <v>0</v>
          </cell>
          <cell r="DO5">
            <v>0</v>
          </cell>
          <cell r="DP5">
            <v>0</v>
          </cell>
          <cell r="DQ5">
            <v>0</v>
          </cell>
          <cell r="DR5">
            <v>0</v>
          </cell>
          <cell r="DS5">
            <v>0</v>
          </cell>
          <cell r="DT5">
            <v>0</v>
          </cell>
          <cell r="DU5">
            <v>0</v>
          </cell>
        </row>
        <row r="6">
          <cell r="A6" t="str">
            <v>Alain</v>
          </cell>
          <cell r="DC6">
            <v>0</v>
          </cell>
          <cell r="DD6">
            <v>0</v>
          </cell>
          <cell r="DE6">
            <v>0</v>
          </cell>
          <cell r="DF6">
            <v>3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>
            <v>1</v>
          </cell>
          <cell r="DM6">
            <v>0</v>
          </cell>
          <cell r="DN6">
            <v>0</v>
          </cell>
          <cell r="DO6">
            <v>0</v>
          </cell>
          <cell r="DP6">
            <v>2</v>
          </cell>
          <cell r="DQ6">
            <v>0</v>
          </cell>
          <cell r="DR6">
            <v>2</v>
          </cell>
          <cell r="DS6">
            <v>0</v>
          </cell>
          <cell r="DT6">
            <v>0</v>
          </cell>
          <cell r="DU6">
            <v>2</v>
          </cell>
        </row>
        <row r="7">
          <cell r="A7" t="str">
            <v>Lausdat</v>
          </cell>
          <cell r="DC7">
            <v>0</v>
          </cell>
          <cell r="DD7">
            <v>0</v>
          </cell>
          <cell r="DE7">
            <v>0</v>
          </cell>
          <cell r="DF7">
            <v>5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>
            <v>4</v>
          </cell>
          <cell r="DM7">
            <v>0</v>
          </cell>
          <cell r="DN7">
            <v>1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</row>
        <row r="8">
          <cell r="A8" t="str">
            <v>Jacottin</v>
          </cell>
          <cell r="DC8">
            <v>0</v>
          </cell>
          <cell r="DD8">
            <v>0</v>
          </cell>
          <cell r="DE8">
            <v>0</v>
          </cell>
          <cell r="DF8">
            <v>2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2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</row>
        <row r="9">
          <cell r="A9" t="str">
            <v>Sirius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1</v>
          </cell>
          <cell r="DJ9">
            <v>0</v>
          </cell>
          <cell r="DK9">
            <v>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</row>
        <row r="10">
          <cell r="A10" t="str">
            <v>Topaze</v>
          </cell>
          <cell r="DC10">
            <v>2</v>
          </cell>
          <cell r="DD10">
            <v>0</v>
          </cell>
          <cell r="DE10">
            <v>0</v>
          </cell>
          <cell r="DF10">
            <v>11</v>
          </cell>
          <cell r="DG10">
            <v>0</v>
          </cell>
          <cell r="DH10">
            <v>1</v>
          </cell>
          <cell r="DI10">
            <v>0</v>
          </cell>
          <cell r="DJ10">
            <v>0</v>
          </cell>
          <cell r="DK10">
            <v>0</v>
          </cell>
          <cell r="DL10">
            <v>0</v>
          </cell>
          <cell r="DM10">
            <v>0</v>
          </cell>
          <cell r="DN10">
            <v>2</v>
          </cell>
          <cell r="DO10">
            <v>9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0</v>
          </cell>
        </row>
        <row r="11">
          <cell r="A11" t="str">
            <v>Tiana</v>
          </cell>
          <cell r="DC11">
            <v>0</v>
          </cell>
          <cell r="DD11">
            <v>0</v>
          </cell>
          <cell r="DE11">
            <v>0</v>
          </cell>
          <cell r="DF11">
            <v>1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1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4</v>
          </cell>
          <cell r="DS11">
            <v>0</v>
          </cell>
          <cell r="DT11">
            <v>0</v>
          </cell>
          <cell r="DU11">
            <v>4</v>
          </cell>
        </row>
        <row r="12">
          <cell r="A12" t="str">
            <v>Ultra chic</v>
          </cell>
          <cell r="DC12">
            <v>25</v>
          </cell>
          <cell r="DD12">
            <v>4</v>
          </cell>
          <cell r="DE12">
            <v>0</v>
          </cell>
          <cell r="DF12">
            <v>17</v>
          </cell>
          <cell r="DG12">
            <v>0</v>
          </cell>
          <cell r="DH12">
            <v>1</v>
          </cell>
          <cell r="DI12">
            <v>0</v>
          </cell>
          <cell r="DJ12">
            <v>0</v>
          </cell>
          <cell r="DK12">
            <v>0</v>
          </cell>
          <cell r="DL12">
            <v>4</v>
          </cell>
          <cell r="DM12">
            <v>9</v>
          </cell>
          <cell r="DN12">
            <v>2</v>
          </cell>
          <cell r="DO12">
            <v>1</v>
          </cell>
          <cell r="DP12">
            <v>1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</row>
        <row r="13">
          <cell r="A13" t="str">
            <v>Very love</v>
          </cell>
          <cell r="DC13">
            <v>0</v>
          </cell>
          <cell r="DD13">
            <v>0</v>
          </cell>
          <cell r="DE13">
            <v>0</v>
          </cell>
          <cell r="DF13">
            <v>1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1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4</v>
          </cell>
          <cell r="DS13">
            <v>0</v>
          </cell>
          <cell r="DT13">
            <v>0</v>
          </cell>
          <cell r="DU13">
            <v>4</v>
          </cell>
        </row>
        <row r="14">
          <cell r="A14" t="str">
            <v>Quiche</v>
          </cell>
          <cell r="DC14">
            <v>1</v>
          </cell>
          <cell r="DD14">
            <v>1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>
            <v>0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14</v>
          </cell>
          <cell r="DU14">
            <v>14</v>
          </cell>
        </row>
        <row r="15">
          <cell r="A15" t="str">
            <v>Loriot</v>
          </cell>
          <cell r="DC15">
            <v>0</v>
          </cell>
          <cell r="DD15">
            <v>0</v>
          </cell>
          <cell r="DE15">
            <v>0</v>
          </cell>
          <cell r="DF15">
            <v>2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</row>
        <row r="16">
          <cell r="A16" t="str">
            <v>Chanel</v>
          </cell>
          <cell r="DC16">
            <v>23</v>
          </cell>
          <cell r="DD16">
            <v>4</v>
          </cell>
          <cell r="DE16">
            <v>2</v>
          </cell>
          <cell r="DF16">
            <v>9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4</v>
          </cell>
          <cell r="DN16">
            <v>0</v>
          </cell>
          <cell r="DO16">
            <v>0</v>
          </cell>
          <cell r="DP16">
            <v>1</v>
          </cell>
          <cell r="DQ16">
            <v>4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</row>
        <row r="17">
          <cell r="A17" t="str">
            <v>Christine</v>
          </cell>
          <cell r="DC17">
            <v>0</v>
          </cell>
          <cell r="DD17">
            <v>0</v>
          </cell>
          <cell r="DE17">
            <v>0</v>
          </cell>
          <cell r="DF17">
            <v>3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0</v>
          </cell>
          <cell r="DP17">
            <v>3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</row>
        <row r="18">
          <cell r="A18" t="str">
            <v>Sweet</v>
          </cell>
          <cell r="DC18">
            <v>21</v>
          </cell>
          <cell r="DD18">
            <v>0</v>
          </cell>
          <cell r="DE18">
            <v>0</v>
          </cell>
          <cell r="DF18">
            <v>4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>
            <v>3</v>
          </cell>
          <cell r="DO18">
            <v>1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</row>
        <row r="19">
          <cell r="A19" t="str">
            <v>Encanto</v>
          </cell>
          <cell r="DC19">
            <v>0</v>
          </cell>
          <cell r="DD19">
            <v>0</v>
          </cell>
          <cell r="DE19">
            <v>0</v>
          </cell>
          <cell r="DF19">
            <v>1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1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</row>
        <row r="20">
          <cell r="A20" t="str">
            <v>Esquire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</row>
        <row r="21">
          <cell r="A21" t="str">
            <v>Extra</v>
          </cell>
          <cell r="DC21">
            <v>0</v>
          </cell>
          <cell r="DD21">
            <v>0</v>
          </cell>
          <cell r="DE21">
            <v>0</v>
          </cell>
          <cell r="DF21">
            <v>1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1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</row>
        <row r="22">
          <cell r="A22" t="str">
            <v>Felini</v>
          </cell>
          <cell r="DC22">
            <v>22</v>
          </cell>
          <cell r="DD22">
            <v>0</v>
          </cell>
          <cell r="DE22">
            <v>0</v>
          </cell>
          <cell r="DF22">
            <v>1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1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</row>
        <row r="23">
          <cell r="A23" t="str">
            <v>Fire boy</v>
          </cell>
          <cell r="DC23">
            <v>3</v>
          </cell>
          <cell r="DD23">
            <v>1</v>
          </cell>
          <cell r="DE23">
            <v>0</v>
          </cell>
          <cell r="DF23">
            <v>3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3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</row>
        <row r="24">
          <cell r="A24" t="str">
            <v>Toscane</v>
          </cell>
          <cell r="DC24">
            <v>4</v>
          </cell>
          <cell r="DD24">
            <v>0</v>
          </cell>
          <cell r="DE24">
            <v>0</v>
          </cell>
          <cell r="DF24">
            <v>10</v>
          </cell>
          <cell r="DG24">
            <v>0</v>
          </cell>
          <cell r="DH24">
            <v>1</v>
          </cell>
          <cell r="DI24">
            <v>0</v>
          </cell>
          <cell r="DJ24">
            <v>1</v>
          </cell>
          <cell r="DK24">
            <v>0</v>
          </cell>
          <cell r="DL24">
            <v>0</v>
          </cell>
          <cell r="DM24">
            <v>0</v>
          </cell>
          <cell r="DN24">
            <v>3</v>
          </cell>
          <cell r="DO24">
            <v>7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</row>
        <row r="25">
          <cell r="A25" t="str">
            <v>Gigolo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</row>
        <row r="26">
          <cell r="A26" t="str">
            <v>Herculus</v>
          </cell>
          <cell r="DC26">
            <v>0</v>
          </cell>
          <cell r="DD26">
            <v>0</v>
          </cell>
          <cell r="DE26">
            <v>0</v>
          </cell>
          <cell r="DF26">
            <v>1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1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</row>
        <row r="27">
          <cell r="A27" t="str">
            <v>Imke</v>
          </cell>
          <cell r="DC27">
            <v>0</v>
          </cell>
          <cell r="DD27">
            <v>0</v>
          </cell>
          <cell r="DE27">
            <v>0</v>
          </cell>
          <cell r="DF27">
            <v>4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4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</row>
        <row r="28">
          <cell r="A28" t="str">
            <v>Jukebox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</row>
        <row r="29">
          <cell r="A29" t="str">
            <v>Karaguanda</v>
          </cell>
          <cell r="DC29">
            <v>21</v>
          </cell>
          <cell r="DD29">
            <v>4</v>
          </cell>
          <cell r="DE29">
            <v>0</v>
          </cell>
          <cell r="DF29">
            <v>4</v>
          </cell>
          <cell r="DG29">
            <v>0</v>
          </cell>
          <cell r="DH29">
            <v>1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4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</row>
        <row r="30">
          <cell r="A30" t="str">
            <v>Mephisto</v>
          </cell>
          <cell r="DC30">
            <v>3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</row>
        <row r="31">
          <cell r="A31" t="str">
            <v>Mexico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</row>
        <row r="32">
          <cell r="A32" t="str">
            <v>Morea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</row>
        <row r="33">
          <cell r="A33" t="str">
            <v>Nabca</v>
          </cell>
          <cell r="DC33">
            <v>0</v>
          </cell>
          <cell r="DD33">
            <v>0</v>
          </cell>
          <cell r="DE33">
            <v>0</v>
          </cell>
          <cell r="DF33">
            <v>3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2</v>
          </cell>
          <cell r="DM33">
            <v>0</v>
          </cell>
          <cell r="DN33">
            <v>1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</row>
        <row r="34">
          <cell r="A34" t="str">
            <v>Nathalie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</row>
        <row r="35">
          <cell r="A35" t="str">
            <v>Nepal</v>
          </cell>
          <cell r="DC35">
            <v>0</v>
          </cell>
          <cell r="DD35">
            <v>0</v>
          </cell>
          <cell r="DE35">
            <v>0</v>
          </cell>
          <cell r="DF35">
            <v>2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2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</row>
        <row r="36">
          <cell r="A36" t="str">
            <v>Nesitpa</v>
          </cell>
          <cell r="DC36">
            <v>0</v>
          </cell>
          <cell r="DD36">
            <v>0</v>
          </cell>
          <cell r="DE36">
            <v>0</v>
          </cell>
          <cell r="DF36">
            <v>2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2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</row>
        <row r="37">
          <cell r="A37" t="str">
            <v>Nivea</v>
          </cell>
          <cell r="DC37">
            <v>0</v>
          </cell>
          <cell r="DD37">
            <v>4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</row>
        <row r="38">
          <cell r="A38" t="str">
            <v>Ocarina</v>
          </cell>
          <cell r="DC38">
            <v>25</v>
          </cell>
          <cell r="DD38">
            <v>4</v>
          </cell>
          <cell r="DE38">
            <v>0</v>
          </cell>
          <cell r="DF38">
            <v>2</v>
          </cell>
          <cell r="DG38">
            <v>4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2</v>
          </cell>
          <cell r="DP38">
            <v>0</v>
          </cell>
          <cell r="DQ38">
            <v>0</v>
          </cell>
          <cell r="DR38">
            <v>0</v>
          </cell>
          <cell r="DS38">
            <v>1</v>
          </cell>
          <cell r="DT38">
            <v>2</v>
          </cell>
          <cell r="DU38">
            <v>3</v>
          </cell>
        </row>
        <row r="39">
          <cell r="A39" t="str">
            <v>Okapi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</row>
        <row r="40">
          <cell r="A40" t="str">
            <v>Oscar</v>
          </cell>
          <cell r="DC40">
            <v>0</v>
          </cell>
          <cell r="DD40">
            <v>4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</row>
        <row r="41">
          <cell r="A41" t="str">
            <v>Ozon</v>
          </cell>
          <cell r="DC41">
            <v>25</v>
          </cell>
          <cell r="DD41">
            <v>4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</row>
        <row r="42">
          <cell r="A42" t="str">
            <v>Paco</v>
          </cell>
          <cell r="DC42">
            <v>5</v>
          </cell>
          <cell r="DD42">
            <v>2</v>
          </cell>
          <cell r="DE42">
            <v>0</v>
          </cell>
          <cell r="DF42">
            <v>2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2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</row>
        <row r="43">
          <cell r="A43" t="str">
            <v>Palery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1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</row>
        <row r="44">
          <cell r="A44" t="str">
            <v>Penjab</v>
          </cell>
          <cell r="DC44">
            <v>19</v>
          </cell>
          <cell r="DD44">
            <v>3</v>
          </cell>
          <cell r="DE44">
            <v>3</v>
          </cell>
          <cell r="DF44">
            <v>1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1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</row>
        <row r="45">
          <cell r="A45" t="str">
            <v>Pharaon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</row>
        <row r="46">
          <cell r="A46" t="str">
            <v>Phil solo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</row>
        <row r="47">
          <cell r="A47" t="str">
            <v>Pianota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</row>
        <row r="48">
          <cell r="A48" t="str">
            <v>Pikatchou</v>
          </cell>
          <cell r="DC48">
            <v>0</v>
          </cell>
          <cell r="DD48">
            <v>0</v>
          </cell>
          <cell r="DE48">
            <v>1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</row>
        <row r="49">
          <cell r="A49" t="str">
            <v>Sadonik</v>
          </cell>
          <cell r="DC49">
            <v>0</v>
          </cell>
          <cell r="DD49">
            <v>0</v>
          </cell>
          <cell r="DE49">
            <v>0</v>
          </cell>
          <cell r="DF49">
            <v>20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2</v>
          </cell>
          <cell r="DM49">
            <v>0</v>
          </cell>
          <cell r="DN49">
            <v>0</v>
          </cell>
          <cell r="DO49">
            <v>0</v>
          </cell>
          <cell r="DP49">
            <v>10</v>
          </cell>
          <cell r="DQ49">
            <v>8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</row>
        <row r="50">
          <cell r="A50" t="str">
            <v>Pop corn</v>
          </cell>
          <cell r="DC50">
            <v>0</v>
          </cell>
          <cell r="DD50">
            <v>0</v>
          </cell>
          <cell r="DE50">
            <v>0</v>
          </cell>
          <cell r="DF50">
            <v>4</v>
          </cell>
          <cell r="DG50">
            <v>0</v>
          </cell>
          <cell r="DH50">
            <v>1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4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</row>
        <row r="51">
          <cell r="A51" t="str">
            <v>Prada</v>
          </cell>
          <cell r="DC51">
            <v>0</v>
          </cell>
          <cell r="DD51">
            <v>0</v>
          </cell>
          <cell r="DE51">
            <v>0</v>
          </cell>
          <cell r="DF51">
            <v>2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2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</row>
        <row r="52">
          <cell r="A52" t="str">
            <v>Bartoli M</v>
          </cell>
          <cell r="DC52">
            <v>0</v>
          </cell>
          <cell r="DD52">
            <v>0</v>
          </cell>
          <cell r="DE52">
            <v>0</v>
          </cell>
          <cell r="DF52">
            <v>2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2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</row>
        <row r="53">
          <cell r="A53" t="str">
            <v>Qualité Perrières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1</v>
          </cell>
          <cell r="DS53">
            <v>0</v>
          </cell>
          <cell r="DT53">
            <v>0</v>
          </cell>
          <cell r="DU53">
            <v>1</v>
          </cell>
        </row>
        <row r="54">
          <cell r="A54" t="str">
            <v>Reve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</row>
        <row r="55">
          <cell r="A55" t="str">
            <v>Roxy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</row>
        <row r="57">
          <cell r="A57" t="str">
            <v>Saga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</row>
        <row r="58">
          <cell r="A58" t="str">
            <v>Sateen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</row>
        <row r="59">
          <cell r="A59" t="str">
            <v>Sonate</v>
          </cell>
          <cell r="DC59">
            <v>5</v>
          </cell>
          <cell r="DD59">
            <v>0</v>
          </cell>
          <cell r="DE59">
            <v>0</v>
          </cell>
          <cell r="DF59">
            <v>9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>
            <v>3</v>
          </cell>
          <cell r="DM59">
            <v>3</v>
          </cell>
          <cell r="DN59">
            <v>0</v>
          </cell>
          <cell r="DO59">
            <v>0</v>
          </cell>
          <cell r="DP59">
            <v>1</v>
          </cell>
          <cell r="DQ59">
            <v>2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</row>
        <row r="60">
          <cell r="A60" t="str">
            <v>Sorgho</v>
          </cell>
          <cell r="DC60">
            <v>0</v>
          </cell>
          <cell r="DD60">
            <v>0</v>
          </cell>
          <cell r="DE60">
            <v>6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</row>
        <row r="61">
          <cell r="A61" t="str">
            <v>Sujoka</v>
          </cell>
          <cell r="DC61">
            <v>2</v>
          </cell>
          <cell r="DD61">
            <v>0</v>
          </cell>
          <cell r="DE61">
            <v>0</v>
          </cell>
          <cell r="DF61">
            <v>7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7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</row>
        <row r="62">
          <cell r="A62" t="str">
            <v>Sweaty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0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</row>
      </sheetData>
      <sheetData sheetId="1">
        <row r="3">
          <cell r="B3" t="str">
            <v>Sciez 27 et 28 février</v>
          </cell>
        </row>
        <row r="4">
          <cell r="B4">
            <v>20</v>
          </cell>
          <cell r="C4">
            <v>20</v>
          </cell>
          <cell r="D4">
            <v>1</v>
          </cell>
          <cell r="G4">
            <v>20</v>
          </cell>
          <cell r="H4">
            <v>20</v>
          </cell>
          <cell r="M4">
            <v>20</v>
          </cell>
          <cell r="R4">
            <v>20</v>
          </cell>
          <cell r="S4">
            <v>1</v>
          </cell>
          <cell r="W4">
            <v>20</v>
          </cell>
        </row>
        <row r="5">
          <cell r="B5" t="str">
            <v>trsp1</v>
          </cell>
          <cell r="C5" t="str">
            <v>deten1</v>
          </cell>
          <cell r="D5" t="str">
            <v>boxes1</v>
          </cell>
          <cell r="E5" t="str">
            <v>eng1</v>
          </cell>
          <cell r="F5" t="str">
            <v>gains</v>
          </cell>
          <cell r="G5" t="str">
            <v>trsp2</v>
          </cell>
          <cell r="H5" t="str">
            <v>deten2</v>
          </cell>
          <cell r="I5" t="str">
            <v>boxes2</v>
          </cell>
          <cell r="J5" t="str">
            <v>eng2</v>
          </cell>
          <cell r="K5" t="str">
            <v>gains</v>
          </cell>
          <cell r="L5" t="str">
            <v>trsp3</v>
          </cell>
          <cell r="M5" t="str">
            <v>deten3</v>
          </cell>
          <cell r="N5" t="str">
            <v>boxes3</v>
          </cell>
          <cell r="O5" t="str">
            <v>eng3</v>
          </cell>
          <cell r="P5" t="str">
            <v>gains</v>
          </cell>
          <cell r="Q5" t="str">
            <v>trsp4</v>
          </cell>
          <cell r="R5" t="str">
            <v>deten4</v>
          </cell>
          <cell r="S5" t="str">
            <v>boxes4</v>
          </cell>
          <cell r="T5" t="str">
            <v>eng4</v>
          </cell>
          <cell r="U5" t="str">
            <v>gains</v>
          </cell>
          <cell r="V5" t="str">
            <v>trsp5</v>
          </cell>
          <cell r="W5" t="str">
            <v>deten5</v>
          </cell>
          <cell r="X5" t="str">
            <v>boxes5</v>
          </cell>
          <cell r="Y5" t="str">
            <v>eng5</v>
          </cell>
          <cell r="Z5" t="str">
            <v>gains</v>
          </cell>
        </row>
        <row r="6">
          <cell r="A6" t="str">
            <v>Adonis</v>
          </cell>
          <cell r="C6">
            <v>5</v>
          </cell>
        </row>
        <row r="7">
          <cell r="A7" t="str">
            <v>Alain</v>
          </cell>
        </row>
        <row r="8">
          <cell r="A8" t="str">
            <v>Toscane</v>
          </cell>
          <cell r="C8">
            <v>4</v>
          </cell>
          <cell r="E8">
            <v>72</v>
          </cell>
        </row>
        <row r="9">
          <cell r="A9" t="str">
            <v>Carinus</v>
          </cell>
        </row>
        <row r="10">
          <cell r="A10" t="str">
            <v>Sweet</v>
          </cell>
          <cell r="B10">
            <v>1</v>
          </cell>
          <cell r="C10">
            <v>1</v>
          </cell>
          <cell r="E10">
            <v>43</v>
          </cell>
        </row>
        <row r="11">
          <cell r="A11" t="str">
            <v>Tango</v>
          </cell>
          <cell r="C11">
            <v>2</v>
          </cell>
        </row>
        <row r="12">
          <cell r="A12" t="str">
            <v>Extra</v>
          </cell>
        </row>
        <row r="13">
          <cell r="A13" t="str">
            <v>Gigolo</v>
          </cell>
          <cell r="B13">
            <v>2</v>
          </cell>
          <cell r="C13">
            <v>2</v>
          </cell>
          <cell r="E13">
            <v>43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vail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Relationship Id="rId2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L104"/>
  <sheetViews>
    <sheetView showZeros="0" tabSelected="1" topLeftCell="A54" zoomScale="120" zoomScaleNormal="120" zoomScalePageLayoutView="120" workbookViewId="0">
      <selection activeCell="A104" sqref="A104"/>
    </sheetView>
  </sheetViews>
  <sheetFormatPr baseColWidth="10" defaultColWidth="11.5" defaultRowHeight="16" x14ac:dyDescent="0.2"/>
  <cols>
    <col min="1" max="1" width="24.5" style="3" customWidth="1"/>
    <col min="2" max="2" width="17.1640625" style="3" customWidth="1"/>
    <col min="3" max="3" width="14.1640625" style="3" customWidth="1"/>
    <col min="4" max="4" width="15.83203125" style="3" customWidth="1"/>
    <col min="5" max="5" width="11.83203125" style="36" customWidth="1"/>
    <col min="6" max="6" width="14.6640625" style="3" customWidth="1"/>
    <col min="7" max="7" width="11.5" style="2"/>
    <col min="8" max="16384" width="11.5" style="3"/>
  </cols>
  <sheetData>
    <row r="1" spans="1:12" x14ac:dyDescent="0.2">
      <c r="A1" s="1"/>
      <c r="B1" s="1"/>
      <c r="C1" s="105" t="s">
        <v>0</v>
      </c>
      <c r="D1" s="105"/>
      <c r="E1" s="106">
        <f>[1]travail!A3</f>
        <v>42401</v>
      </c>
      <c r="F1" s="107"/>
    </row>
    <row r="2" spans="1:12" x14ac:dyDescent="0.2">
      <c r="A2" s="1"/>
      <c r="B2" s="1"/>
      <c r="C2" s="1"/>
      <c r="D2" s="1"/>
      <c r="E2" s="4"/>
      <c r="F2" s="1"/>
    </row>
    <row r="3" spans="1:12" x14ac:dyDescent="0.2">
      <c r="A3" s="1"/>
      <c r="B3" s="1"/>
      <c r="C3" s="1"/>
      <c r="D3" s="1"/>
      <c r="E3" s="4"/>
      <c r="F3" s="1"/>
    </row>
    <row r="4" spans="1:12" s="10" customFormat="1" x14ac:dyDescent="0.2">
      <c r="A4" s="5" t="s">
        <v>1</v>
      </c>
      <c r="B4" s="6" t="s">
        <v>2</v>
      </c>
      <c r="C4" s="7"/>
      <c r="D4" s="8" t="s">
        <v>3</v>
      </c>
      <c r="E4" s="108" t="s">
        <v>80</v>
      </c>
      <c r="F4" s="109"/>
      <c r="G4" s="9"/>
    </row>
    <row r="5" spans="1:12" x14ac:dyDescent="0.2">
      <c r="A5" s="11"/>
      <c r="B5" s="6"/>
      <c r="C5" s="1"/>
      <c r="D5" s="12"/>
      <c r="E5" s="13"/>
      <c r="F5" s="1"/>
    </row>
    <row r="6" spans="1:12" x14ac:dyDescent="0.2">
      <c r="A6" s="1"/>
      <c r="B6" s="6"/>
      <c r="C6" s="1"/>
      <c r="D6" s="14" t="s">
        <v>4</v>
      </c>
      <c r="E6" s="15" t="s">
        <v>5</v>
      </c>
      <c r="F6" s="15" t="s">
        <v>6</v>
      </c>
      <c r="G6" s="2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</row>
    <row r="7" spans="1:12" x14ac:dyDescent="0.2">
      <c r="A7" s="12" t="s">
        <v>13</v>
      </c>
      <c r="B7" s="16">
        <f>[1]travail!A1</f>
        <v>42430</v>
      </c>
      <c r="C7" s="1"/>
      <c r="D7" s="17">
        <v>658</v>
      </c>
      <c r="E7" s="18">
        <v>1</v>
      </c>
      <c r="F7" s="17">
        <f t="shared" ref="F7:F42" si="0">D7*E7</f>
        <v>658</v>
      </c>
      <c r="G7" s="19">
        <f>580*E7</f>
        <v>580</v>
      </c>
      <c r="H7" s="19">
        <f>38.42*E7</f>
        <v>38.42</v>
      </c>
      <c r="I7" s="3">
        <f>31.9*E7</f>
        <v>31.9</v>
      </c>
      <c r="J7" s="3">
        <f>7.68*E7</f>
        <v>7.68</v>
      </c>
      <c r="L7" s="19">
        <f>SUM(G7:K7)</f>
        <v>657.99999999999989</v>
      </c>
    </row>
    <row r="8" spans="1:12" x14ac:dyDescent="0.2">
      <c r="A8" s="1"/>
      <c r="B8" s="11"/>
      <c r="C8" s="1"/>
      <c r="D8" s="17"/>
      <c r="E8" s="15"/>
      <c r="F8" s="20">
        <f t="shared" si="0"/>
        <v>0</v>
      </c>
      <c r="G8" s="19">
        <f>IF(F8=0,0,580)</f>
        <v>0</v>
      </c>
      <c r="L8" s="19">
        <f t="shared" ref="L8:L51" si="1">SUM(G8:K8)</f>
        <v>0</v>
      </c>
    </row>
    <row r="9" spans="1:12" x14ac:dyDescent="0.2">
      <c r="A9" s="12" t="s">
        <v>14</v>
      </c>
      <c r="B9" s="1" t="s">
        <v>15</v>
      </c>
      <c r="C9" s="1"/>
      <c r="D9" s="17">
        <v>6.1</v>
      </c>
      <c r="E9" s="15">
        <f>IF(A10&lt;=9,A10,0)</f>
        <v>0</v>
      </c>
      <c r="F9" s="17">
        <f t="shared" si="0"/>
        <v>0</v>
      </c>
      <c r="G9" s="19">
        <f>IF(F9=0,0,4.5*E9)</f>
        <v>0</v>
      </c>
      <c r="H9" s="19">
        <f>IF(G9=0,0,1.12*E9)</f>
        <v>0</v>
      </c>
      <c r="I9" s="19">
        <f>IF(G9=0,0,0.25*E9)</f>
        <v>0</v>
      </c>
      <c r="J9" s="19">
        <f>IF(H9=0,0,0.23*E9)</f>
        <v>0</v>
      </c>
      <c r="L9" s="19">
        <f t="shared" si="1"/>
        <v>0</v>
      </c>
    </row>
    <row r="10" spans="1:12" x14ac:dyDescent="0.2">
      <c r="A10" s="4">
        <f>SUMPRODUCT((B4=[1]travail!A4:A62)*([1]travail!DC3:DU3="marcheur")*([1]travail!DC4:DU62)+(B5=[1]travail!A4:A62)*([1]travail!DC3:DU3="marcheur")*([1]travail!DC4:DU62)+(B6=[1]travail!A4:A62)*([1]travail!DC3:DU3="marcheur")*([1]travail!DC4:DU62)+(B3=[1]travail!A4:A62)*([1]travail!DC3:DU3="marcheur")*([1]travail!DC4:DU62))</f>
        <v>25</v>
      </c>
      <c r="B10" s="1" t="s">
        <v>16</v>
      </c>
      <c r="C10" s="1"/>
      <c r="D10" s="17">
        <v>5.6</v>
      </c>
      <c r="E10" s="15">
        <f>IF(AND(A10&gt;9,A10&lt;20),A10,0)</f>
        <v>0</v>
      </c>
      <c r="F10" s="17">
        <f t="shared" si="0"/>
        <v>0</v>
      </c>
      <c r="G10" s="19">
        <f>IF(F10=0,0,4.5*E10)</f>
        <v>0</v>
      </c>
      <c r="H10" s="19">
        <f>IF(G10=0,0,0.71*E10)</f>
        <v>0</v>
      </c>
      <c r="I10" s="19">
        <f t="shared" ref="I10:I13" si="2">IF(G10=0,0,0.25*E10)</f>
        <v>0</v>
      </c>
      <c r="J10" s="19">
        <f>IF(H10=0,0,0.14*E10)</f>
        <v>0</v>
      </c>
      <c r="L10" s="19">
        <f t="shared" si="1"/>
        <v>0</v>
      </c>
    </row>
    <row r="11" spans="1:12" x14ac:dyDescent="0.2">
      <c r="A11" s="1"/>
      <c r="B11" s="1" t="s">
        <v>17</v>
      </c>
      <c r="C11" s="1"/>
      <c r="D11" s="17">
        <v>5</v>
      </c>
      <c r="E11" s="15">
        <f>IF(A10&gt;19,A10,0)</f>
        <v>25</v>
      </c>
      <c r="F11" s="17">
        <f t="shared" si="0"/>
        <v>125</v>
      </c>
      <c r="G11" s="19">
        <f>IF(F11=0,0,4.5*E11)</f>
        <v>112.5</v>
      </c>
      <c r="H11" s="19">
        <f>IF(G11=0,0,0.21*E11)</f>
        <v>5.25</v>
      </c>
      <c r="I11" s="19">
        <f t="shared" si="2"/>
        <v>6.25</v>
      </c>
      <c r="J11" s="19">
        <f>IF(H11=0,0,0.04*E11)</f>
        <v>1</v>
      </c>
      <c r="L11" s="19">
        <f t="shared" si="1"/>
        <v>125</v>
      </c>
    </row>
    <row r="12" spans="1:12" x14ac:dyDescent="0.2">
      <c r="A12" s="1"/>
      <c r="B12" s="1"/>
      <c r="C12" s="1"/>
      <c r="D12" s="17"/>
      <c r="E12" s="15"/>
      <c r="F12" s="17">
        <f t="shared" si="0"/>
        <v>0</v>
      </c>
      <c r="G12" s="19">
        <f>IF(F12=0,0,9999)</f>
        <v>0</v>
      </c>
      <c r="H12" s="19">
        <f t="shared" ref="H12" si="3">IF(G12=0,0,1.13*E12)</f>
        <v>0</v>
      </c>
      <c r="I12" s="19">
        <f t="shared" si="2"/>
        <v>0</v>
      </c>
      <c r="J12" s="19"/>
      <c r="L12" s="19">
        <f t="shared" si="1"/>
        <v>0</v>
      </c>
    </row>
    <row r="13" spans="1:12" x14ac:dyDescent="0.2">
      <c r="A13" s="12" t="s">
        <v>18</v>
      </c>
      <c r="B13" s="1"/>
      <c r="C13" s="21"/>
      <c r="D13" s="17">
        <v>7</v>
      </c>
      <c r="E13" s="15">
        <f>SUMPRODUCT((B4=[1]travail!A4:A62)*([1]travail!DC3:DU3="marcheur dim")*([1]travail!DC4:DU62)+(B5=[1]travail!A4:A62)*([1]travail!DC3:DU3="marcheur dim")*([1]travail!DC4:DU62)+(B6=[1]travail!A4:A62)*([1]travail!DC3:DU3="marcheur dim")*([1]travail!DC4:DU62)+(B3=[1]travail!A4:A62)*([1]travail!DC3:DU3="marcheur dim")*([1]travail!DC4:DU62))</f>
        <v>4</v>
      </c>
      <c r="F13" s="17">
        <f t="shared" si="0"/>
        <v>28</v>
      </c>
      <c r="G13" s="19">
        <f>IF(F13=0,0,4.5*E13)</f>
        <v>18</v>
      </c>
      <c r="H13" s="19">
        <f>IF(G13=0,0,1.88*E13)</f>
        <v>7.52</v>
      </c>
      <c r="I13" s="19">
        <f t="shared" si="2"/>
        <v>1</v>
      </c>
      <c r="J13" s="19">
        <f>IF(H13=0,0,0.38*E13)</f>
        <v>1.52</v>
      </c>
      <c r="L13" s="19">
        <f t="shared" si="1"/>
        <v>28.04</v>
      </c>
    </row>
    <row r="14" spans="1:12" x14ac:dyDescent="0.2">
      <c r="A14" s="1"/>
      <c r="B14" s="1"/>
      <c r="C14" s="1"/>
      <c r="D14" s="17"/>
      <c r="E14" s="15"/>
      <c r="F14" s="17">
        <f t="shared" si="0"/>
        <v>0</v>
      </c>
      <c r="G14" s="19">
        <f>IF(F14=0,0,0)</f>
        <v>0</v>
      </c>
      <c r="H14" s="19"/>
      <c r="I14" s="19"/>
      <c r="J14" s="19"/>
      <c r="L14" s="19">
        <f t="shared" si="1"/>
        <v>0</v>
      </c>
    </row>
    <row r="15" spans="1:12" x14ac:dyDescent="0.2">
      <c r="A15" s="12" t="s">
        <v>19</v>
      </c>
      <c r="B15" s="1"/>
      <c r="C15" s="1" t="s">
        <v>20</v>
      </c>
      <c r="D15" s="17">
        <v>14</v>
      </c>
      <c r="E15" s="15">
        <f>SUMPRODUCT((B4=[1]travail!A4:A62)*([1]travail!DC3:DU3="tapis")*([1]travail!DC4:DU62)+(B5=[1]travail!A4:A62)*([1]travail!DC3:DU3="tapis")*([1]travail!DC4:DU62)+(B6=[1]travail!A4:A62)*([1]travail!DC3:DU3="tapis")*([1]travail!DC4:DU62)+(B3=[1]travail!A4:A62)*([1]travail!DC3:DU3="tapis")*([1]travail!DC4:DU62))</f>
        <v>0</v>
      </c>
      <c r="F15" s="17">
        <f t="shared" si="0"/>
        <v>0</v>
      </c>
      <c r="G15" s="19">
        <f>IF(F15=0,0,11.5*E15)</f>
        <v>0</v>
      </c>
      <c r="H15" s="19">
        <f>IF(G15=0,0,1.56*E15)</f>
        <v>0</v>
      </c>
      <c r="I15" s="19">
        <f>IF(G15=0,0,0.63*E15)</f>
        <v>0</v>
      </c>
      <c r="J15" s="19">
        <f>IF(H15=0,0,0.31*E15)</f>
        <v>0</v>
      </c>
      <c r="L15" s="19">
        <f t="shared" si="1"/>
        <v>0</v>
      </c>
    </row>
    <row r="16" spans="1:12" x14ac:dyDescent="0.2">
      <c r="A16" s="1"/>
      <c r="B16" s="1" t="s">
        <v>21</v>
      </c>
      <c r="C16" s="1"/>
      <c r="D16" s="17">
        <v>250</v>
      </c>
      <c r="E16" s="15"/>
      <c r="F16" s="17">
        <f t="shared" si="0"/>
        <v>0</v>
      </c>
      <c r="G16" s="19"/>
      <c r="H16" s="19"/>
      <c r="I16" s="19"/>
      <c r="J16" s="19">
        <f t="shared" ref="J16" si="4">IF(H16=0,0,0.31*E16)</f>
        <v>0</v>
      </c>
      <c r="L16" s="19">
        <f t="shared" si="1"/>
        <v>0</v>
      </c>
    </row>
    <row r="17" spans="1:12" x14ac:dyDescent="0.2">
      <c r="A17" s="12" t="s">
        <v>22</v>
      </c>
      <c r="B17" s="1"/>
      <c r="C17" s="1"/>
      <c r="D17" s="17">
        <v>28</v>
      </c>
      <c r="E17" s="15">
        <f>SUMPRODUCT((B4=[1]travail!A4:A62)*([1]travail!DC3:DU3="total collectifs")*([1]travail!DC4:DU62)+(B5=[1]travail!A4:A62)*([1]travail!DC3:DU3="total collectifs")*([1]travail!DC4:DU62)+(B6=[1]travail!A4:A62)*([1]travail!DC3:DU3="total collectifs")*([1]travail!DC4:DU62)+(B3=[1]travail!A4:A62)*([1]travail!DC3:DU3="total collectifs")*([1]travail!DC4:DU62))</f>
        <v>0</v>
      </c>
      <c r="F17" s="17">
        <f t="shared" si="0"/>
        <v>0</v>
      </c>
      <c r="H17" s="19">
        <f>IF(F17&gt;0,23.33*E17,0)</f>
        <v>0</v>
      </c>
      <c r="I17" s="19"/>
      <c r="J17" s="19">
        <f t="shared" ref="J17:J27" si="5">IF(H17=0,0,H17*20%)</f>
        <v>0</v>
      </c>
      <c r="L17" s="19">
        <f t="shared" si="1"/>
        <v>0</v>
      </c>
    </row>
    <row r="18" spans="1:12" x14ac:dyDescent="0.2">
      <c r="A18" s="22" t="s">
        <v>23</v>
      </c>
      <c r="B18" s="1" t="s">
        <v>24</v>
      </c>
      <c r="C18" s="1"/>
      <c r="D18" s="17">
        <v>36</v>
      </c>
      <c r="E18" s="15">
        <f>IF(A19&lt;=7,A19,0)</f>
        <v>0</v>
      </c>
      <c r="F18" s="17">
        <f t="shared" si="0"/>
        <v>0</v>
      </c>
      <c r="G18" s="19"/>
      <c r="H18" s="19">
        <f>IF(F18&gt;0,30*E18,0)</f>
        <v>0</v>
      </c>
      <c r="I18" s="19"/>
      <c r="J18" s="19">
        <f t="shared" si="5"/>
        <v>0</v>
      </c>
      <c r="L18" s="19">
        <f t="shared" si="1"/>
        <v>0</v>
      </c>
    </row>
    <row r="19" spans="1:12" x14ac:dyDescent="0.2">
      <c r="A19" s="23">
        <f>SUMPRODUCT((B4=[1]travail!A4:A62)*([1]travail!DC3:DU3="total cours")*([1]travail!DC4:DU62)+(B5=[1]travail!A4:A62)*([1]travail!DC3:DU3="total cours")*([1]travail!DC4:DU62)+(B6=[1]travail!A4:A62)*([1]travail!DC3:DU3="total cours")*([1]travail!DC4:DU62)+(B3=[1]travail!A4:A62)*([1]travail!DC3:DU3="total cours")*([1]travail!DC4:DU62))</f>
        <v>0</v>
      </c>
      <c r="B19" s="1" t="s">
        <v>25</v>
      </c>
      <c r="C19" s="1"/>
      <c r="D19" s="17">
        <v>34</v>
      </c>
      <c r="E19" s="15">
        <f>IF(AND(A19&gt;7,A19&lt;12),A19,0)</f>
        <v>0</v>
      </c>
      <c r="F19" s="17">
        <f t="shared" si="0"/>
        <v>0</v>
      </c>
      <c r="G19" s="19"/>
      <c r="H19" s="19">
        <f>IF(F19&gt;0,28.335*E19,0)</f>
        <v>0</v>
      </c>
      <c r="I19" s="19"/>
      <c r="J19" s="19">
        <f t="shared" si="5"/>
        <v>0</v>
      </c>
      <c r="L19" s="19">
        <f t="shared" si="1"/>
        <v>0</v>
      </c>
    </row>
    <row r="20" spans="1:12" x14ac:dyDescent="0.2">
      <c r="A20" s="24"/>
      <c r="B20" s="1" t="s">
        <v>26</v>
      </c>
      <c r="C20" s="1"/>
      <c r="D20" s="17">
        <v>32</v>
      </c>
      <c r="E20" s="15">
        <f>IF(AND(A19&gt;11,A19&lt;17),A19,0)</f>
        <v>0</v>
      </c>
      <c r="F20" s="17">
        <f t="shared" si="0"/>
        <v>0</v>
      </c>
      <c r="G20" s="19"/>
      <c r="H20" s="19">
        <f>IF(F20&gt;0,26.67*E20,0)</f>
        <v>0</v>
      </c>
      <c r="I20" s="19"/>
      <c r="J20" s="19">
        <f t="shared" si="5"/>
        <v>0</v>
      </c>
      <c r="L20" s="19">
        <f t="shared" si="1"/>
        <v>0</v>
      </c>
    </row>
    <row r="21" spans="1:12" x14ac:dyDescent="0.2">
      <c r="A21" s="24"/>
      <c r="B21" s="1" t="s">
        <v>27</v>
      </c>
      <c r="C21" s="1"/>
      <c r="D21" s="17">
        <v>30</v>
      </c>
      <c r="E21" s="15">
        <f>IF(A19&gt;16,A19,0)</f>
        <v>0</v>
      </c>
      <c r="F21" s="17">
        <f t="shared" si="0"/>
        <v>0</v>
      </c>
      <c r="G21" s="19"/>
      <c r="H21" s="19">
        <f>IF(F21&gt;0,25*E21,0)</f>
        <v>0</v>
      </c>
      <c r="I21" s="19"/>
      <c r="J21" s="19">
        <f t="shared" si="5"/>
        <v>0</v>
      </c>
      <c r="L21" s="19">
        <f t="shared" si="1"/>
        <v>0</v>
      </c>
    </row>
    <row r="22" spans="1:12" s="1" customFormat="1" ht="19" x14ac:dyDescent="0.25">
      <c r="A22" s="25" t="s">
        <v>28</v>
      </c>
      <c r="D22" s="17"/>
      <c r="E22" s="15"/>
      <c r="F22" s="17">
        <f t="shared" si="0"/>
        <v>0</v>
      </c>
      <c r="G22" s="26"/>
      <c r="H22" s="19">
        <f t="shared" ref="H22" si="6">IF(F22&gt;0,25*E22,0)</f>
        <v>0</v>
      </c>
      <c r="I22" s="26"/>
      <c r="J22" s="19">
        <f t="shared" si="5"/>
        <v>0</v>
      </c>
      <c r="L22" s="19">
        <f t="shared" si="1"/>
        <v>0</v>
      </c>
    </row>
    <row r="23" spans="1:12" s="1" customFormat="1" x14ac:dyDescent="0.2">
      <c r="A23" s="1" t="s">
        <v>29</v>
      </c>
      <c r="B23" s="1" t="str">
        <f>[1]concours!B3</f>
        <v>Sciez 27 et 28 février</v>
      </c>
      <c r="D23" s="17">
        <f>[1]concours!C4</f>
        <v>20</v>
      </c>
      <c r="E23" s="15">
        <f>SUMPRODUCT((B4=[1]concours!A6:A13)*([1]concours!B5:Z5="deten1")*([1]concours!B6:Z13)+(B5=[1]concours!A6:A13)*([1]concours!B5:Z5="deten1")*([1]concours!B6:Z13)+(B6=[1]concours!A6:A13)*([1]concours!B5:Z5="deten1")*([1]concours!B6:Z13))</f>
        <v>0</v>
      </c>
      <c r="F23" s="17">
        <f t="shared" si="0"/>
        <v>0</v>
      </c>
      <c r="G23" s="26"/>
      <c r="H23" s="19">
        <f>IF(F23&gt;0,16.67*E23,0)</f>
        <v>0</v>
      </c>
      <c r="I23" s="26"/>
      <c r="J23" s="19">
        <f t="shared" si="5"/>
        <v>0</v>
      </c>
      <c r="L23" s="19">
        <f t="shared" si="1"/>
        <v>0</v>
      </c>
    </row>
    <row r="24" spans="1:12" s="1" customFormat="1" ht="15" customHeight="1" x14ac:dyDescent="0.2">
      <c r="A24" s="1" t="s">
        <v>29</v>
      </c>
      <c r="B24" s="1">
        <f>[1]concours!G3</f>
        <v>0</v>
      </c>
      <c r="D24" s="17">
        <f>[1]concours!H4</f>
        <v>20</v>
      </c>
      <c r="E24" s="15">
        <f>SUMPRODUCT((B4=[1]concours!A6:A13)*([1]concours!B5:Z5="deten2")*([1]concours!B6:Z13)+(B5=[1]concours!A6:A13)*([1]concours!B5:Z5="deten2")*([1]concours!B6:Z13)+(B6=[1]concours!A6:A13)*([1]concours!B5:Z5="deten2")*([1]concours!B6:Z13))</f>
        <v>0</v>
      </c>
      <c r="F24" s="17">
        <f t="shared" si="0"/>
        <v>0</v>
      </c>
      <c r="G24" s="26"/>
      <c r="H24" s="19">
        <f t="shared" ref="H24:H27" si="7">IF(F24&gt;0,16.67*E24,0)</f>
        <v>0</v>
      </c>
      <c r="I24" s="26"/>
      <c r="J24" s="19">
        <f t="shared" si="5"/>
        <v>0</v>
      </c>
      <c r="L24" s="19">
        <f t="shared" si="1"/>
        <v>0</v>
      </c>
    </row>
    <row r="25" spans="1:12" s="1" customFormat="1" ht="15" customHeight="1" x14ac:dyDescent="0.2">
      <c r="A25" s="1" t="s">
        <v>29</v>
      </c>
      <c r="B25" s="1">
        <f>[1]concours!L3</f>
        <v>0</v>
      </c>
      <c r="D25" s="17">
        <f>[1]concours!M4</f>
        <v>20</v>
      </c>
      <c r="E25" s="15">
        <f>SUMPRODUCT((B4=[1]concours!A6:A13)*([1]concours!B5:Z5="deten3")*([1]concours!B6:Z13)+(B5=[1]concours!A6:A13)*([1]concours!B5:Z5="deten3")*([1]concours!B6:Z13)+(B6=[1]concours!A6:A13)*([1]concours!B5:Z5="deten3")*([1]concours!B6:Z13))</f>
        <v>0</v>
      </c>
      <c r="F25" s="17">
        <f t="shared" si="0"/>
        <v>0</v>
      </c>
      <c r="G25" s="26"/>
      <c r="H25" s="19">
        <f t="shared" si="7"/>
        <v>0</v>
      </c>
      <c r="I25" s="26"/>
      <c r="J25" s="19">
        <f t="shared" si="5"/>
        <v>0</v>
      </c>
      <c r="L25" s="19">
        <f t="shared" si="1"/>
        <v>0</v>
      </c>
    </row>
    <row r="26" spans="1:12" s="1" customFormat="1" ht="15" customHeight="1" x14ac:dyDescent="0.2">
      <c r="A26" s="1" t="s">
        <v>29</v>
      </c>
      <c r="B26" s="1">
        <f>[1]concours!Q3</f>
        <v>0</v>
      </c>
      <c r="D26" s="17">
        <f>[1]concours!R4</f>
        <v>20</v>
      </c>
      <c r="E26" s="15">
        <f>SUMPRODUCT((B4=[1]concours!A6:A13)*([1]concours!B5:Z5="deten4")*([1]concours!B6:Z13)+(B5=[1]concours!A6:A13)*([1]concours!B5:Z5="deten4")*([1]concours!B6:Z13)+(B6=[1]concours!A6:A13)*([1]concours!B5:Z5="deten4")*([1]concours!B6:Z13))</f>
        <v>0</v>
      </c>
      <c r="F26" s="17">
        <f t="shared" si="0"/>
        <v>0</v>
      </c>
      <c r="G26" s="26"/>
      <c r="H26" s="19">
        <f t="shared" si="7"/>
        <v>0</v>
      </c>
      <c r="I26" s="26"/>
      <c r="J26" s="19">
        <f t="shared" si="5"/>
        <v>0</v>
      </c>
      <c r="L26" s="19">
        <f t="shared" si="1"/>
        <v>0</v>
      </c>
    </row>
    <row r="27" spans="1:12" s="1" customFormat="1" ht="15" customHeight="1" x14ac:dyDescent="0.2">
      <c r="A27" s="1" t="s">
        <v>29</v>
      </c>
      <c r="B27" s="1">
        <f>[1]concours!V3</f>
        <v>0</v>
      </c>
      <c r="D27" s="17">
        <f>[1]concours!W4</f>
        <v>20</v>
      </c>
      <c r="E27" s="15">
        <f>SUMPRODUCT((B4=[1]concours!A6:A13)*([1]concours!B5:Z5="deten5")*([1]concours!B6:Z13)+(B5=[1]concours!A6:A13)*([1]concours!B5:Z5="deten5")*([1]concours!B6:Z13)+(B6=[1]concours!A6:A13)*([1]concours!B5:Z5="deten5")*([1]concours!B6:Z13))</f>
        <v>0</v>
      </c>
      <c r="F27" s="17">
        <f t="shared" si="0"/>
        <v>0</v>
      </c>
      <c r="G27" s="26"/>
      <c r="H27" s="19">
        <f t="shared" si="7"/>
        <v>0</v>
      </c>
      <c r="I27" s="26"/>
      <c r="J27" s="19">
        <f t="shared" si="5"/>
        <v>0</v>
      </c>
      <c r="L27" s="19">
        <f t="shared" si="1"/>
        <v>0</v>
      </c>
    </row>
    <row r="28" spans="1:12" s="1" customFormat="1" ht="15" customHeight="1" x14ac:dyDescent="0.2">
      <c r="A28" s="1" t="s">
        <v>30</v>
      </c>
      <c r="B28" s="1" t="str">
        <f>[1]concours!B3</f>
        <v>Sciez 27 et 28 février</v>
      </c>
      <c r="D28" s="17">
        <f>SUMPRODUCT((B4=[1]concours!A6:A13)*([1]concours!B5:Z5="eng1")*([1]concours!B6:Z13)+(B5=[1]concours!A6:A13)*([1]concours!B5:Z5="eng1")*([1]concours!B6:Z13)+(B6=[1]concours!A6:A13)*([1]concours!B5:Z5="eng1")*([1]concours!B6:Z13))</f>
        <v>0</v>
      </c>
      <c r="E28" s="15">
        <v>1</v>
      </c>
      <c r="F28" s="17">
        <f t="shared" si="0"/>
        <v>0</v>
      </c>
      <c r="G28" s="26"/>
      <c r="I28" s="26"/>
      <c r="J28" s="19"/>
      <c r="K28" s="19">
        <f>IF(F28&gt;0,D28*E28,0)</f>
        <v>0</v>
      </c>
      <c r="L28" s="19">
        <f t="shared" si="1"/>
        <v>0</v>
      </c>
    </row>
    <row r="29" spans="1:12" s="1" customFormat="1" ht="15" customHeight="1" x14ac:dyDescent="0.2">
      <c r="A29" s="1" t="s">
        <v>30</v>
      </c>
      <c r="B29" s="1">
        <f>[1]concours!G3</f>
        <v>0</v>
      </c>
      <c r="D29" s="17">
        <f>SUMPRODUCT((B4=[1]concours!A6:A13)*([1]concours!B5:Z5="eng2")*([1]concours!B6:Z13)+(B5=[1]concours!A6:A13)*([1]concours!B5:Z5="eng2")*([1]concours!B6:Z13)+(B6=[1]concours!A6:A13)*([1]concours!B5:Z5="eng2")*([1]concours!B6:Z13))</f>
        <v>0</v>
      </c>
      <c r="E29" s="15">
        <v>1</v>
      </c>
      <c r="F29" s="17">
        <f t="shared" si="0"/>
        <v>0</v>
      </c>
      <c r="G29" s="26"/>
      <c r="I29" s="26"/>
      <c r="J29" s="19"/>
      <c r="K29" s="19">
        <f>IF(F29&gt;0,D29*E29,0)</f>
        <v>0</v>
      </c>
      <c r="L29" s="19">
        <f t="shared" si="1"/>
        <v>0</v>
      </c>
    </row>
    <row r="30" spans="1:12" s="1" customFormat="1" ht="15" customHeight="1" x14ac:dyDescent="0.2">
      <c r="A30" s="1" t="s">
        <v>30</v>
      </c>
      <c r="B30" s="1">
        <f>[1]concours!L3</f>
        <v>0</v>
      </c>
      <c r="D30" s="17">
        <f>SUMPRODUCT((B4=[1]concours!A6:A13)*([1]concours!B5:Z5="eng3")*([1]concours!B6:Z13)+(B5=[1]concours!A6:A13)*([1]concours!B5:Z5="eng3")*([1]concours!B6:Z13)+(B6=[1]concours!A6:A13)*([1]concours!B5:Z5="eng3")*([1]concours!B6:Z13))</f>
        <v>0</v>
      </c>
      <c r="E30" s="15">
        <v>1</v>
      </c>
      <c r="F30" s="17">
        <f t="shared" si="0"/>
        <v>0</v>
      </c>
      <c r="G30" s="26"/>
      <c r="I30" s="26"/>
      <c r="J30" s="19"/>
      <c r="K30" s="19">
        <f>IF(F30&gt;0,D30*E30,0)</f>
        <v>0</v>
      </c>
      <c r="L30" s="19">
        <f t="shared" si="1"/>
        <v>0</v>
      </c>
    </row>
    <row r="31" spans="1:12" s="1" customFormat="1" ht="15" customHeight="1" x14ac:dyDescent="0.2">
      <c r="A31" s="1" t="s">
        <v>30</v>
      </c>
      <c r="B31" s="1">
        <f>[1]concours!Q3</f>
        <v>0</v>
      </c>
      <c r="D31" s="17">
        <f>SUMPRODUCT((B4=[1]concours!A6:A13)*([1]concours!B5:Z5="eng4")*([1]concours!B6:Z13)+(B5=[1]concours!A6:A13)*([1]concours!B5:Z5="eng4")*([1]concours!B6:Z13)+(B6=[1]concours!A6:A13)*([1]concours!B5:Z5="eng4")*([1]concours!B6:Z13))</f>
        <v>0</v>
      </c>
      <c r="E31" s="15">
        <v>1</v>
      </c>
      <c r="F31" s="17">
        <f t="shared" si="0"/>
        <v>0</v>
      </c>
      <c r="G31" s="26"/>
      <c r="I31" s="26"/>
      <c r="J31" s="19"/>
      <c r="K31" s="19">
        <f>IF(F31&gt;0,D31*E31,0)</f>
        <v>0</v>
      </c>
      <c r="L31" s="19">
        <f t="shared" si="1"/>
        <v>0</v>
      </c>
    </row>
    <row r="32" spans="1:12" s="1" customFormat="1" ht="15" customHeight="1" x14ac:dyDescent="0.2">
      <c r="A32" s="1" t="s">
        <v>30</v>
      </c>
      <c r="B32" s="1">
        <f>[1]concours!V3</f>
        <v>0</v>
      </c>
      <c r="D32" s="17">
        <f>SUMPRODUCT((B4=[1]concours!A6:A13)*([1]concours!B5:Z5="eng5")*([1]concours!B6:Z13)+(B5=[1]concours!A6:A13)*([1]concours!B5:Z5="eng5")*([1]concours!B6:Z13)+(B6=[1]concours!A6:A13)*([1]concours!B5:Z5="eng5")*([1]concours!B6:Z13))</f>
        <v>0</v>
      </c>
      <c r="E32" s="15">
        <v>1</v>
      </c>
      <c r="F32" s="17">
        <f t="shared" si="0"/>
        <v>0</v>
      </c>
      <c r="G32" s="26"/>
      <c r="I32" s="26"/>
      <c r="J32" s="19"/>
      <c r="K32" s="19">
        <f>IF(F32&gt;0,D32*E32,0)</f>
        <v>0</v>
      </c>
      <c r="L32" s="19">
        <f t="shared" si="1"/>
        <v>0</v>
      </c>
    </row>
    <row r="33" spans="1:12" s="1" customFormat="1" ht="15" customHeight="1" x14ac:dyDescent="0.2">
      <c r="A33" s="1" t="s">
        <v>31</v>
      </c>
      <c r="B33" s="1" t="str">
        <f>[1]concours!B3</f>
        <v>Sciez 27 et 28 février</v>
      </c>
      <c r="D33" s="17">
        <f>[1]concours!B4</f>
        <v>20</v>
      </c>
      <c r="E33" s="15">
        <f>SUMPRODUCT((B4=[1]concours!A6:A13)*([1]concours!B5:Z5="trsp1")*([1]concours!B6:Z13)+(B5=[1]concours!A6:A13)*([1]concours!B5:Z5="trsp1")*([1]concours!B6:Z13)+(B6=[1]concours!A6:A13)*([1]concours!B5:Z5="trsp1")*([1]concours!B6:Z13))</f>
        <v>0</v>
      </c>
      <c r="F33" s="17">
        <f t="shared" si="0"/>
        <v>0</v>
      </c>
      <c r="G33" s="26"/>
      <c r="H33" s="19">
        <f>IF(F33&gt;0,D33/1.2*E33,0)</f>
        <v>0</v>
      </c>
      <c r="I33" s="26"/>
      <c r="J33" s="19">
        <f>IF(H33=0,0,H33*20%)</f>
        <v>0</v>
      </c>
      <c r="L33" s="19">
        <f t="shared" si="1"/>
        <v>0</v>
      </c>
    </row>
    <row r="34" spans="1:12" s="1" customFormat="1" ht="15" customHeight="1" x14ac:dyDescent="0.2">
      <c r="A34" s="1" t="s">
        <v>31</v>
      </c>
      <c r="B34" s="1">
        <f>[1]concours!G3</f>
        <v>0</v>
      </c>
      <c r="D34" s="17">
        <f>[1]concours!G4</f>
        <v>20</v>
      </c>
      <c r="E34" s="15">
        <f>SUMPRODUCT((B4=[1]concours!A6:A13)*([1]concours!B5:Z5="trsp2")*([1]concours!B6:Z13)+(B5=[1]concours!A6:A13)*([1]concours!B5:Z5="trsp2")*([1]concours!B6:Z13)+(B6=[1]concours!A6:A13)*([1]concours!B5:Z5="trsp2")*([1]concours!B6:Z13))</f>
        <v>0</v>
      </c>
      <c r="F34" s="17">
        <f t="shared" si="0"/>
        <v>0</v>
      </c>
      <c r="G34" s="26"/>
      <c r="H34" s="19">
        <f>IF(F34&gt;0,D34/1.2*E34,0)</f>
        <v>0</v>
      </c>
      <c r="I34" s="26"/>
      <c r="J34" s="19">
        <f t="shared" ref="J34:J51" si="8">IF(H34=0,0,H34*20%)</f>
        <v>0</v>
      </c>
      <c r="L34" s="19">
        <f t="shared" si="1"/>
        <v>0</v>
      </c>
    </row>
    <row r="35" spans="1:12" s="1" customFormat="1" ht="15" customHeight="1" x14ac:dyDescent="0.2">
      <c r="A35" s="1" t="s">
        <v>31</v>
      </c>
      <c r="B35" s="1">
        <f>[1]concours!L3</f>
        <v>0</v>
      </c>
      <c r="D35" s="17">
        <f>[1]concours!L4</f>
        <v>0</v>
      </c>
      <c r="E35" s="15">
        <f>SUMPRODUCT((B4=[1]concours!A6:A13)*([1]concours!B5:Z5="trsp3")*([1]concours!B6:Z13)+(B5=[1]concours!A6:A13)*([1]concours!B5:Z5="trsp3")*([1]concours!B6:Z13)+(B6=[1]concours!A6:A13)*([1]concours!B5:Z5="trsp3")*([1]concours!B6:Z13))</f>
        <v>0</v>
      </c>
      <c r="F35" s="17">
        <f t="shared" si="0"/>
        <v>0</v>
      </c>
      <c r="G35" s="26"/>
      <c r="H35" s="19">
        <f t="shared" ref="H35:H42" si="9">IF(F35&gt;0,D35/1.2*E35,0)</f>
        <v>0</v>
      </c>
      <c r="I35" s="26"/>
      <c r="J35" s="19">
        <f t="shared" si="8"/>
        <v>0</v>
      </c>
      <c r="L35" s="19">
        <f t="shared" si="1"/>
        <v>0</v>
      </c>
    </row>
    <row r="36" spans="1:12" s="1" customFormat="1" ht="15" customHeight="1" x14ac:dyDescent="0.2">
      <c r="A36" s="1" t="s">
        <v>31</v>
      </c>
      <c r="B36" s="1">
        <f>[1]concours!Q3</f>
        <v>0</v>
      </c>
      <c r="D36" s="17">
        <f>[1]concours!Q4</f>
        <v>0</v>
      </c>
      <c r="E36" s="15">
        <f>SUMPRODUCT((B4=[1]concours!A6:A13)*([1]concours!B5:Z5="trsp4")*([1]concours!B6:Z13)+(B5=[1]concours!A6:A13)*([1]concours!B5:Z5="trsp4")*([1]concours!B6:Z13)+(B6=[1]concours!A6:A13)*([1]concours!B5:Z5="trsp4")*([1]concours!B6:Z13))</f>
        <v>0</v>
      </c>
      <c r="F36" s="17">
        <f t="shared" si="0"/>
        <v>0</v>
      </c>
      <c r="G36" s="26"/>
      <c r="H36" s="19">
        <f t="shared" si="9"/>
        <v>0</v>
      </c>
      <c r="I36" s="26"/>
      <c r="J36" s="19">
        <f t="shared" si="8"/>
        <v>0</v>
      </c>
      <c r="L36" s="19">
        <f t="shared" si="1"/>
        <v>0</v>
      </c>
    </row>
    <row r="37" spans="1:12" s="1" customFormat="1" ht="15" customHeight="1" x14ac:dyDescent="0.2">
      <c r="A37" s="1" t="s">
        <v>31</v>
      </c>
      <c r="B37" s="1">
        <f>[1]concours!V3</f>
        <v>0</v>
      </c>
      <c r="D37" s="17">
        <f>[1]concours!V4</f>
        <v>0</v>
      </c>
      <c r="E37" s="15">
        <f>SUMPRODUCT((B4=[1]concours!A6:A13)*([1]concours!B5:Z5="trsp5")*([1]concours!B6:Z13)+(B5=[1]concours!A6:A13)*([1]concours!B5:Z5="trsp5")*([1]concours!B6:Z13)+(B6=[1]concours!A6:A13)*([1]concours!B5:Z5="trsp5")*([1]concours!B6:Z13))</f>
        <v>0</v>
      </c>
      <c r="F37" s="17">
        <f t="shared" si="0"/>
        <v>0</v>
      </c>
      <c r="G37" s="26"/>
      <c r="H37" s="19">
        <f t="shared" si="9"/>
        <v>0</v>
      </c>
      <c r="I37" s="26"/>
      <c r="J37" s="19">
        <f t="shared" si="8"/>
        <v>0</v>
      </c>
      <c r="L37" s="19">
        <f t="shared" si="1"/>
        <v>0</v>
      </c>
    </row>
    <row r="38" spans="1:12" s="1" customFormat="1" ht="15" customHeight="1" x14ac:dyDescent="0.2">
      <c r="A38" s="1" t="s">
        <v>32</v>
      </c>
      <c r="B38" s="1" t="str">
        <f>[1]concours!B3</f>
        <v>Sciez 27 et 28 février</v>
      </c>
      <c r="D38" s="17">
        <f>[1]concours!D4</f>
        <v>1</v>
      </c>
      <c r="E38" s="15">
        <f>SUMPRODUCT((B4=[1]concours!A6:A13)*([1]concours!B5:Z5="boxes1")*([1]concours!B6:Z13)+(B5=[1]concours!A6:A13)*([1]concours!B5:Z5="boxes1")*([1]concours!B6:Z13)+(B6=[1]concours!A6:A13)*([1]concours!B5:Z5="boxes1")*([1]concours!B6:Z13))</f>
        <v>0</v>
      </c>
      <c r="F38" s="17">
        <f t="shared" si="0"/>
        <v>0</v>
      </c>
      <c r="G38" s="26"/>
      <c r="H38" s="19">
        <f t="shared" si="9"/>
        <v>0</v>
      </c>
      <c r="I38" s="26"/>
      <c r="J38" s="19">
        <f t="shared" si="8"/>
        <v>0</v>
      </c>
      <c r="L38" s="19">
        <f t="shared" si="1"/>
        <v>0</v>
      </c>
    </row>
    <row r="39" spans="1:12" s="1" customFormat="1" ht="15" customHeight="1" x14ac:dyDescent="0.2">
      <c r="A39" s="1" t="s">
        <v>32</v>
      </c>
      <c r="B39" s="1">
        <f>[1]concours!G3</f>
        <v>0</v>
      </c>
      <c r="D39" s="17">
        <f>[1]concours!I4</f>
        <v>0</v>
      </c>
      <c r="E39" s="15">
        <f>SUMPRODUCT((B4=[1]concours!A6:A13)*([1]concours!B5:Z5="boxes2")*([1]concours!B6:Z13)+(B5=[1]concours!A6:A13)*([1]concours!B5:Z5="boxes2")*([1]concours!B6:Z13)+(B6=[1]concours!A6:A13)*([1]concours!B5:Z5="boxes2")*([1]concours!B6:Z13))</f>
        <v>0</v>
      </c>
      <c r="F39" s="17">
        <f t="shared" si="0"/>
        <v>0</v>
      </c>
      <c r="G39" s="26"/>
      <c r="H39" s="19">
        <f t="shared" si="9"/>
        <v>0</v>
      </c>
      <c r="I39" s="26"/>
      <c r="J39" s="19">
        <f t="shared" si="8"/>
        <v>0</v>
      </c>
      <c r="L39" s="19">
        <f t="shared" si="1"/>
        <v>0</v>
      </c>
    </row>
    <row r="40" spans="1:12" s="1" customFormat="1" ht="15" customHeight="1" x14ac:dyDescent="0.2">
      <c r="A40" s="1" t="s">
        <v>32</v>
      </c>
      <c r="B40" s="1">
        <f>[1]concours!L3</f>
        <v>0</v>
      </c>
      <c r="D40" s="17">
        <f>[1]concours!N4</f>
        <v>0</v>
      </c>
      <c r="E40" s="15">
        <f>SUMPRODUCT((B4=[1]concours!A6:A13)*([1]concours!B5:Z5="boxes3")*([1]concours!B6:Z13)+(B5=[1]concours!A6:A13)*([1]concours!B5:Z5="boxes3")*([1]concours!B6:Z13)+(B6=[1]concours!A6:A13)*([1]concours!B5:Z5="boxes3")*([1]concours!B6:Z13))</f>
        <v>0</v>
      </c>
      <c r="F40" s="17">
        <f t="shared" si="0"/>
        <v>0</v>
      </c>
      <c r="G40" s="26"/>
      <c r="H40" s="19">
        <f t="shared" si="9"/>
        <v>0</v>
      </c>
      <c r="I40" s="26"/>
      <c r="J40" s="19">
        <f t="shared" si="8"/>
        <v>0</v>
      </c>
      <c r="L40" s="19">
        <f t="shared" si="1"/>
        <v>0</v>
      </c>
    </row>
    <row r="41" spans="1:12" s="1" customFormat="1" ht="15" customHeight="1" x14ac:dyDescent="0.2">
      <c r="A41" s="1" t="s">
        <v>32</v>
      </c>
      <c r="B41" s="1">
        <f>[1]concours!Q3</f>
        <v>0</v>
      </c>
      <c r="D41" s="17">
        <f>[1]concours!S4</f>
        <v>1</v>
      </c>
      <c r="E41" s="15">
        <f>SUMPRODUCT((B4=[1]concours!A6:A13)*([1]concours!B5:Z5="boxes4")*([1]concours!B6:Z13)+(B5=[1]concours!A6:A13)*([1]concours!B5:Z5="boxes4")*([1]concours!B6:Z13)+(B6=[1]concours!A6:A13)*([1]concours!B5:Z5="boxes4")*([1]concours!B6:Z13))</f>
        <v>0</v>
      </c>
      <c r="F41" s="17">
        <f t="shared" si="0"/>
        <v>0</v>
      </c>
      <c r="G41" s="26"/>
      <c r="H41" s="19">
        <f t="shared" si="9"/>
        <v>0</v>
      </c>
      <c r="I41" s="26"/>
      <c r="J41" s="19">
        <f t="shared" si="8"/>
        <v>0</v>
      </c>
      <c r="L41" s="19">
        <f t="shared" si="1"/>
        <v>0</v>
      </c>
    </row>
    <row r="42" spans="1:12" s="1" customFormat="1" ht="15" customHeight="1" x14ac:dyDescent="0.2">
      <c r="A42" s="1" t="s">
        <v>32</v>
      </c>
      <c r="B42" s="1">
        <f>[1]concours!V3</f>
        <v>0</v>
      </c>
      <c r="D42" s="17">
        <f>[1]concours!X4</f>
        <v>0</v>
      </c>
      <c r="E42" s="15">
        <f>SUMPRODUCT((B4=[1]concours!A6:A13)*([1]concours!B5:Z5="boxes5")*([1]concours!B6:Z13)+(B5=[1]concours!A6:A13)*([1]concours!B5:Z5="boxes5")*([1]concours!B6:Z13)+(B6=[1]concours!A6:A13)*([1]concours!B5:Z5="boxes5")*([1]concours!B6:Z13))</f>
        <v>0</v>
      </c>
      <c r="F42" s="17">
        <f t="shared" si="0"/>
        <v>0</v>
      </c>
      <c r="G42" s="26"/>
      <c r="H42" s="19">
        <f t="shared" si="9"/>
        <v>0</v>
      </c>
      <c r="I42" s="26"/>
      <c r="J42" s="19">
        <f t="shared" si="8"/>
        <v>0</v>
      </c>
      <c r="L42" s="19">
        <f t="shared" si="1"/>
        <v>0</v>
      </c>
    </row>
    <row r="43" spans="1:12" s="1" customFormat="1" ht="15" customHeight="1" x14ac:dyDescent="0.2">
      <c r="A43" s="1" t="s">
        <v>33</v>
      </c>
      <c r="D43" s="17">
        <f>SUMPRODUCT((B4=[1]concours!A6:A13)*([1]concours!B5:Z5="gains")*([1]concours!B6:Z13)+(B5=[1]concours!A6:A13)*([1]concours!B5:Z5="gains")*([1]concours!B6:Z13)+(B6=[1]concours!A6:A13)*([1]concours!B5:Z5="gains")*([1]concours!B6:Z13))</f>
        <v>0</v>
      </c>
      <c r="E43" s="15"/>
      <c r="F43" s="17">
        <f>-D43</f>
        <v>0</v>
      </c>
      <c r="G43" s="26"/>
      <c r="H43" s="26">
        <f>IF(F43&gt;0,-D43*E43,0)</f>
        <v>0</v>
      </c>
      <c r="I43" s="26"/>
      <c r="J43" s="19"/>
      <c r="L43" s="19">
        <f t="shared" si="1"/>
        <v>0</v>
      </c>
    </row>
    <row r="44" spans="1:12" x14ac:dyDescent="0.2">
      <c r="A44" s="12" t="s">
        <v>34</v>
      </c>
      <c r="B44" s="1"/>
      <c r="C44" s="1"/>
      <c r="D44" s="17"/>
      <c r="E44" s="15"/>
      <c r="F44" s="17">
        <f t="shared" ref="F44:F51" si="10">D44*E44</f>
        <v>0</v>
      </c>
      <c r="G44" s="19"/>
      <c r="H44" s="19"/>
      <c r="I44" s="19"/>
      <c r="J44" s="19"/>
      <c r="L44" s="19">
        <f t="shared" si="1"/>
        <v>0</v>
      </c>
    </row>
    <row r="45" spans="1:12" x14ac:dyDescent="0.2">
      <c r="A45" s="12" t="s">
        <v>35</v>
      </c>
      <c r="B45" s="1"/>
      <c r="C45" s="1" t="s">
        <v>20</v>
      </c>
      <c r="D45" s="17">
        <v>1.7</v>
      </c>
      <c r="E45" s="15">
        <f>SUMPRODUCT((B4=[1]travail!A4:A62)*([1]travail!DC3:DU3="couvertures")*([1]travail!DC4:DU62)+(B5=[1]travail!A4:A62)*([1]travail!DC3:DU3="couvertures")*([1]travail!DC4:DU62)+(B6=[1]travail!A4:A62)*([1]travail!DC3:DU3="couvertures")*([1]travail!DC4:DU62))</f>
        <v>0</v>
      </c>
      <c r="F45" s="17">
        <f t="shared" si="10"/>
        <v>0</v>
      </c>
      <c r="G45" s="19"/>
      <c r="H45" s="19">
        <f>IF(F45&gt;0,D45/1.2*E45,0)</f>
        <v>0</v>
      </c>
      <c r="I45" s="19"/>
      <c r="J45" s="19">
        <f t="shared" si="8"/>
        <v>0</v>
      </c>
      <c r="L45" s="19">
        <f t="shared" si="1"/>
        <v>0</v>
      </c>
    </row>
    <row r="46" spans="1:12" x14ac:dyDescent="0.2">
      <c r="A46" s="1"/>
      <c r="B46" s="1" t="s">
        <v>36</v>
      </c>
      <c r="C46" s="1"/>
      <c r="D46" s="17">
        <v>40</v>
      </c>
      <c r="E46" s="15">
        <f>SUMPRODUCT((B4=[1]travail!A4:A62)*([1]travail!DC3:DU3="forfait couv")*([1]travail!DC4:DU62)+(B5=[1]travail!A4:A62)*([1]travail!DC3:DU3="forfait couv")*([1]travail!DC4:DU62)+(B6=[1]travail!A4:A62)*([1]travail!DC3:DU3="forfait couv")*([1]travail!DC4:DU62))</f>
        <v>0</v>
      </c>
      <c r="F46" s="17">
        <f t="shared" si="10"/>
        <v>0</v>
      </c>
      <c r="G46" s="19"/>
      <c r="H46" s="19">
        <f t="shared" ref="H46:H51" si="11">IF(F46&gt;0,D46/1.2*E46,0)</f>
        <v>0</v>
      </c>
      <c r="I46" s="19"/>
      <c r="J46" s="19">
        <f t="shared" si="8"/>
        <v>0</v>
      </c>
      <c r="L46" s="19">
        <f t="shared" si="1"/>
        <v>0</v>
      </c>
    </row>
    <row r="47" spans="1:12" x14ac:dyDescent="0.2">
      <c r="A47" s="12" t="s">
        <v>37</v>
      </c>
      <c r="B47" s="1"/>
      <c r="C47" s="1"/>
      <c r="D47" s="17"/>
      <c r="E47" s="15"/>
      <c r="F47" s="17">
        <f t="shared" si="10"/>
        <v>0</v>
      </c>
      <c r="G47" s="19"/>
      <c r="H47" s="19">
        <f t="shared" si="11"/>
        <v>0</v>
      </c>
      <c r="I47" s="19"/>
      <c r="J47" s="19"/>
      <c r="L47" s="19">
        <f t="shared" si="1"/>
        <v>0</v>
      </c>
    </row>
    <row r="48" spans="1:12" x14ac:dyDescent="0.2">
      <c r="A48" s="1"/>
      <c r="B48" s="1" t="s">
        <v>38</v>
      </c>
      <c r="C48" s="1"/>
      <c r="D48" s="17">
        <v>70</v>
      </c>
      <c r="E48" s="15">
        <f>SUMPRODUCT((B4=[1]travail!A4:A62)*([1]travail!DC3:DU3="tonte 70")*([1]travail!DC4:DU62)+(B5=[1]travail!A4:A62)*([1]travail!DC3:DU3="tonte 70")*([1]travail!DC4:DU62)+(B6=[1]travail!A4:A62)*([1]travail!DC3:DU3="tonte 70")*([1]travail!DC4:DU62))</f>
        <v>0</v>
      </c>
      <c r="F48" s="17">
        <f t="shared" si="10"/>
        <v>0</v>
      </c>
      <c r="G48" s="19"/>
      <c r="H48" s="19">
        <f t="shared" si="11"/>
        <v>0</v>
      </c>
      <c r="I48" s="19"/>
      <c r="J48" s="19">
        <f t="shared" si="8"/>
        <v>0</v>
      </c>
      <c r="L48" s="19">
        <f t="shared" si="1"/>
        <v>0</v>
      </c>
    </row>
    <row r="49" spans="1:12" x14ac:dyDescent="0.2">
      <c r="A49" s="1"/>
      <c r="B49" s="1" t="s">
        <v>39</v>
      </c>
      <c r="C49" s="1"/>
      <c r="D49" s="17">
        <v>90</v>
      </c>
      <c r="E49" s="15">
        <f>SUMPRODUCT((B4=[1]travail!A4:A62)*([1]travail!DC3:DU3="tonte 90")*([1]travail!DC4:DU62)+(B5=[1]travail!A4:A62)*([1]travail!DC3:DU3="tonte 90")*([1]travail!DC4:DU62)+(B6=[1]travail!A4:A62)*([1]travail!DC3:DU3="tonte 90")*([1]travail!DC4:DU62))</f>
        <v>0</v>
      </c>
      <c r="F49" s="17">
        <f t="shared" si="10"/>
        <v>0</v>
      </c>
      <c r="G49" s="19"/>
      <c r="H49" s="19">
        <f t="shared" si="11"/>
        <v>0</v>
      </c>
      <c r="I49" s="19"/>
      <c r="J49" s="19">
        <f t="shared" si="8"/>
        <v>0</v>
      </c>
      <c r="L49" s="19">
        <f t="shared" si="1"/>
        <v>0</v>
      </c>
    </row>
    <row r="50" spans="1:12" x14ac:dyDescent="0.2">
      <c r="A50" s="1"/>
      <c r="B50" s="1" t="s">
        <v>40</v>
      </c>
      <c r="C50" s="1"/>
      <c r="D50" s="27">
        <v>5</v>
      </c>
      <c r="E50" s="15">
        <f>SUMPRODUCT((B4=[1]travail!A4:A62)*([1]travail!DC3:DU3="main")*([1]travail!DC4:DU62)+(B5=[1]travail!A4:A62)*([1]travail!DC3:DU3="main")*([1]travail!DC4:DU62)+(B6=[1]travail!A4:A62)*([1]travail!DC3:DU3="main")*([1]travail!DC4:DU62))</f>
        <v>0</v>
      </c>
      <c r="F50" s="17">
        <f t="shared" si="10"/>
        <v>0</v>
      </c>
      <c r="G50" s="19"/>
      <c r="H50" s="19">
        <f t="shared" si="11"/>
        <v>0</v>
      </c>
      <c r="I50" s="19"/>
      <c r="J50" s="19">
        <f t="shared" si="8"/>
        <v>0</v>
      </c>
      <c r="L50" s="19">
        <f t="shared" si="1"/>
        <v>0</v>
      </c>
    </row>
    <row r="51" spans="1:12" x14ac:dyDescent="0.2">
      <c r="A51" s="1"/>
      <c r="B51" s="28"/>
      <c r="C51" s="28"/>
      <c r="D51" s="27"/>
      <c r="E51" s="18"/>
      <c r="F51" s="27">
        <f t="shared" si="10"/>
        <v>0</v>
      </c>
      <c r="G51" s="19"/>
      <c r="H51" s="19">
        <f t="shared" si="11"/>
        <v>0</v>
      </c>
      <c r="I51" s="19"/>
      <c r="J51" s="19">
        <f t="shared" si="8"/>
        <v>0</v>
      </c>
      <c r="L51" s="19">
        <f t="shared" si="1"/>
        <v>0</v>
      </c>
    </row>
    <row r="52" spans="1:12" x14ac:dyDescent="0.2">
      <c r="A52" s="11"/>
      <c r="B52" s="1"/>
      <c r="C52" s="1"/>
      <c r="D52" s="1"/>
      <c r="E52" s="4" t="s">
        <v>41</v>
      </c>
      <c r="F52" s="29">
        <f>SUM(F7:F51)</f>
        <v>811</v>
      </c>
      <c r="G52" s="19">
        <f>SUM(G9:G51)</f>
        <v>130.5</v>
      </c>
      <c r="H52" s="19">
        <f>SUM(H9:H51)</f>
        <v>12.77</v>
      </c>
      <c r="I52" s="19">
        <f>SUM(I9:I51)</f>
        <v>7.25</v>
      </c>
      <c r="J52" s="19">
        <f>SUM(J9:J51)</f>
        <v>2.52</v>
      </c>
      <c r="K52" s="19">
        <f>SUM(K9:K51)</f>
        <v>0</v>
      </c>
      <c r="L52" s="3" t="s">
        <v>42</v>
      </c>
    </row>
    <row r="53" spans="1:12" x14ac:dyDescent="0.2">
      <c r="A53" s="1"/>
      <c r="B53" s="1"/>
      <c r="C53" s="1"/>
      <c r="D53" s="1"/>
      <c r="E53" s="13" t="s">
        <v>43</v>
      </c>
      <c r="F53" s="30">
        <f>F52</f>
        <v>811</v>
      </c>
      <c r="G53" s="31"/>
      <c r="H53" s="19"/>
      <c r="I53" s="32">
        <f>I7+I52</f>
        <v>39.15</v>
      </c>
      <c r="J53" s="32">
        <f>J7+J52</f>
        <v>10.199999999999999</v>
      </c>
      <c r="L53" s="33" t="s">
        <v>12</v>
      </c>
    </row>
    <row r="54" spans="1:12" x14ac:dyDescent="0.2">
      <c r="E54" s="34"/>
      <c r="F54" s="28"/>
      <c r="G54" s="35"/>
      <c r="I54" s="19">
        <f>F86*5.5%</f>
        <v>39.077500000000001</v>
      </c>
      <c r="J54" s="19">
        <f>F88*20%</f>
        <v>10.238</v>
      </c>
      <c r="L54" s="3" t="s">
        <v>44</v>
      </c>
    </row>
    <row r="55" spans="1:12" x14ac:dyDescent="0.2">
      <c r="I55" s="19">
        <f>I53-I54</f>
        <v>7.249999999999801E-2</v>
      </c>
      <c r="J55" s="19">
        <f>J53-J54</f>
        <v>-3.8000000000000256E-2</v>
      </c>
      <c r="L55" s="3" t="s">
        <v>45</v>
      </c>
    </row>
    <row r="59" spans="1:12" x14ac:dyDescent="0.2">
      <c r="A59" s="37"/>
      <c r="B59" s="37"/>
    </row>
    <row r="60" spans="1:12" x14ac:dyDescent="0.2">
      <c r="A60" s="37"/>
      <c r="B60" s="37"/>
      <c r="D60" s="38" t="s">
        <v>46</v>
      </c>
      <c r="E60" s="39" t="s">
        <v>47</v>
      </c>
      <c r="F60" s="40" t="s">
        <v>48</v>
      </c>
    </row>
    <row r="61" spans="1:12" x14ac:dyDescent="0.2">
      <c r="A61" s="37"/>
      <c r="B61" s="37"/>
    </row>
    <row r="62" spans="1:12" x14ac:dyDescent="0.2">
      <c r="A62" s="37"/>
      <c r="B62" s="37"/>
      <c r="D62" s="41" t="s">
        <v>49</v>
      </c>
      <c r="E62" s="110">
        <f>DATE(2016,3,1)</f>
        <v>42430</v>
      </c>
      <c r="F62" s="110"/>
    </row>
    <row r="63" spans="1:12" x14ac:dyDescent="0.2">
      <c r="A63" s="37"/>
      <c r="B63" s="37"/>
    </row>
    <row r="64" spans="1:12" x14ac:dyDescent="0.2">
      <c r="A64" s="37"/>
      <c r="B64" s="37"/>
    </row>
    <row r="65" spans="1:6" x14ac:dyDescent="0.2">
      <c r="A65" s="37"/>
      <c r="B65" s="37"/>
    </row>
    <row r="66" spans="1:6" x14ac:dyDescent="0.2">
      <c r="A66" s="37"/>
      <c r="B66" s="37"/>
    </row>
    <row r="67" spans="1:6" x14ac:dyDescent="0.2">
      <c r="A67" s="37"/>
      <c r="B67" s="37"/>
    </row>
    <row r="68" spans="1:6" x14ac:dyDescent="0.2">
      <c r="A68" s="37"/>
      <c r="B68" s="37"/>
    </row>
    <row r="69" spans="1:6" ht="24" x14ac:dyDescent="0.35">
      <c r="A69" s="42" t="s">
        <v>50</v>
      </c>
      <c r="B69" s="37"/>
      <c r="D69" s="3" t="str">
        <f>E4</f>
        <v>aaaaa</v>
      </c>
    </row>
    <row r="70" spans="1:6" ht="17" x14ac:dyDescent="0.25">
      <c r="A70" s="43" t="s">
        <v>81</v>
      </c>
      <c r="D70" s="3">
        <f>A53</f>
        <v>0</v>
      </c>
    </row>
    <row r="71" spans="1:6" ht="17" x14ac:dyDescent="0.25">
      <c r="A71" s="43"/>
      <c r="D71" s="3">
        <f>A54</f>
        <v>0</v>
      </c>
    </row>
    <row r="72" spans="1:6" ht="17" x14ac:dyDescent="0.25">
      <c r="A72" s="43" t="s">
        <v>82</v>
      </c>
    </row>
    <row r="74" spans="1:6" x14ac:dyDescent="0.2">
      <c r="A74" s="44" t="s">
        <v>51</v>
      </c>
      <c r="B74" s="45"/>
      <c r="C74" s="45"/>
      <c r="D74" s="46" t="s">
        <v>5</v>
      </c>
      <c r="E74" s="46" t="s">
        <v>52</v>
      </c>
      <c r="F74" s="46" t="s">
        <v>53</v>
      </c>
    </row>
    <row r="75" spans="1:6" x14ac:dyDescent="0.2">
      <c r="A75" s="47" t="s">
        <v>54</v>
      </c>
      <c r="B75" s="48"/>
      <c r="D75" s="49">
        <v>1</v>
      </c>
      <c r="E75" s="50">
        <v>5.5E-2</v>
      </c>
      <c r="F75" s="51">
        <f>G7+G8</f>
        <v>580</v>
      </c>
    </row>
    <row r="76" spans="1:6" x14ac:dyDescent="0.2">
      <c r="A76" s="47" t="s">
        <v>55</v>
      </c>
      <c r="B76" s="52" t="s">
        <v>56</v>
      </c>
      <c r="D76" s="53">
        <v>1</v>
      </c>
      <c r="E76" s="54">
        <v>0.2</v>
      </c>
      <c r="F76" s="55">
        <f>H7+H8</f>
        <v>38.42</v>
      </c>
    </row>
    <row r="77" spans="1:6" x14ac:dyDescent="0.2">
      <c r="A77" s="47" t="s">
        <v>54</v>
      </c>
      <c r="D77" s="56">
        <v>1</v>
      </c>
      <c r="E77" s="54">
        <v>5.5E-2</v>
      </c>
      <c r="F77" s="55">
        <f>G52</f>
        <v>130.5</v>
      </c>
    </row>
    <row r="78" spans="1:6" x14ac:dyDescent="0.2">
      <c r="A78" s="47" t="s">
        <v>57</v>
      </c>
      <c r="B78" s="52" t="s">
        <v>56</v>
      </c>
      <c r="D78" s="56">
        <v>1</v>
      </c>
      <c r="E78" s="54">
        <v>0.2</v>
      </c>
      <c r="F78" s="55">
        <f>H52</f>
        <v>12.77</v>
      </c>
    </row>
    <row r="79" spans="1:6" x14ac:dyDescent="0.2">
      <c r="A79" s="47" t="str">
        <f>IF(F79=0," ",("ENGAGEMENT CONCOURS"))</f>
        <v xml:space="preserve"> </v>
      </c>
      <c r="D79" s="56"/>
      <c r="E79" s="56"/>
      <c r="F79" s="57">
        <f>SUM(K28:K32)</f>
        <v>0</v>
      </c>
    </row>
    <row r="80" spans="1:6" x14ac:dyDescent="0.2">
      <c r="A80" s="47">
        <f ca="1">IF(F80=0,A80="",A80=("BOXES"))</f>
        <v>0</v>
      </c>
      <c r="D80" s="56"/>
      <c r="E80" s="56"/>
      <c r="F80" s="58"/>
    </row>
    <row r="81" spans="1:6" x14ac:dyDescent="0.2">
      <c r="A81" s="59"/>
      <c r="D81" s="60"/>
      <c r="E81" s="58"/>
      <c r="F81" s="55"/>
    </row>
    <row r="82" spans="1:6" x14ac:dyDescent="0.2">
      <c r="A82" s="59"/>
      <c r="D82" s="60"/>
      <c r="E82" s="58"/>
      <c r="F82" s="55"/>
    </row>
    <row r="83" spans="1:6" x14ac:dyDescent="0.2">
      <c r="A83" s="59"/>
      <c r="D83" s="60"/>
      <c r="E83" s="58"/>
      <c r="F83" s="55"/>
    </row>
    <row r="84" spans="1:6" x14ac:dyDescent="0.2">
      <c r="A84" s="59"/>
      <c r="D84" s="58"/>
      <c r="E84" s="58"/>
      <c r="F84" s="55"/>
    </row>
    <row r="85" spans="1:6" x14ac:dyDescent="0.2">
      <c r="A85" s="59"/>
      <c r="D85" s="61"/>
      <c r="E85" s="61"/>
      <c r="F85" s="62"/>
    </row>
    <row r="86" spans="1:6" x14ac:dyDescent="0.2">
      <c r="A86" s="63"/>
      <c r="B86" s="64"/>
      <c r="C86" s="65"/>
      <c r="D86" s="66" t="s">
        <v>58</v>
      </c>
      <c r="E86" s="67"/>
      <c r="F86" s="68">
        <f>F75+F77</f>
        <v>710.5</v>
      </c>
    </row>
    <row r="87" spans="1:6" x14ac:dyDescent="0.2">
      <c r="A87" s="59"/>
      <c r="B87" s="10"/>
      <c r="C87" s="69"/>
      <c r="D87" s="70" t="s">
        <v>59</v>
      </c>
      <c r="E87" s="71"/>
      <c r="F87" s="72">
        <f>(F86*5.5%)</f>
        <v>39.077500000000001</v>
      </c>
    </row>
    <row r="88" spans="1:6" x14ac:dyDescent="0.2">
      <c r="A88" s="59"/>
      <c r="B88" s="10"/>
      <c r="C88" s="69"/>
      <c r="D88" s="73" t="s">
        <v>60</v>
      </c>
      <c r="E88" s="70"/>
      <c r="F88" s="72">
        <f>F76+F78</f>
        <v>51.19</v>
      </c>
    </row>
    <row r="89" spans="1:6" x14ac:dyDescent="0.2">
      <c r="A89" s="59"/>
      <c r="B89" s="10"/>
      <c r="C89" s="69"/>
      <c r="D89" s="74" t="s">
        <v>61</v>
      </c>
      <c r="E89" s="71"/>
      <c r="F89" s="72">
        <f>F88*20%-0.01</f>
        <v>10.228</v>
      </c>
    </row>
    <row r="90" spans="1:6" x14ac:dyDescent="0.2">
      <c r="A90" s="59"/>
      <c r="B90" s="10"/>
      <c r="C90" s="69"/>
      <c r="D90" s="75" t="s">
        <v>62</v>
      </c>
      <c r="E90" s="71"/>
      <c r="F90" s="72">
        <f>F79</f>
        <v>0</v>
      </c>
    </row>
    <row r="91" spans="1:6" x14ac:dyDescent="0.2">
      <c r="A91" s="59"/>
      <c r="B91" s="10"/>
      <c r="C91" s="69"/>
      <c r="D91" s="76"/>
      <c r="E91" s="77"/>
      <c r="F91" s="78"/>
    </row>
    <row r="92" spans="1:6" x14ac:dyDescent="0.2">
      <c r="A92" s="79"/>
      <c r="B92" s="80"/>
      <c r="C92" s="81"/>
      <c r="D92" s="82" t="s">
        <v>63</v>
      </c>
      <c r="E92" s="83"/>
      <c r="F92" s="84">
        <f>SUM(F86:F91)</f>
        <v>810.99549999999988</v>
      </c>
    </row>
    <row r="93" spans="1:6" x14ac:dyDescent="0.2">
      <c r="A93" s="85" t="s">
        <v>64</v>
      </c>
      <c r="B93" s="85"/>
      <c r="C93" s="85"/>
      <c r="D93" s="85"/>
      <c r="E93" s="85"/>
      <c r="F93" s="85"/>
    </row>
    <row r="94" spans="1:6" x14ac:dyDescent="0.2">
      <c r="A94" s="85" t="s">
        <v>65</v>
      </c>
      <c r="B94" s="85"/>
      <c r="C94" s="85"/>
      <c r="D94" s="85"/>
      <c r="E94" s="85"/>
      <c r="F94" s="85"/>
    </row>
    <row r="95" spans="1:6" x14ac:dyDescent="0.2">
      <c r="A95" s="85"/>
      <c r="B95" s="85"/>
      <c r="C95" s="85"/>
      <c r="D95" s="85"/>
      <c r="E95" s="85"/>
      <c r="F95" s="85"/>
    </row>
    <row r="96" spans="1:6" x14ac:dyDescent="0.2">
      <c r="A96" s="86" t="s">
        <v>66</v>
      </c>
      <c r="B96" s="85"/>
      <c r="C96" s="85"/>
      <c r="D96" s="85"/>
      <c r="E96" s="85"/>
      <c r="F96" s="85"/>
    </row>
    <row r="97" spans="1:6" x14ac:dyDescent="0.2">
      <c r="A97" s="86" t="s">
        <v>67</v>
      </c>
      <c r="B97" s="85"/>
      <c r="C97" s="85"/>
      <c r="D97" s="85"/>
      <c r="E97" s="85"/>
      <c r="F97" s="85"/>
    </row>
    <row r="98" spans="1:6" x14ac:dyDescent="0.2">
      <c r="A98" s="86" t="s">
        <v>68</v>
      </c>
      <c r="B98" s="85"/>
      <c r="C98" s="85"/>
      <c r="E98" s="3"/>
      <c r="F98" s="36"/>
    </row>
    <row r="99" spans="1:6" x14ac:dyDescent="0.2">
      <c r="E99" s="3"/>
      <c r="F99" s="36"/>
    </row>
    <row r="100" spans="1:6" x14ac:dyDescent="0.2">
      <c r="F100" s="87" t="s">
        <v>69</v>
      </c>
    </row>
    <row r="104" spans="1:6" x14ac:dyDescent="0.2">
      <c r="A104" s="86"/>
    </row>
  </sheetData>
  <sheetProtection selectLockedCells="1"/>
  <mergeCells count="4">
    <mergeCell ref="C1:D1"/>
    <mergeCell ref="E1:F1"/>
    <mergeCell ref="E4:F4"/>
    <mergeCell ref="E62:F62"/>
  </mergeCells>
  <hyperlinks>
    <hyperlink ref="D4" location="recap!A1" display=" CAVALIER"/>
    <hyperlink ref="A4" location="travail!A1" display="NOM DU CHEVAL"/>
    <hyperlink ref="F100" location="recap!A1" display="*****"/>
    <hyperlink ref="A22" location="concours!A1" display="CSO"/>
  </hyperlinks>
  <pageMargins left="0.25" right="0.25" top="0.34" bottom="0.38" header="0.3" footer="0.3"/>
  <pageSetup paperSize="9" scale="88" orientation="portrait" r:id="rId1"/>
  <headerFooter alignWithMargins="0"/>
  <rowBreaks count="1" manualBreakCount="1">
    <brk id="56" max="16383" man="1"/>
  </rowBreaks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L104"/>
  <sheetViews>
    <sheetView showZeros="0" topLeftCell="A80" zoomScale="120" zoomScaleNormal="120" zoomScalePageLayoutView="120" workbookViewId="0">
      <selection activeCell="A104" sqref="A104"/>
    </sheetView>
  </sheetViews>
  <sheetFormatPr baseColWidth="10" defaultColWidth="11.5" defaultRowHeight="16" x14ac:dyDescent="0.2"/>
  <cols>
    <col min="1" max="1" width="24.5" style="3" customWidth="1"/>
    <col min="2" max="2" width="17.1640625" style="3" customWidth="1"/>
    <col min="3" max="3" width="14.1640625" style="3" customWidth="1"/>
    <col min="4" max="4" width="15.83203125" style="3" customWidth="1"/>
    <col min="5" max="5" width="11.83203125" style="36" customWidth="1"/>
    <col min="6" max="6" width="14.6640625" style="3" customWidth="1"/>
    <col min="7" max="7" width="11.5" style="2"/>
    <col min="8" max="16384" width="11.5" style="3"/>
  </cols>
  <sheetData>
    <row r="1" spans="1:12" ht="18" x14ac:dyDescent="0.2">
      <c r="A1" s="1"/>
      <c r="B1" s="1"/>
      <c r="C1" s="111" t="s">
        <v>0</v>
      </c>
      <c r="D1" s="111"/>
      <c r="E1" s="106">
        <f>[1]travail!A1</f>
        <v>42430</v>
      </c>
      <c r="F1" s="112"/>
    </row>
    <row r="2" spans="1:12" x14ac:dyDescent="0.2">
      <c r="A2" s="1"/>
      <c r="B2" s="1"/>
      <c r="C2" s="1"/>
      <c r="D2" s="1"/>
      <c r="E2" s="4"/>
      <c r="F2" s="1"/>
    </row>
    <row r="3" spans="1:12" x14ac:dyDescent="0.2">
      <c r="A3" s="1"/>
      <c r="B3" s="1"/>
      <c r="C3" s="1"/>
      <c r="D3" s="1"/>
      <c r="E3" s="4"/>
      <c r="F3" s="1"/>
    </row>
    <row r="4" spans="1:12" s="10" customFormat="1" x14ac:dyDescent="0.2">
      <c r="A4" s="8" t="s">
        <v>1</v>
      </c>
      <c r="B4" s="6"/>
      <c r="C4" s="88"/>
      <c r="D4" s="8" t="s">
        <v>3</v>
      </c>
      <c r="E4" s="108" t="s">
        <v>83</v>
      </c>
      <c r="F4" s="113"/>
      <c r="G4" s="9"/>
    </row>
    <row r="5" spans="1:12" x14ac:dyDescent="0.2">
      <c r="A5" s="12"/>
      <c r="B5" s="6"/>
      <c r="C5" s="1"/>
      <c r="D5" s="12"/>
      <c r="E5" s="13"/>
      <c r="F5" s="1"/>
    </row>
    <row r="6" spans="1:12" ht="18" x14ac:dyDescent="0.2">
      <c r="A6" s="1"/>
      <c r="B6" s="89"/>
      <c r="C6" s="1"/>
      <c r="D6" s="14" t="s">
        <v>4</v>
      </c>
      <c r="E6" s="15" t="s">
        <v>5</v>
      </c>
      <c r="F6" s="15" t="s">
        <v>6</v>
      </c>
      <c r="G6" s="2" t="s">
        <v>7</v>
      </c>
      <c r="H6" s="3" t="s">
        <v>8</v>
      </c>
      <c r="I6" s="3" t="s">
        <v>9</v>
      </c>
      <c r="J6" s="3" t="s">
        <v>10</v>
      </c>
    </row>
    <row r="7" spans="1:12" x14ac:dyDescent="0.2">
      <c r="A7" s="12" t="s">
        <v>13</v>
      </c>
      <c r="B7" s="90">
        <f>[1]travail!A1</f>
        <v>42430</v>
      </c>
      <c r="C7" s="91"/>
      <c r="D7" s="17">
        <v>658</v>
      </c>
      <c r="E7" s="18">
        <v>2</v>
      </c>
      <c r="F7" s="17">
        <f t="shared" ref="F7:F42" si="0">D7*E7</f>
        <v>1316</v>
      </c>
      <c r="G7" s="19">
        <f>580*E7</f>
        <v>1160</v>
      </c>
      <c r="H7" s="19">
        <f>38.42*E7</f>
        <v>76.84</v>
      </c>
      <c r="I7" s="3">
        <f>31.9*E7</f>
        <v>63.8</v>
      </c>
      <c r="J7" s="3">
        <f>7.68*E7</f>
        <v>15.36</v>
      </c>
      <c r="L7" s="19">
        <f>SUM(G7:K7)</f>
        <v>1315.9999999999998</v>
      </c>
    </row>
    <row r="8" spans="1:12" x14ac:dyDescent="0.2">
      <c r="A8" s="1"/>
      <c r="B8" s="1"/>
      <c r="C8" s="1"/>
      <c r="D8" s="17"/>
      <c r="E8" s="15"/>
      <c r="F8" s="17">
        <f t="shared" si="0"/>
        <v>0</v>
      </c>
      <c r="G8" s="19">
        <f>IF(F8=0,0,580)</f>
        <v>0</v>
      </c>
    </row>
    <row r="9" spans="1:12" x14ac:dyDescent="0.2">
      <c r="A9" s="12" t="s">
        <v>14</v>
      </c>
      <c r="B9" s="1" t="s">
        <v>15</v>
      </c>
      <c r="C9" s="1"/>
      <c r="D9" s="17">
        <v>6.1</v>
      </c>
      <c r="E9" s="15">
        <f>IF(A10&lt;=9,A10,0)</f>
        <v>0</v>
      </c>
      <c r="F9" s="17">
        <f t="shared" si="0"/>
        <v>0</v>
      </c>
      <c r="G9" s="19">
        <f>IF(F9=0,0,4.5*E9)</f>
        <v>0</v>
      </c>
      <c r="H9" s="19">
        <f>IF(G9=0,0,1.13*E9)</f>
        <v>0</v>
      </c>
      <c r="I9" s="19">
        <f>IF(G9=0,0,0.25*E9)</f>
        <v>0</v>
      </c>
      <c r="J9" s="19">
        <f>IF(H9=0,0,0.23*E9)</f>
        <v>0</v>
      </c>
    </row>
    <row r="10" spans="1:12" x14ac:dyDescent="0.2">
      <c r="A10" s="4">
        <f>SUMPRODUCT((B4=[1]travail!A4:A62)*([1]travail!DC3:DU3="marcheur")*([1]travail!DC4:DU62)+(B5=[1]travail!A4:A62)*([1]travail!DC3:DU3="marcheur")*([1]travail!DC4:DU62)+(B6=[1]travail!A4:A62)*([1]travail!DC3:DU3="marcheur")*([1]travail!DC4:DU62)+(B3=[1]travail!A4:A62)*([1]travail!DC3:DU3="marcheur")*([1]travail!DC4:DU62))</f>
        <v>0</v>
      </c>
      <c r="B10" s="1" t="s">
        <v>16</v>
      </c>
      <c r="C10" s="1"/>
      <c r="D10" s="17">
        <v>5.6</v>
      </c>
      <c r="E10" s="15">
        <f>IF(AND(A10&gt;9,A10&lt;20),A10,0)</f>
        <v>0</v>
      </c>
      <c r="F10" s="17">
        <f t="shared" si="0"/>
        <v>0</v>
      </c>
      <c r="G10" s="19">
        <f>IF(F10=0,0,4.5*E10)</f>
        <v>0</v>
      </c>
      <c r="H10" s="19">
        <f>IF(G10=0,0,0.71*E10)</f>
        <v>0</v>
      </c>
      <c r="I10" s="19">
        <f t="shared" ref="I10:I13" si="1">IF(G10=0,0,0.25*E10)</f>
        <v>0</v>
      </c>
      <c r="J10" s="19">
        <f>IF(H10=0,0,0.14*E10)</f>
        <v>0</v>
      </c>
    </row>
    <row r="11" spans="1:12" x14ac:dyDescent="0.2">
      <c r="A11" s="1"/>
      <c r="B11" s="1" t="s">
        <v>17</v>
      </c>
      <c r="C11" s="1"/>
      <c r="D11" s="17">
        <v>5</v>
      </c>
      <c r="E11" s="15">
        <f>IF(A10&gt;19,A10,0)</f>
        <v>0</v>
      </c>
      <c r="F11" s="17">
        <f t="shared" si="0"/>
        <v>0</v>
      </c>
      <c r="G11" s="19">
        <f>IF(F11=0,0,4.5*E11)</f>
        <v>0</v>
      </c>
      <c r="H11" s="19">
        <f>IF(G11=0,0,0.21*E11)</f>
        <v>0</v>
      </c>
      <c r="I11" s="19">
        <f t="shared" si="1"/>
        <v>0</v>
      </c>
      <c r="J11" s="19">
        <f>IF(H11=0,0,0.04*E11)</f>
        <v>0</v>
      </c>
    </row>
    <row r="12" spans="1:12" x14ac:dyDescent="0.2">
      <c r="A12" s="1"/>
      <c r="B12" s="1"/>
      <c r="C12" s="1"/>
      <c r="D12" s="17"/>
      <c r="E12" s="15"/>
      <c r="F12" s="17">
        <f t="shared" si="0"/>
        <v>0</v>
      </c>
      <c r="G12" s="19">
        <f>IF(F12=0,0,9999)</f>
        <v>0</v>
      </c>
      <c r="H12" s="19">
        <f t="shared" ref="H12" si="2">IF(G12=0,0,1.13*E12)</f>
        <v>0</v>
      </c>
      <c r="I12" s="19">
        <f t="shared" si="1"/>
        <v>0</v>
      </c>
      <c r="J12" s="19"/>
    </row>
    <row r="13" spans="1:12" x14ac:dyDescent="0.2">
      <c r="A13" s="12" t="s">
        <v>18</v>
      </c>
      <c r="B13" s="1"/>
      <c r="C13" s="21"/>
      <c r="D13" s="17">
        <v>7</v>
      </c>
      <c r="E13" s="15">
        <f>SUMPRODUCT((B4=[1]travail!A4:A62)*([1]travail!DC3:DU3="marcheur dim")*([1]travail!DC4:DU62)+(B5=[1]travail!A4:A62)*([1]travail!DC3:DU3="marcheur dim")*([1]travail!DC4:DU62)+(B6=[1]travail!A4:A62)*([1]travail!DC3:DU3="marcheur dim")*([1]travail!DC4:DU62)+(B3=[1]travail!A4:A62)*([1]travail!DC3:DU3="marcheur dim")*([1]travail!DC4:DU62))</f>
        <v>0</v>
      </c>
      <c r="F13" s="17">
        <f t="shared" si="0"/>
        <v>0</v>
      </c>
      <c r="G13" s="19">
        <f>IF(F13=0,0,4.5*E13)</f>
        <v>0</v>
      </c>
      <c r="H13" s="19">
        <f>IF(G13=0,0,1.87*E13)</f>
        <v>0</v>
      </c>
      <c r="I13" s="19">
        <f t="shared" si="1"/>
        <v>0</v>
      </c>
      <c r="J13" s="19">
        <f>IF(H13=0,0,0.38*E13)</f>
        <v>0</v>
      </c>
    </row>
    <row r="14" spans="1:12" x14ac:dyDescent="0.2">
      <c r="A14" s="1"/>
      <c r="B14" s="1"/>
      <c r="C14" s="1"/>
      <c r="D14" s="17"/>
      <c r="E14" s="15"/>
      <c r="F14" s="17">
        <f t="shared" si="0"/>
        <v>0</v>
      </c>
      <c r="G14" s="19">
        <f>IF(F14=0,0,0)</f>
        <v>0</v>
      </c>
      <c r="H14" s="19"/>
      <c r="I14" s="19"/>
      <c r="J14" s="19"/>
    </row>
    <row r="15" spans="1:12" x14ac:dyDescent="0.2">
      <c r="A15" s="12" t="s">
        <v>19</v>
      </c>
      <c r="B15" s="1"/>
      <c r="C15" s="1" t="s">
        <v>20</v>
      </c>
      <c r="D15" s="17">
        <v>14</v>
      </c>
      <c r="E15" s="15">
        <v>4</v>
      </c>
      <c r="F15" s="17">
        <f t="shared" si="0"/>
        <v>56</v>
      </c>
      <c r="G15" s="19">
        <f>IF(F15=0,0,11.5*E15)</f>
        <v>46</v>
      </c>
      <c r="H15" s="19">
        <f>IF(G15=0,0,1.56*E15)</f>
        <v>6.24</v>
      </c>
      <c r="I15" s="19">
        <f>IF(G15=0,0,0.63*E15)</f>
        <v>2.52</v>
      </c>
      <c r="J15" s="19">
        <f>IF(H15=0,0,0.31*E15)</f>
        <v>1.24</v>
      </c>
    </row>
    <row r="16" spans="1:12" x14ac:dyDescent="0.2">
      <c r="A16" s="1"/>
      <c r="B16" s="1" t="s">
        <v>21</v>
      </c>
      <c r="C16" s="1"/>
      <c r="D16" s="17">
        <v>250</v>
      </c>
      <c r="E16" s="15"/>
      <c r="F16" s="17">
        <f t="shared" si="0"/>
        <v>0</v>
      </c>
      <c r="G16" s="19"/>
      <c r="H16" s="19"/>
      <c r="I16" s="19"/>
      <c r="J16" s="19">
        <f t="shared" ref="J16" si="3">IF(H16=0,0,0.31*E16)</f>
        <v>0</v>
      </c>
    </row>
    <row r="17" spans="1:11" x14ac:dyDescent="0.2">
      <c r="A17" s="12" t="s">
        <v>22</v>
      </c>
      <c r="B17" s="1"/>
      <c r="C17" s="1"/>
      <c r="D17" s="17">
        <v>28</v>
      </c>
      <c r="E17" s="15">
        <f>SUMPRODUCT((B4=[1]travail!A4:A62)*([1]travail!DC3:DU3="total collectifs")*([1]travail!DC4:DU62)+(B5=[1]travail!A4:A62)*([1]travail!DC3:DU3="total collectifs")*([1]travail!DC4:DU62)+(B6=[1]travail!A4:A62)*([1]travail!DC3:DU3="total collectifs")*([1]travail!DC4:DU62)+(B3=[1]travail!A4:A62)*([1]travail!DC3:DU3="total collectifs")*([1]travail!DC4:DU62))</f>
        <v>0</v>
      </c>
      <c r="F17" s="17">
        <f t="shared" si="0"/>
        <v>0</v>
      </c>
      <c r="H17" s="19">
        <f>IF(F17&gt;0,23.33*E17,0)</f>
        <v>0</v>
      </c>
      <c r="I17" s="19"/>
      <c r="J17" s="19">
        <f t="shared" ref="J17:J27" si="4">IF(H17=0,0,H17*20%)</f>
        <v>0</v>
      </c>
    </row>
    <row r="18" spans="1:11" x14ac:dyDescent="0.2">
      <c r="A18" s="22" t="s">
        <v>23</v>
      </c>
      <c r="B18" s="1" t="s">
        <v>24</v>
      </c>
      <c r="C18" s="1"/>
      <c r="D18" s="17">
        <v>36</v>
      </c>
      <c r="E18" s="15">
        <v>4</v>
      </c>
      <c r="F18" s="17">
        <f t="shared" si="0"/>
        <v>144</v>
      </c>
      <c r="G18" s="19"/>
      <c r="H18" s="19">
        <f>IF(F18&gt;0,30*E18,0)</f>
        <v>120</v>
      </c>
      <c r="I18" s="19"/>
      <c r="J18" s="19">
        <f t="shared" si="4"/>
        <v>24</v>
      </c>
    </row>
    <row r="19" spans="1:11" x14ac:dyDescent="0.2">
      <c r="A19" s="23">
        <f>SUMPRODUCT((B4=[1]travail!A4:A62)*([1]travail!DC3:DU3="total cours")*([1]travail!DC4:DU62)+(B5=[1]travail!A4:A62)*([1]travail!DC3:DU3="total cours")*([1]travail!DC4:DU62)+(B6=[1]travail!A4:A62)*([1]travail!DC3:DU3="total cours")*([1]travail!DC4:DU62)+(B3=[1]travail!A4:A62)*([1]travail!DC3:DU3="total cours")*([1]travail!DC4:DU62))</f>
        <v>0</v>
      </c>
      <c r="B19" s="1" t="s">
        <v>25</v>
      </c>
      <c r="C19" s="1"/>
      <c r="D19" s="17">
        <v>34</v>
      </c>
      <c r="E19" s="15">
        <f>IF(AND(A19&gt;7,A19&lt;12),A19,0)</f>
        <v>0</v>
      </c>
      <c r="F19" s="17">
        <f t="shared" si="0"/>
        <v>0</v>
      </c>
      <c r="G19" s="19"/>
      <c r="H19" s="19">
        <f>IF(F19&gt;0,28.33*E19,0)</f>
        <v>0</v>
      </c>
      <c r="I19" s="19"/>
      <c r="J19" s="19">
        <f t="shared" si="4"/>
        <v>0</v>
      </c>
    </row>
    <row r="20" spans="1:11" x14ac:dyDescent="0.2">
      <c r="A20" s="24"/>
      <c r="B20" s="1" t="s">
        <v>26</v>
      </c>
      <c r="C20" s="1"/>
      <c r="D20" s="17">
        <v>32</v>
      </c>
      <c r="E20" s="15">
        <f>IF(AND(A19&gt;11,A19&lt;17),A19,0)</f>
        <v>0</v>
      </c>
      <c r="F20" s="17">
        <f t="shared" si="0"/>
        <v>0</v>
      </c>
      <c r="G20" s="19"/>
      <c r="H20" s="19">
        <f>IF(F20&gt;0,26.67*E20,0)</f>
        <v>0</v>
      </c>
      <c r="I20" s="19"/>
      <c r="J20" s="19">
        <f t="shared" si="4"/>
        <v>0</v>
      </c>
    </row>
    <row r="21" spans="1:11" x14ac:dyDescent="0.2">
      <c r="A21" s="24"/>
      <c r="B21" s="1" t="s">
        <v>27</v>
      </c>
      <c r="C21" s="1"/>
      <c r="D21" s="17">
        <v>30</v>
      </c>
      <c r="E21" s="15">
        <f>IF(A19&gt;16,A19,0)</f>
        <v>0</v>
      </c>
      <c r="F21" s="17">
        <f t="shared" si="0"/>
        <v>0</v>
      </c>
      <c r="G21" s="19"/>
      <c r="H21" s="19">
        <f>IF(F21&gt;0,25*E21,0)</f>
        <v>0</v>
      </c>
      <c r="I21" s="19"/>
      <c r="J21" s="19">
        <f t="shared" si="4"/>
        <v>0</v>
      </c>
    </row>
    <row r="22" spans="1:11" s="1" customFormat="1" ht="19" x14ac:dyDescent="0.25">
      <c r="A22" s="25" t="s">
        <v>28</v>
      </c>
      <c r="D22" s="17"/>
      <c r="E22" s="15"/>
      <c r="F22" s="17">
        <f t="shared" si="0"/>
        <v>0</v>
      </c>
      <c r="G22" s="26"/>
      <c r="H22" s="19">
        <f t="shared" ref="H22" si="5">IF(F22&gt;0,25*E22,0)</f>
        <v>0</v>
      </c>
      <c r="I22" s="26"/>
      <c r="J22" s="19">
        <f t="shared" si="4"/>
        <v>0</v>
      </c>
    </row>
    <row r="23" spans="1:11" s="1" customFormat="1" x14ac:dyDescent="0.2">
      <c r="A23" s="1" t="s">
        <v>29</v>
      </c>
      <c r="B23" s="1" t="str">
        <f>[1]concours!B3</f>
        <v>Sciez 27 et 28 février</v>
      </c>
      <c r="D23" s="17">
        <f>[1]concours!C4</f>
        <v>20</v>
      </c>
      <c r="E23" s="15">
        <f>SUMPRODUCT((B4=[1]concours!A6:A13)*([1]concours!B5:Z5="deten1")*([1]concours!B6:Z13)+(B5=[1]concours!A6:A13)*([1]concours!B5:Z5="deten1")*([1]concours!B6:Z13)+(B6=[1]concours!A6:A13)*([1]concours!B5:Z5="deten1")*([1]concours!B6:Z13))</f>
        <v>0</v>
      </c>
      <c r="F23" s="17">
        <f t="shared" si="0"/>
        <v>0</v>
      </c>
      <c r="G23" s="26"/>
      <c r="H23" s="19">
        <f>IF(F23&gt;0,16.67*E23,0)</f>
        <v>0</v>
      </c>
      <c r="I23" s="26"/>
      <c r="J23" s="19">
        <f t="shared" si="4"/>
        <v>0</v>
      </c>
    </row>
    <row r="24" spans="1:11" s="1" customFormat="1" ht="15" customHeight="1" x14ac:dyDescent="0.2">
      <c r="A24" s="1" t="s">
        <v>29</v>
      </c>
      <c r="B24" s="1">
        <f>[1]concours!G3</f>
        <v>0</v>
      </c>
      <c r="D24" s="17">
        <f>[1]concours!H4</f>
        <v>20</v>
      </c>
      <c r="E24" s="15">
        <f>SUMPRODUCT((B4=[1]concours!A6:A13)*([1]concours!B5:Z5="deten2")*([1]concours!B6:Z13)+(B5=[1]concours!A6:A13)*([1]concours!B5:Z5="deten2")*([1]concours!B6:Z13)+(B6=[1]concours!A6:A13)*([1]concours!B5:Z5="deten2")*([1]concours!B6:Z13))</f>
        <v>0</v>
      </c>
      <c r="F24" s="17">
        <f t="shared" si="0"/>
        <v>0</v>
      </c>
      <c r="G24" s="26"/>
      <c r="H24" s="19">
        <f t="shared" ref="H24:H27" si="6">IF(F24&gt;0,16.67*E24,0)</f>
        <v>0</v>
      </c>
      <c r="I24" s="26"/>
      <c r="J24" s="19">
        <f t="shared" si="4"/>
        <v>0</v>
      </c>
    </row>
    <row r="25" spans="1:11" s="1" customFormat="1" ht="15" customHeight="1" x14ac:dyDescent="0.2">
      <c r="A25" s="1" t="s">
        <v>29</v>
      </c>
      <c r="B25" s="1">
        <f>[1]concours!L3</f>
        <v>0</v>
      </c>
      <c r="D25" s="17">
        <f>[1]concours!M4</f>
        <v>20</v>
      </c>
      <c r="E25" s="15">
        <f>SUMPRODUCT((B4=[1]concours!A6:A13)*([1]concours!B5:Z5="deten3")*([1]concours!B6:Z13)+(B5=[1]concours!A6:A13)*([1]concours!B5:Z5="deten3")*([1]concours!B6:Z13)+(B6=[1]concours!A6:A13)*([1]concours!B5:Z5="deten3")*([1]concours!B6:Z13))</f>
        <v>0</v>
      </c>
      <c r="F25" s="17">
        <f t="shared" si="0"/>
        <v>0</v>
      </c>
      <c r="G25" s="26"/>
      <c r="H25" s="19">
        <f t="shared" si="6"/>
        <v>0</v>
      </c>
      <c r="I25" s="26"/>
      <c r="J25" s="19">
        <f>IF(H25=0,0,H25*20%)</f>
        <v>0</v>
      </c>
    </row>
    <row r="26" spans="1:11" s="1" customFormat="1" ht="15" customHeight="1" x14ac:dyDescent="0.2">
      <c r="A26" s="1" t="s">
        <v>29</v>
      </c>
      <c r="B26" s="1">
        <f>[1]concours!Q3</f>
        <v>0</v>
      </c>
      <c r="D26" s="17">
        <f>[1]concours!R4</f>
        <v>20</v>
      </c>
      <c r="E26" s="15">
        <f>SUMPRODUCT((B4=[1]concours!A6:A13)*([1]concours!B5:Z5="deten4")*([1]concours!B6:Z13)+(B5=[1]concours!A6:A13)*([1]concours!B5:Z5="deten4")*([1]concours!B6:Z13)+(B6=[1]concours!A6:A13)*([1]concours!B5:Z5="deten4")*([1]concours!B6:Z13))</f>
        <v>0</v>
      </c>
      <c r="F26" s="17">
        <f t="shared" si="0"/>
        <v>0</v>
      </c>
      <c r="G26" s="26"/>
      <c r="H26" s="19">
        <f t="shared" si="6"/>
        <v>0</v>
      </c>
      <c r="I26" s="26"/>
      <c r="J26" s="19">
        <f t="shared" si="4"/>
        <v>0</v>
      </c>
    </row>
    <row r="27" spans="1:11" s="1" customFormat="1" ht="15" customHeight="1" x14ac:dyDescent="0.2">
      <c r="A27" s="1" t="s">
        <v>29</v>
      </c>
      <c r="B27" s="1">
        <f>[1]concours!V3</f>
        <v>0</v>
      </c>
      <c r="D27" s="17">
        <f>[1]concours!W4</f>
        <v>20</v>
      </c>
      <c r="E27" s="15">
        <f>SUMPRODUCT((B4=[1]concours!A6:A13)*([1]concours!B5:Z5="deten5")*([1]concours!B6:Z13)+(B5=[1]concours!A6:A13)*([1]concours!B5:Z5="deten5")*([1]concours!B6:Z13)+(B6=[1]concours!A6:A13)*([1]concours!B5:Z5="deten5")*([1]concours!B6:Z13))</f>
        <v>0</v>
      </c>
      <c r="F27" s="17">
        <f t="shared" si="0"/>
        <v>0</v>
      </c>
      <c r="G27" s="26"/>
      <c r="H27" s="19">
        <f t="shared" si="6"/>
        <v>0</v>
      </c>
      <c r="I27" s="26"/>
      <c r="J27" s="19">
        <f t="shared" si="4"/>
        <v>0</v>
      </c>
    </row>
    <row r="28" spans="1:11" s="1" customFormat="1" ht="15" customHeight="1" x14ac:dyDescent="0.2">
      <c r="A28" s="1" t="s">
        <v>30</v>
      </c>
      <c r="B28" s="1" t="str">
        <f>[1]concours!B3</f>
        <v>Sciez 27 et 28 février</v>
      </c>
      <c r="D28" s="17">
        <f>SUMPRODUCT((B4=[1]concours!A6:A13)*([1]concours!B5:Z5="eng1")*([1]concours!B6:Z13)+(B5=[1]concours!A6:A13)*([1]concours!B5:Z5="eng1")*([1]concours!B6:Z13)+(B6=[1]concours!A6:A13)*([1]concours!B5:Z5="eng1")*([1]concours!B6:Z13))</f>
        <v>0</v>
      </c>
      <c r="E28" s="15">
        <v>1</v>
      </c>
      <c r="F28" s="17">
        <f t="shared" si="0"/>
        <v>0</v>
      </c>
      <c r="G28" s="26"/>
      <c r="I28" s="26"/>
      <c r="J28" s="19"/>
      <c r="K28" s="19">
        <f>IF(F28&gt;0,D28*E28,0)</f>
        <v>0</v>
      </c>
    </row>
    <row r="29" spans="1:11" s="1" customFormat="1" ht="15" customHeight="1" x14ac:dyDescent="0.2">
      <c r="A29" s="1" t="s">
        <v>30</v>
      </c>
      <c r="B29" s="1">
        <f>[1]concours!G3</f>
        <v>0</v>
      </c>
      <c r="D29" s="17">
        <f>SUMPRODUCT((B4=[1]concours!A6:A13)*([1]concours!B5:Z5="eng2")*([1]concours!B6:Z13)+(B5=[1]concours!A6:A13)*([1]concours!B5:Z5="eng2")*([1]concours!B6:Z13)+(B6=[1]concours!A6:A13)*([1]concours!B5:Z5="eng2")*([1]concours!B6:Z13))</f>
        <v>0</v>
      </c>
      <c r="E29" s="15">
        <v>1</v>
      </c>
      <c r="F29" s="17">
        <f t="shared" si="0"/>
        <v>0</v>
      </c>
      <c r="G29" s="26"/>
      <c r="I29" s="26"/>
      <c r="J29" s="19"/>
      <c r="K29" s="19">
        <f>IF(F29&gt;0,D29*E29,0)</f>
        <v>0</v>
      </c>
    </row>
    <row r="30" spans="1:11" s="1" customFormat="1" ht="15" customHeight="1" x14ac:dyDescent="0.2">
      <c r="A30" s="1" t="s">
        <v>30</v>
      </c>
      <c r="B30" s="1">
        <f>[1]concours!L3</f>
        <v>0</v>
      </c>
      <c r="D30" s="17">
        <f>SUMPRODUCT((B4=[1]concours!A6:A13)*([1]concours!B5:Z5="eng3")*([1]concours!B6:Z13)+(B5=[1]concours!A6:A13)*([1]concours!B5:Z5="eng3")*([1]concours!B6:Z13)+(B6=[1]concours!A6:A13)*([1]concours!B5:Z5="eng3")*([1]concours!B6:Z13))</f>
        <v>0</v>
      </c>
      <c r="E30" s="15">
        <v>1</v>
      </c>
      <c r="F30" s="17">
        <f t="shared" si="0"/>
        <v>0</v>
      </c>
      <c r="G30" s="26"/>
      <c r="I30" s="26"/>
      <c r="J30" s="19"/>
      <c r="K30" s="19">
        <f>IF(F30&gt;0,D30*E30,0)</f>
        <v>0</v>
      </c>
    </row>
    <row r="31" spans="1:11" s="1" customFormat="1" ht="15" customHeight="1" x14ac:dyDescent="0.2">
      <c r="A31" s="1" t="s">
        <v>30</v>
      </c>
      <c r="B31" s="1">
        <f>[1]concours!Q3</f>
        <v>0</v>
      </c>
      <c r="D31" s="17">
        <f>SUMPRODUCT((B4=[1]concours!A6:A13)*([1]concours!B5:Z5="eng4")*([1]concours!B6:Z13)+(B5=[1]concours!A6:A13)*([1]concours!B5:Z5="eng4")*([1]concours!B6:Z13)+(B6=[1]concours!A6:A13)*([1]concours!B5:Z5="eng4")*([1]concours!B6:Z13))</f>
        <v>0</v>
      </c>
      <c r="E31" s="15">
        <v>1</v>
      </c>
      <c r="F31" s="17">
        <f t="shared" si="0"/>
        <v>0</v>
      </c>
      <c r="G31" s="26"/>
      <c r="I31" s="26"/>
      <c r="J31" s="19"/>
      <c r="K31" s="19">
        <f>IF(F31&gt;0,D31*E31,0)</f>
        <v>0</v>
      </c>
    </row>
    <row r="32" spans="1:11" s="1" customFormat="1" ht="15" customHeight="1" x14ac:dyDescent="0.2">
      <c r="A32" s="1" t="s">
        <v>30</v>
      </c>
      <c r="B32" s="1">
        <f>[1]concours!V3</f>
        <v>0</v>
      </c>
      <c r="D32" s="17">
        <f>SUMPRODUCT((B4=[1]concours!A6:A13)*([1]concours!B5:Z5="eng5")*([1]concours!B6:Z13)+(B5=[1]concours!A6:A13)*([1]concours!B5:Z5="eng5")*([1]concours!B6:Z13)+(B6=[1]concours!A6:A13)*([1]concours!B5:Z5="eng5")*([1]concours!B6:Z13))</f>
        <v>0</v>
      </c>
      <c r="E32" s="15">
        <v>1</v>
      </c>
      <c r="F32" s="17">
        <f t="shared" si="0"/>
        <v>0</v>
      </c>
      <c r="G32" s="26"/>
      <c r="I32" s="26"/>
      <c r="J32" s="19"/>
      <c r="K32" s="19">
        <f>IF(F32&gt;0,D32*E32,0)</f>
        <v>0</v>
      </c>
    </row>
    <row r="33" spans="1:10" s="1" customFormat="1" ht="15" customHeight="1" x14ac:dyDescent="0.2">
      <c r="A33" s="1" t="s">
        <v>31</v>
      </c>
      <c r="B33" s="1" t="str">
        <f>[1]concours!B3</f>
        <v>Sciez 27 et 28 février</v>
      </c>
      <c r="D33" s="17">
        <f>[1]concours!B4</f>
        <v>20</v>
      </c>
      <c r="E33" s="15">
        <f>SUMPRODUCT((B4=[1]concours!A6:A13)*([1]concours!B5:Z5="trsp1")*([1]concours!B6:Z13)+(B5=[1]concours!A6:A13)*([1]concours!B5:Z5="trsp1")*([1]concours!B6:Z13)+(B6=[1]concours!A6:A13)*([1]concours!B5:Z5="trsp1")*([1]concours!B6:Z13))</f>
        <v>0</v>
      </c>
      <c r="F33" s="17">
        <f t="shared" si="0"/>
        <v>0</v>
      </c>
      <c r="G33" s="26"/>
      <c r="H33" s="19">
        <f>IF(F33&gt;0,D33/1.2*E33,0)</f>
        <v>0</v>
      </c>
      <c r="I33" s="26"/>
      <c r="J33" s="19">
        <f>IF(H33=0,0,H33*20%)</f>
        <v>0</v>
      </c>
    </row>
    <row r="34" spans="1:10" s="1" customFormat="1" ht="15" customHeight="1" x14ac:dyDescent="0.2">
      <c r="A34" s="1" t="s">
        <v>31</v>
      </c>
      <c r="B34" s="1">
        <f>[1]concours!G3</f>
        <v>0</v>
      </c>
      <c r="D34" s="17">
        <f>[1]concours!G4</f>
        <v>20</v>
      </c>
      <c r="E34" s="15">
        <f>SUMPRODUCT((B4=[1]concours!A6:A13)*([1]concours!B5:Z5="trsp2")*([1]concours!B6:Z13)+(B5=[1]concours!A6:A13)*([1]concours!B5:Z5="trsp2")*([1]concours!B6:Z13)+(B6=[1]concours!A6:A13)*([1]concours!B5:Z5="trsp2")*([1]concours!B6:Z13))</f>
        <v>0</v>
      </c>
      <c r="F34" s="17">
        <f t="shared" si="0"/>
        <v>0</v>
      </c>
      <c r="G34" s="26"/>
      <c r="H34" s="19">
        <f>IF(F34&gt;0,D34/1.2*E34,0)</f>
        <v>0</v>
      </c>
      <c r="I34" s="26"/>
      <c r="J34" s="19">
        <f t="shared" ref="J34:J51" si="7">IF(H34=0,0,H34*20%)</f>
        <v>0</v>
      </c>
    </row>
    <row r="35" spans="1:10" s="1" customFormat="1" ht="15" customHeight="1" x14ac:dyDescent="0.2">
      <c r="A35" s="1" t="s">
        <v>31</v>
      </c>
      <c r="B35" s="1">
        <f>[1]concours!L3</f>
        <v>0</v>
      </c>
      <c r="D35" s="17">
        <f>[1]concours!L4</f>
        <v>0</v>
      </c>
      <c r="E35" s="15">
        <f>SUMPRODUCT((B4=[1]concours!A6:A13)*([1]concours!B5:Z5="trsp3")*([1]concours!B6:Z13)+(B5=[1]concours!A6:A13)*([1]concours!B5:Z5="trsp3")*([1]concours!B6:Z13)+(B6=[1]concours!A6:A13)*([1]concours!B5:Z5="trsp3")*([1]concours!B6:Z13))</f>
        <v>0</v>
      </c>
      <c r="F35" s="17">
        <f t="shared" si="0"/>
        <v>0</v>
      </c>
      <c r="G35" s="26"/>
      <c r="H35" s="19">
        <f t="shared" ref="H35:H42" si="8">IF(F35&gt;0,D35/1.2*E35,0)</f>
        <v>0</v>
      </c>
      <c r="I35" s="26"/>
      <c r="J35" s="19">
        <f t="shared" si="7"/>
        <v>0</v>
      </c>
    </row>
    <row r="36" spans="1:10" s="1" customFormat="1" ht="15" customHeight="1" x14ac:dyDescent="0.2">
      <c r="A36" s="1" t="s">
        <v>31</v>
      </c>
      <c r="B36" s="1">
        <f>[1]concours!Q3</f>
        <v>0</v>
      </c>
      <c r="D36" s="17">
        <f>[1]concours!Q4</f>
        <v>0</v>
      </c>
      <c r="E36" s="15">
        <f>SUMPRODUCT((B4=[1]concours!A6:A13)*([1]concours!B5:Z5="trsp4")*([1]concours!B6:Z13)+(B5=[1]concours!A6:A13)*([1]concours!B5:Z5="trsp4")*([1]concours!B6:Z13)+(B6=[1]concours!A6:A13)*([1]concours!B5:Z5="trsp4")*([1]concours!B6:Z13))</f>
        <v>0</v>
      </c>
      <c r="F36" s="17">
        <f t="shared" si="0"/>
        <v>0</v>
      </c>
      <c r="G36" s="26"/>
      <c r="H36" s="19">
        <f t="shared" si="8"/>
        <v>0</v>
      </c>
      <c r="I36" s="26"/>
      <c r="J36" s="19">
        <f t="shared" si="7"/>
        <v>0</v>
      </c>
    </row>
    <row r="37" spans="1:10" s="1" customFormat="1" ht="15" customHeight="1" x14ac:dyDescent="0.2">
      <c r="A37" s="1" t="s">
        <v>31</v>
      </c>
      <c r="B37" s="1">
        <f>[1]concours!V3</f>
        <v>0</v>
      </c>
      <c r="D37" s="17">
        <f>[1]concours!V4</f>
        <v>0</v>
      </c>
      <c r="E37" s="15">
        <f>SUMPRODUCT((B4=[1]concours!A6:A13)*([1]concours!B5:Z5="trsp5")*([1]concours!B6:Z13)+(B5=[1]concours!A6:A13)*([1]concours!B5:Z5="trsp5")*([1]concours!B6:Z13)+(B6=[1]concours!A6:A13)*([1]concours!B5:Z5="trsp5")*([1]concours!B6:Z13))</f>
        <v>0</v>
      </c>
      <c r="F37" s="17">
        <f t="shared" si="0"/>
        <v>0</v>
      </c>
      <c r="G37" s="26"/>
      <c r="H37" s="19">
        <f t="shared" si="8"/>
        <v>0</v>
      </c>
      <c r="I37" s="26"/>
      <c r="J37" s="19">
        <f t="shared" si="7"/>
        <v>0</v>
      </c>
    </row>
    <row r="38" spans="1:10" s="1" customFormat="1" ht="15" customHeight="1" x14ac:dyDescent="0.2">
      <c r="A38" s="1" t="s">
        <v>32</v>
      </c>
      <c r="B38" s="1" t="str">
        <f>[1]concours!B3</f>
        <v>Sciez 27 et 28 février</v>
      </c>
      <c r="D38" s="17">
        <f>[1]concours!D4</f>
        <v>1</v>
      </c>
      <c r="E38" s="15">
        <f>SUMPRODUCT((B4=[1]concours!A6:A13)*([1]concours!B5:Z5="boxes1")*([1]concours!B6:Z13)+(B5=[1]concours!A6:A13)*([1]concours!B5:Z5="boxes1")*([1]concours!B6:Z13)+(B6=[1]concours!A6:A13)*([1]concours!B5:Z5="boxes1")*([1]concours!B6:Z13))</f>
        <v>0</v>
      </c>
      <c r="F38" s="17">
        <f t="shared" si="0"/>
        <v>0</v>
      </c>
      <c r="G38" s="26"/>
      <c r="H38" s="19">
        <f t="shared" si="8"/>
        <v>0</v>
      </c>
      <c r="I38" s="26"/>
      <c r="J38" s="19">
        <f t="shared" si="7"/>
        <v>0</v>
      </c>
    </row>
    <row r="39" spans="1:10" s="1" customFormat="1" ht="15" customHeight="1" x14ac:dyDescent="0.2">
      <c r="A39" s="1" t="s">
        <v>32</v>
      </c>
      <c r="B39" s="1">
        <f>[1]concours!G3</f>
        <v>0</v>
      </c>
      <c r="D39" s="17">
        <f>[1]concours!I4</f>
        <v>0</v>
      </c>
      <c r="E39" s="15">
        <f>SUMPRODUCT((B4=[1]concours!A6:A13)*([1]concours!B5:Z5="boxes2")*([1]concours!B6:Z13)+(B5=[1]concours!A6:A13)*([1]concours!B5:Z5="boxes2")*([1]concours!B6:Z13)+(B6=[1]concours!A6:A13)*([1]concours!B5:Z5="boxes2")*([1]concours!B6:Z13))</f>
        <v>0</v>
      </c>
      <c r="F39" s="17">
        <f t="shared" si="0"/>
        <v>0</v>
      </c>
      <c r="G39" s="26"/>
      <c r="H39" s="19">
        <f t="shared" si="8"/>
        <v>0</v>
      </c>
      <c r="I39" s="26"/>
      <c r="J39" s="19">
        <f t="shared" si="7"/>
        <v>0</v>
      </c>
    </row>
    <row r="40" spans="1:10" s="1" customFormat="1" ht="15" customHeight="1" x14ac:dyDescent="0.2">
      <c r="A40" s="1" t="s">
        <v>32</v>
      </c>
      <c r="B40" s="1">
        <f>[1]concours!L3</f>
        <v>0</v>
      </c>
      <c r="D40" s="17">
        <f>[1]concours!N4</f>
        <v>0</v>
      </c>
      <c r="E40" s="15">
        <f>SUMPRODUCT((B4=[1]concours!A6:A13)*([1]concours!B5:Z5="boxes3")*([1]concours!B6:Z13)+(B5=[1]concours!A6:A13)*([1]concours!B5:Z5="boxes3")*([1]concours!B6:Z13)+(B6=[1]concours!A6:A13)*([1]concours!B5:Z5="boxes3")*([1]concours!B6:Z13))</f>
        <v>0</v>
      </c>
      <c r="F40" s="17">
        <f t="shared" si="0"/>
        <v>0</v>
      </c>
      <c r="G40" s="26"/>
      <c r="H40" s="19">
        <f t="shared" si="8"/>
        <v>0</v>
      </c>
      <c r="I40" s="26"/>
      <c r="J40" s="19">
        <f t="shared" si="7"/>
        <v>0</v>
      </c>
    </row>
    <row r="41" spans="1:10" s="1" customFormat="1" ht="15" customHeight="1" x14ac:dyDescent="0.2">
      <c r="A41" s="1" t="s">
        <v>32</v>
      </c>
      <c r="B41" s="1">
        <f>[1]concours!Q3</f>
        <v>0</v>
      </c>
      <c r="D41" s="17">
        <f>[1]concours!S4</f>
        <v>1</v>
      </c>
      <c r="E41" s="15">
        <f>SUMPRODUCT((B4=[1]concours!A6:A13)*([1]concours!B5:Z5="boxes4")*([1]concours!B6:Z13)+(B5=[1]concours!A6:A13)*([1]concours!B5:Z5="boxes4")*([1]concours!B6:Z13)+(B6=[1]concours!A6:A13)*([1]concours!B5:Z5="boxes4")*([1]concours!B6:Z13))</f>
        <v>0</v>
      </c>
      <c r="F41" s="17">
        <f t="shared" si="0"/>
        <v>0</v>
      </c>
      <c r="G41" s="26"/>
      <c r="H41" s="19">
        <f t="shared" si="8"/>
        <v>0</v>
      </c>
      <c r="I41" s="26"/>
      <c r="J41" s="19">
        <f t="shared" si="7"/>
        <v>0</v>
      </c>
    </row>
    <row r="42" spans="1:10" s="1" customFormat="1" ht="15" customHeight="1" x14ac:dyDescent="0.2">
      <c r="A42" s="1" t="s">
        <v>32</v>
      </c>
      <c r="B42" s="1">
        <f>[1]concours!V3</f>
        <v>0</v>
      </c>
      <c r="D42" s="17">
        <f>[1]concours!X4</f>
        <v>0</v>
      </c>
      <c r="E42" s="15">
        <f>SUMPRODUCT((B4=[1]concours!A6:A13)*([1]concours!B5:Z5="boxes5")*([1]concours!B6:Z13)+(B5=[1]concours!A6:A13)*([1]concours!B5:Z5="boxes5")*([1]concours!B6:Z13)+(B6=[1]concours!A6:A13)*([1]concours!B5:Z5="boxes5")*([1]concours!B6:Z13))</f>
        <v>0</v>
      </c>
      <c r="F42" s="17">
        <f t="shared" si="0"/>
        <v>0</v>
      </c>
      <c r="G42" s="26"/>
      <c r="H42" s="19">
        <f t="shared" si="8"/>
        <v>0</v>
      </c>
      <c r="I42" s="26"/>
      <c r="J42" s="19">
        <f t="shared" si="7"/>
        <v>0</v>
      </c>
    </row>
    <row r="43" spans="1:10" s="1" customFormat="1" ht="15" customHeight="1" x14ac:dyDescent="0.2">
      <c r="A43" s="1" t="s">
        <v>33</v>
      </c>
      <c r="D43" s="17">
        <f>SUMPRODUCT((B4=[1]concours!A6:A13)*([1]concours!B5:Z5="gains")*([1]concours!B6:Z13)+(B5=[1]concours!A6:A13)*([1]concours!B5:Z5="gains")*([1]concours!B6:Z13)+(B6=[1]concours!A6:A13)*([1]concours!B5:Z5="gains")*([1]concours!B6:Z13))</f>
        <v>0</v>
      </c>
      <c r="E43" s="15"/>
      <c r="F43" s="17">
        <f>-D43</f>
        <v>0</v>
      </c>
      <c r="G43" s="26"/>
      <c r="H43" s="26">
        <f>IF(F43&gt;0,-D43*E43,0)</f>
        <v>0</v>
      </c>
      <c r="I43" s="26"/>
      <c r="J43" s="19"/>
    </row>
    <row r="44" spans="1:10" x14ac:dyDescent="0.2">
      <c r="A44" s="12" t="s">
        <v>34</v>
      </c>
      <c r="B44" s="1"/>
      <c r="C44" s="1"/>
      <c r="D44" s="17"/>
      <c r="E44" s="15"/>
      <c r="F44" s="17">
        <f t="shared" ref="F44:F51" si="9">D44*E44</f>
        <v>0</v>
      </c>
      <c r="G44" s="19"/>
      <c r="H44" s="19"/>
      <c r="I44" s="19"/>
      <c r="J44" s="19"/>
    </row>
    <row r="45" spans="1:10" x14ac:dyDescent="0.2">
      <c r="A45" s="12" t="s">
        <v>35</v>
      </c>
      <c r="B45" s="1"/>
      <c r="C45" s="1" t="s">
        <v>20</v>
      </c>
      <c r="D45" s="17">
        <v>1.7</v>
      </c>
      <c r="E45" s="15">
        <f>SUMPRODUCT((B4=[1]travail!A4:A62)*([1]travail!DC3:DU3="couvertures")*([1]travail!DC4:DU62)+(B5=[1]travail!A4:A62)*([1]travail!DC3:DU3="couvertures")*([1]travail!DC4:DU62)+(B6=[1]travail!A4:A62)*([1]travail!DC3:DU3="couvertures")*([1]travail!DC4:DU62))</f>
        <v>0</v>
      </c>
      <c r="F45" s="17">
        <f t="shared" si="9"/>
        <v>0</v>
      </c>
      <c r="G45" s="19"/>
      <c r="H45" s="19">
        <f>IF(F45&gt;0,D45/1.2*E45,0)</f>
        <v>0</v>
      </c>
      <c r="I45" s="19"/>
      <c r="J45" s="19">
        <f t="shared" si="7"/>
        <v>0</v>
      </c>
    </row>
    <row r="46" spans="1:10" x14ac:dyDescent="0.2">
      <c r="A46" s="1"/>
      <c r="B46" s="1" t="s">
        <v>36</v>
      </c>
      <c r="C46" s="1"/>
      <c r="D46" s="17">
        <v>40</v>
      </c>
      <c r="E46" s="15">
        <f>SUMPRODUCT((B4=[1]travail!A4:A62)*([1]travail!DC3:DU3="forfait couv")*([1]travail!DC4:DU62)+(B5=[1]travail!A4:A62)*([1]travail!DC3:DU3="forfait couv")*([1]travail!DC4:DU62)+(B6=[1]travail!A4:A62)*([1]travail!DC3:DU3="forfait couv")*([1]travail!DC4:DU62))</f>
        <v>0</v>
      </c>
      <c r="F46" s="17">
        <f t="shared" si="9"/>
        <v>0</v>
      </c>
      <c r="G46" s="19"/>
      <c r="H46" s="19">
        <f t="shared" ref="H46:H51" si="10">IF(F46&gt;0,D46/1.2*E46,0)</f>
        <v>0</v>
      </c>
      <c r="I46" s="19"/>
      <c r="J46" s="19">
        <f t="shared" si="7"/>
        <v>0</v>
      </c>
    </row>
    <row r="47" spans="1:10" x14ac:dyDescent="0.2">
      <c r="A47" s="12" t="s">
        <v>37</v>
      </c>
      <c r="B47" s="1"/>
      <c r="C47" s="1"/>
      <c r="D47" s="17"/>
      <c r="E47" s="15"/>
      <c r="F47" s="17">
        <f t="shared" si="9"/>
        <v>0</v>
      </c>
      <c r="G47" s="19"/>
      <c r="H47" s="19">
        <f t="shared" si="10"/>
        <v>0</v>
      </c>
      <c r="I47" s="19"/>
      <c r="J47" s="19"/>
    </row>
    <row r="48" spans="1:10" x14ac:dyDescent="0.2">
      <c r="A48" s="1"/>
      <c r="B48" s="1" t="s">
        <v>38</v>
      </c>
      <c r="C48" s="1"/>
      <c r="D48" s="17">
        <v>70</v>
      </c>
      <c r="E48" s="15">
        <f>SUMPRODUCT((B4=[1]travail!A4:A62)*([1]travail!DC3:DU3="tonte 70")*([1]travail!DC4:DU62)+(B5=[1]travail!A4:A62)*([1]travail!DC3:DU3="tonte 70")*([1]travail!DC4:DU62)+(B6=[1]travail!A4:A62)*([1]travail!DC3:DU3="tonte 70")*([1]travail!DC4:DU62))</f>
        <v>0</v>
      </c>
      <c r="F48" s="17">
        <f t="shared" si="9"/>
        <v>0</v>
      </c>
      <c r="G48" s="19"/>
      <c r="H48" s="19">
        <f t="shared" si="10"/>
        <v>0</v>
      </c>
      <c r="I48" s="19"/>
      <c r="J48" s="19">
        <f t="shared" si="7"/>
        <v>0</v>
      </c>
    </row>
    <row r="49" spans="1:12" x14ac:dyDescent="0.2">
      <c r="A49" s="1"/>
      <c r="B49" s="1" t="s">
        <v>39</v>
      </c>
      <c r="C49" s="1"/>
      <c r="D49" s="17">
        <v>90</v>
      </c>
      <c r="E49" s="15">
        <f>SUMPRODUCT((B4=[1]travail!A4:A62)*([1]travail!DC3:DU3="tonte 90")*([1]travail!DC4:DU62)+(B5=[1]travail!A4:A62)*([1]travail!DC3:DU3="tonte 90")*([1]travail!DC4:DU62)+(B6=[1]travail!A4:A62)*([1]travail!DC3:DU3="tonte 90")*([1]travail!DC4:DU62))</f>
        <v>0</v>
      </c>
      <c r="F49" s="17">
        <f t="shared" si="9"/>
        <v>0</v>
      </c>
      <c r="G49" s="19"/>
      <c r="H49" s="19">
        <f t="shared" si="10"/>
        <v>0</v>
      </c>
      <c r="I49" s="19"/>
      <c r="J49" s="19">
        <f t="shared" si="7"/>
        <v>0</v>
      </c>
    </row>
    <row r="50" spans="1:12" x14ac:dyDescent="0.2">
      <c r="A50" s="1"/>
      <c r="B50" s="1" t="s">
        <v>40</v>
      </c>
      <c r="C50" s="1"/>
      <c r="D50" s="27">
        <v>5</v>
      </c>
      <c r="E50" s="15">
        <f>SUMPRODUCT((B4=[1]travail!A4:A62)*([1]travail!DC3:DU3="main")*([1]travail!DC4:DU62)+(B5=[1]travail!A4:A62)*([1]travail!DC3:DU3="main")*([1]travail!DC4:DU62)+(B6=[1]travail!A4:A62)*([1]travail!DC3:DU3="main")*([1]travail!DC4:DU62))</f>
        <v>0</v>
      </c>
      <c r="F50" s="17">
        <f t="shared" si="9"/>
        <v>0</v>
      </c>
      <c r="G50" s="19"/>
      <c r="H50" s="19">
        <f t="shared" si="10"/>
        <v>0</v>
      </c>
      <c r="I50" s="19"/>
      <c r="J50" s="19">
        <f t="shared" si="7"/>
        <v>0</v>
      </c>
    </row>
    <row r="51" spans="1:12" x14ac:dyDescent="0.2">
      <c r="A51" s="1"/>
      <c r="B51" s="28"/>
      <c r="C51" s="28"/>
      <c r="D51" s="27"/>
      <c r="E51" s="18"/>
      <c r="F51" s="27">
        <f t="shared" si="9"/>
        <v>0</v>
      </c>
      <c r="G51" s="19"/>
      <c r="H51" s="19">
        <f t="shared" si="10"/>
        <v>0</v>
      </c>
      <c r="I51" s="19"/>
      <c r="J51" s="19">
        <f t="shared" si="7"/>
        <v>0</v>
      </c>
    </row>
    <row r="52" spans="1:12" x14ac:dyDescent="0.2">
      <c r="A52" s="1"/>
      <c r="B52" s="1"/>
      <c r="C52" s="1"/>
      <c r="D52" s="1"/>
      <c r="E52" s="4" t="s">
        <v>41</v>
      </c>
      <c r="F52" s="29">
        <f>SUM(F7:F51)</f>
        <v>1516</v>
      </c>
      <c r="G52" s="19">
        <f>SUM(G9:G51)</f>
        <v>46</v>
      </c>
      <c r="H52" s="19">
        <f>SUM(H9:H51)</f>
        <v>126.24</v>
      </c>
      <c r="I52" s="19">
        <f>SUM(I9:I51)</f>
        <v>2.52</v>
      </c>
      <c r="J52" s="19">
        <f>SUM(J9:J51)</f>
        <v>25.24</v>
      </c>
      <c r="K52" s="19">
        <f>SUM(K9:K51)</f>
        <v>0</v>
      </c>
      <c r="L52" s="3" t="s">
        <v>42</v>
      </c>
    </row>
    <row r="53" spans="1:12" x14ac:dyDescent="0.2">
      <c r="A53" s="1"/>
      <c r="B53" s="1"/>
      <c r="C53" s="1"/>
      <c r="D53" s="1"/>
      <c r="E53" s="13" t="s">
        <v>43</v>
      </c>
      <c r="F53" s="30"/>
      <c r="G53" s="31"/>
      <c r="H53" s="19"/>
      <c r="I53" s="32">
        <f>I7+I52</f>
        <v>66.319999999999993</v>
      </c>
      <c r="J53" s="32">
        <f>J7+J52</f>
        <v>40.599999999999994</v>
      </c>
      <c r="L53" s="33" t="s">
        <v>12</v>
      </c>
    </row>
    <row r="54" spans="1:12" x14ac:dyDescent="0.2">
      <c r="E54" s="92"/>
      <c r="F54" s="28"/>
      <c r="G54" s="35"/>
      <c r="I54" s="19">
        <f>F87*5.5%</f>
        <v>66.33</v>
      </c>
      <c r="J54" s="19">
        <f>F88*20%</f>
        <v>13.263999999999999</v>
      </c>
      <c r="L54" s="3" t="s">
        <v>44</v>
      </c>
    </row>
    <row r="55" spans="1:12" x14ac:dyDescent="0.2">
      <c r="F55" s="87" t="s">
        <v>69</v>
      </c>
      <c r="I55" s="19">
        <f>I53-I54</f>
        <v>-1.0000000000005116E-2</v>
      </c>
      <c r="J55" s="19">
        <f>J53-J54</f>
        <v>27.335999999999995</v>
      </c>
      <c r="L55" s="3" t="s">
        <v>45</v>
      </c>
    </row>
    <row r="57" spans="1:12" hidden="1" x14ac:dyDescent="0.2"/>
    <row r="60" spans="1:12" x14ac:dyDescent="0.2">
      <c r="A60" s="37"/>
      <c r="B60" s="37"/>
      <c r="D60" s="38" t="s">
        <v>46</v>
      </c>
      <c r="E60" s="39" t="s">
        <v>47</v>
      </c>
      <c r="F60" s="40" t="s">
        <v>70</v>
      </c>
    </row>
    <row r="61" spans="1:12" x14ac:dyDescent="0.2">
      <c r="A61" s="37"/>
      <c r="B61" s="37"/>
    </row>
    <row r="62" spans="1:12" x14ac:dyDescent="0.2">
      <c r="A62" s="37"/>
      <c r="B62" s="37"/>
      <c r="D62" s="41" t="s">
        <v>49</v>
      </c>
      <c r="E62" s="110">
        <f>DATE(2016,3,1)</f>
        <v>42430</v>
      </c>
      <c r="F62" s="110"/>
    </row>
    <row r="63" spans="1:12" x14ac:dyDescent="0.2">
      <c r="A63" s="37"/>
      <c r="B63" s="37"/>
      <c r="D63" s="41"/>
      <c r="E63" s="110"/>
      <c r="F63" s="110"/>
    </row>
    <row r="64" spans="1:12" x14ac:dyDescent="0.2">
      <c r="A64" s="37"/>
      <c r="B64" s="37"/>
    </row>
    <row r="65" spans="1:6" x14ac:dyDescent="0.2">
      <c r="A65" s="37"/>
      <c r="B65" s="37"/>
    </row>
    <row r="66" spans="1:6" x14ac:dyDescent="0.2">
      <c r="A66" s="37"/>
      <c r="B66" s="37"/>
    </row>
    <row r="67" spans="1:6" x14ac:dyDescent="0.2">
      <c r="A67" s="37"/>
      <c r="B67" s="37"/>
    </row>
    <row r="68" spans="1:6" x14ac:dyDescent="0.2">
      <c r="A68" s="37"/>
      <c r="B68" s="37"/>
    </row>
    <row r="69" spans="1:6" x14ac:dyDescent="0.2">
      <c r="A69" s="37"/>
      <c r="B69" s="37"/>
    </row>
    <row r="70" spans="1:6" ht="24" x14ac:dyDescent="0.35">
      <c r="A70" s="42" t="s">
        <v>50</v>
      </c>
      <c r="B70" s="37"/>
      <c r="D70" s="3" t="str">
        <f>E4</f>
        <v>bbbbb</v>
      </c>
    </row>
    <row r="71" spans="1:6" ht="17" x14ac:dyDescent="0.25">
      <c r="A71" s="43" t="s">
        <v>81</v>
      </c>
    </row>
    <row r="72" spans="1:6" ht="17" x14ac:dyDescent="0.25">
      <c r="A72" s="43"/>
    </row>
    <row r="73" spans="1:6" ht="17" x14ac:dyDescent="0.25">
      <c r="A73" s="43" t="s">
        <v>82</v>
      </c>
    </row>
    <row r="75" spans="1:6" x14ac:dyDescent="0.2">
      <c r="A75" s="44" t="s">
        <v>51</v>
      </c>
      <c r="B75" s="45"/>
      <c r="C75" s="45"/>
      <c r="D75" s="46" t="s">
        <v>5</v>
      </c>
      <c r="E75" s="46" t="s">
        <v>52</v>
      </c>
      <c r="F75" s="46" t="s">
        <v>53</v>
      </c>
    </row>
    <row r="76" spans="1:6" x14ac:dyDescent="0.2">
      <c r="A76" s="47" t="s">
        <v>54</v>
      </c>
      <c r="B76" s="48"/>
      <c r="D76" s="49">
        <v>1</v>
      </c>
      <c r="E76" s="50">
        <v>5.5E-2</v>
      </c>
      <c r="F76" s="51">
        <f>G8+G7</f>
        <v>1160</v>
      </c>
    </row>
    <row r="77" spans="1:6" x14ac:dyDescent="0.2">
      <c r="A77" s="47" t="s">
        <v>55</v>
      </c>
      <c r="B77" s="52" t="s">
        <v>56</v>
      </c>
      <c r="D77" s="53">
        <v>1</v>
      </c>
      <c r="E77" s="54">
        <v>0.2</v>
      </c>
      <c r="F77" s="55">
        <f>H8+H7</f>
        <v>76.84</v>
      </c>
    </row>
    <row r="78" spans="1:6" x14ac:dyDescent="0.2">
      <c r="A78" s="47" t="s">
        <v>54</v>
      </c>
      <c r="D78" s="56">
        <v>1</v>
      </c>
      <c r="E78" s="54">
        <v>5.5E-2</v>
      </c>
      <c r="F78" s="55">
        <f>G52</f>
        <v>46</v>
      </c>
    </row>
    <row r="79" spans="1:6" x14ac:dyDescent="0.2">
      <c r="A79" s="47" t="s">
        <v>57</v>
      </c>
      <c r="B79" s="52" t="s">
        <v>56</v>
      </c>
      <c r="D79" s="56">
        <v>1</v>
      </c>
      <c r="E79" s="54">
        <v>0.2</v>
      </c>
      <c r="F79" s="55">
        <f>H52</f>
        <v>126.24</v>
      </c>
    </row>
    <row r="80" spans="1:6" x14ac:dyDescent="0.2">
      <c r="A80" s="47" t="str">
        <f>IF(F80=0," ",("ENGAGEMENT CONCOURS"))</f>
        <v xml:space="preserve"> </v>
      </c>
      <c r="D80" s="56"/>
      <c r="E80" s="56"/>
      <c r="F80" s="57">
        <f>SUM(K28:K32)</f>
        <v>0</v>
      </c>
    </row>
    <row r="81" spans="1:6" x14ac:dyDescent="0.2">
      <c r="A81" s="47">
        <f ca="1">IF(F81=0,A81="",A81=("BOXES"))</f>
        <v>0</v>
      </c>
      <c r="D81" s="56"/>
      <c r="E81" s="56"/>
      <c r="F81" s="58"/>
    </row>
    <row r="82" spans="1:6" x14ac:dyDescent="0.2">
      <c r="A82" s="59"/>
      <c r="D82" s="60"/>
      <c r="E82" s="58"/>
      <c r="F82" s="55"/>
    </row>
    <row r="83" spans="1:6" x14ac:dyDescent="0.2">
      <c r="A83" s="59"/>
      <c r="D83" s="60"/>
      <c r="E83" s="58"/>
      <c r="F83" s="55"/>
    </row>
    <row r="84" spans="1:6" x14ac:dyDescent="0.2">
      <c r="A84" s="59"/>
      <c r="D84" s="60"/>
      <c r="E84" s="58"/>
      <c r="F84" s="55"/>
    </row>
    <row r="85" spans="1:6" x14ac:dyDescent="0.2">
      <c r="A85" s="59"/>
      <c r="D85" s="58"/>
      <c r="E85" s="58"/>
      <c r="F85" s="55"/>
    </row>
    <row r="86" spans="1:6" x14ac:dyDescent="0.2">
      <c r="A86" s="59"/>
      <c r="D86" s="61"/>
      <c r="E86" s="61"/>
      <c r="F86" s="62"/>
    </row>
    <row r="87" spans="1:6" x14ac:dyDescent="0.2">
      <c r="A87" s="63"/>
      <c r="B87" s="64"/>
      <c r="C87" s="65"/>
      <c r="D87" s="66" t="s">
        <v>58</v>
      </c>
      <c r="E87" s="67"/>
      <c r="F87" s="68">
        <f>F76+F78</f>
        <v>1206</v>
      </c>
    </row>
    <row r="88" spans="1:6" x14ac:dyDescent="0.2">
      <c r="A88" s="59"/>
      <c r="B88" s="10"/>
      <c r="C88" s="69"/>
      <c r="D88" s="70" t="s">
        <v>59</v>
      </c>
      <c r="E88" s="71"/>
      <c r="F88" s="72">
        <f>I53</f>
        <v>66.319999999999993</v>
      </c>
    </row>
    <row r="89" spans="1:6" x14ac:dyDescent="0.2">
      <c r="A89" s="59"/>
      <c r="B89" s="10"/>
      <c r="C89" s="69"/>
      <c r="D89" s="73" t="s">
        <v>60</v>
      </c>
      <c r="E89" s="70"/>
      <c r="F89" s="72">
        <f>F77+F79</f>
        <v>203.07999999999998</v>
      </c>
    </row>
    <row r="90" spans="1:6" x14ac:dyDescent="0.2">
      <c r="A90" s="59"/>
      <c r="B90" s="10"/>
      <c r="C90" s="69"/>
      <c r="D90" s="74" t="s">
        <v>61</v>
      </c>
      <c r="E90" s="71"/>
      <c r="F90" s="72">
        <f>J53</f>
        <v>40.599999999999994</v>
      </c>
    </row>
    <row r="91" spans="1:6" x14ac:dyDescent="0.2">
      <c r="A91" s="59"/>
      <c r="B91" s="10"/>
      <c r="C91" s="69"/>
      <c r="D91" s="75" t="s">
        <v>62</v>
      </c>
      <c r="E91" s="71"/>
      <c r="F91" s="72">
        <f>F80</f>
        <v>0</v>
      </c>
    </row>
    <row r="92" spans="1:6" x14ac:dyDescent="0.2">
      <c r="A92" s="59"/>
      <c r="B92" s="10"/>
      <c r="C92" s="69"/>
      <c r="D92" s="76"/>
      <c r="E92" s="77"/>
      <c r="F92" s="78"/>
    </row>
    <row r="93" spans="1:6" x14ac:dyDescent="0.2">
      <c r="A93" s="79"/>
      <c r="B93" s="80"/>
      <c r="C93" s="81"/>
      <c r="D93" s="82" t="s">
        <v>63</v>
      </c>
      <c r="E93" s="83"/>
      <c r="F93" s="84">
        <f>SUM(F87:F92)</f>
        <v>1515.9999999999998</v>
      </c>
    </row>
    <row r="94" spans="1:6" x14ac:dyDescent="0.2">
      <c r="A94" s="85" t="s">
        <v>71</v>
      </c>
      <c r="B94" s="85"/>
      <c r="C94" s="85"/>
      <c r="D94" s="85"/>
      <c r="E94" s="85"/>
      <c r="F94" s="85"/>
    </row>
    <row r="95" spans="1:6" x14ac:dyDescent="0.2">
      <c r="A95" s="85" t="s">
        <v>65</v>
      </c>
      <c r="B95" s="85"/>
      <c r="C95" s="85"/>
      <c r="D95" s="85"/>
      <c r="E95" s="85"/>
      <c r="F95" s="85"/>
    </row>
    <row r="96" spans="1:6" x14ac:dyDescent="0.2">
      <c r="A96" s="85"/>
      <c r="B96" s="85"/>
      <c r="C96" s="85"/>
      <c r="D96" s="85"/>
      <c r="E96" s="85"/>
      <c r="F96" s="85"/>
    </row>
    <row r="97" spans="1:6" x14ac:dyDescent="0.2">
      <c r="A97" s="86" t="s">
        <v>66</v>
      </c>
      <c r="B97" s="85"/>
      <c r="C97" s="85"/>
      <c r="D97" s="85"/>
      <c r="E97" s="85"/>
      <c r="F97" s="85"/>
    </row>
    <row r="98" spans="1:6" x14ac:dyDescent="0.2">
      <c r="A98" s="86" t="s">
        <v>67</v>
      </c>
      <c r="B98" s="85"/>
      <c r="C98" s="85"/>
      <c r="D98" s="85"/>
      <c r="E98" s="85"/>
      <c r="F98" s="85"/>
    </row>
    <row r="99" spans="1:6" x14ac:dyDescent="0.2">
      <c r="A99" s="86" t="s">
        <v>68</v>
      </c>
      <c r="B99" s="85"/>
      <c r="C99" s="85"/>
      <c r="E99" s="3"/>
      <c r="F99" s="36"/>
    </row>
    <row r="100" spans="1:6" x14ac:dyDescent="0.2">
      <c r="E100" s="3"/>
      <c r="F100" s="36"/>
    </row>
    <row r="104" spans="1:6" x14ac:dyDescent="0.2">
      <c r="A104" s="86"/>
    </row>
  </sheetData>
  <sheetProtection selectLockedCells="1"/>
  <mergeCells count="5">
    <mergeCell ref="C1:D1"/>
    <mergeCell ref="E1:F1"/>
    <mergeCell ref="E4:F4"/>
    <mergeCell ref="E62:F62"/>
    <mergeCell ref="E63:F63"/>
  </mergeCells>
  <hyperlinks>
    <hyperlink ref="D4" location="recap!A1" display=" CAVALIER"/>
    <hyperlink ref="A4" location="travail!A1" display="NOM DU CHEVAL"/>
    <hyperlink ref="F55" location="recap!A1" display="*****"/>
    <hyperlink ref="A22" location="concours!A1" display="CSO"/>
  </hyperlinks>
  <pageMargins left="0.25" right="0.25" top="0.4" bottom="0.42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L104"/>
  <sheetViews>
    <sheetView showZeros="0" topLeftCell="A87" zoomScale="120" zoomScaleNormal="120" zoomScalePageLayoutView="120" workbookViewId="0">
      <selection activeCell="A104" sqref="A104"/>
    </sheetView>
  </sheetViews>
  <sheetFormatPr baseColWidth="10" defaultColWidth="11.5" defaultRowHeight="16" x14ac:dyDescent="0.2"/>
  <cols>
    <col min="1" max="1" width="24.5" style="3" customWidth="1"/>
    <col min="2" max="2" width="17.1640625" style="3" customWidth="1"/>
    <col min="3" max="3" width="14.1640625" style="3" customWidth="1"/>
    <col min="4" max="4" width="15.83203125" style="3" customWidth="1"/>
    <col min="5" max="5" width="11.83203125" style="36" customWidth="1"/>
    <col min="6" max="6" width="14.6640625" style="3" customWidth="1"/>
    <col min="7" max="7" width="11.5" style="2"/>
    <col min="8" max="16384" width="11.5" style="3"/>
  </cols>
  <sheetData>
    <row r="1" spans="1:12" x14ac:dyDescent="0.2">
      <c r="A1" s="1"/>
      <c r="B1" s="1"/>
      <c r="C1" s="105" t="s">
        <v>0</v>
      </c>
      <c r="D1" s="105"/>
      <c r="E1" s="106">
        <f>[1]travail!A3</f>
        <v>42401</v>
      </c>
      <c r="F1" s="107"/>
    </row>
    <row r="2" spans="1:12" x14ac:dyDescent="0.2">
      <c r="A2" s="1"/>
      <c r="B2" s="1"/>
      <c r="C2" s="1"/>
      <c r="D2" s="1"/>
      <c r="E2" s="4"/>
      <c r="F2" s="1"/>
    </row>
    <row r="3" spans="1:12" x14ac:dyDescent="0.2">
      <c r="A3" s="1"/>
      <c r="B3" s="1"/>
      <c r="C3" s="1"/>
      <c r="D3" s="1"/>
      <c r="E3" s="4"/>
      <c r="F3" s="1"/>
    </row>
    <row r="4" spans="1:12" x14ac:dyDescent="0.2">
      <c r="A4" s="8" t="s">
        <v>1</v>
      </c>
      <c r="B4" s="93" t="s">
        <v>72</v>
      </c>
      <c r="C4" s="7"/>
      <c r="D4" s="8" t="s">
        <v>3</v>
      </c>
      <c r="E4" s="108" t="s">
        <v>84</v>
      </c>
      <c r="F4" s="109"/>
    </row>
    <row r="5" spans="1:12" x14ac:dyDescent="0.2">
      <c r="A5" s="12"/>
      <c r="B5" s="94"/>
      <c r="C5" s="1"/>
      <c r="D5" s="12"/>
      <c r="E5" s="13"/>
      <c r="F5" s="1"/>
    </row>
    <row r="6" spans="1:12" x14ac:dyDescent="0.2">
      <c r="A6" s="1"/>
      <c r="B6" s="6"/>
      <c r="C6" s="1"/>
      <c r="D6" s="14" t="s">
        <v>4</v>
      </c>
      <c r="E6" s="15" t="s">
        <v>5</v>
      </c>
      <c r="F6" s="15" t="s">
        <v>6</v>
      </c>
      <c r="G6" s="2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</row>
    <row r="7" spans="1:12" x14ac:dyDescent="0.2">
      <c r="A7" s="12" t="s">
        <v>13</v>
      </c>
      <c r="B7" s="16">
        <f>[1]travail!$A$3</f>
        <v>42401</v>
      </c>
      <c r="C7" s="1"/>
      <c r="D7" s="17"/>
      <c r="E7" s="18"/>
      <c r="F7" s="17">
        <f t="shared" ref="F7:F42" si="0">D7*E7</f>
        <v>0</v>
      </c>
      <c r="G7" s="19">
        <f>580*E7</f>
        <v>0</v>
      </c>
      <c r="H7" s="19">
        <f>38.42*E7</f>
        <v>0</v>
      </c>
      <c r="I7" s="3">
        <f>31.9*E7</f>
        <v>0</v>
      </c>
      <c r="J7" s="3">
        <f>7.68*E7</f>
        <v>0</v>
      </c>
      <c r="L7" s="19">
        <f>SUM(G7:K7)</f>
        <v>0</v>
      </c>
    </row>
    <row r="8" spans="1:12" x14ac:dyDescent="0.2">
      <c r="A8" s="1"/>
      <c r="B8" s="1"/>
      <c r="C8" s="1"/>
      <c r="D8" s="17"/>
      <c r="E8" s="15"/>
      <c r="F8" s="17">
        <f t="shared" si="0"/>
        <v>0</v>
      </c>
      <c r="G8" s="19">
        <f>IF(F8=0,0,580)</f>
        <v>0</v>
      </c>
      <c r="L8" s="19">
        <f t="shared" ref="L8:L51" si="1">SUM(G8:K8)</f>
        <v>0</v>
      </c>
    </row>
    <row r="9" spans="1:12" x14ac:dyDescent="0.2">
      <c r="A9" s="12" t="s">
        <v>14</v>
      </c>
      <c r="B9" s="1" t="s">
        <v>15</v>
      </c>
      <c r="C9" s="1"/>
      <c r="D9" s="17">
        <v>6.1</v>
      </c>
      <c r="E9" s="15">
        <f>IF(A10&lt;=9,A10,0)</f>
        <v>0</v>
      </c>
      <c r="F9" s="17">
        <f t="shared" si="0"/>
        <v>0</v>
      </c>
      <c r="G9" s="19">
        <f>IF(F9=0,0,4.5*E9)</f>
        <v>0</v>
      </c>
      <c r="H9" s="19">
        <f>IF(G9=0,0,1.13*E9)</f>
        <v>0</v>
      </c>
      <c r="I9" s="19">
        <f>IF(G9=0,0,0.25*E9)</f>
        <v>0</v>
      </c>
      <c r="J9" s="19">
        <f>IF(H9=0,0,0.23*E9)</f>
        <v>0</v>
      </c>
      <c r="L9" s="19">
        <f t="shared" si="1"/>
        <v>0</v>
      </c>
    </row>
    <row r="10" spans="1:12" x14ac:dyDescent="0.2">
      <c r="A10" s="4">
        <f>SUMPRODUCT((B4=[1]travail!A4:A62)*([1]travail!DC3:DU3="marcheur")*([1]travail!DC4:DU62)+(B5=[1]travail!A4:A62)*([1]travail!DC3:DU3="marcheur")*([1]travail!DC4:DU62)+(B6=[1]travail!A4:A62)*([1]travail!DC3:DU3="marcheur")*([1]travail!DC4:DU62)+(B3=[1]travail!A4:A62)*([1]travail!DC3:DU3="marcheur")*([1]travail!DC4:DU62))</f>
        <v>0</v>
      </c>
      <c r="B10" s="1" t="s">
        <v>16</v>
      </c>
      <c r="C10" s="1"/>
      <c r="D10" s="17">
        <v>5.6</v>
      </c>
      <c r="E10" s="15">
        <f>IF(AND(A10&gt;9,A10&lt;20),A10,0)</f>
        <v>0</v>
      </c>
      <c r="F10" s="17">
        <f t="shared" si="0"/>
        <v>0</v>
      </c>
      <c r="G10" s="19">
        <f>IF(F10=0,0,4.5*E10)</f>
        <v>0</v>
      </c>
      <c r="H10" s="19">
        <f>IF(G10=0,0,0.71*E10)</f>
        <v>0</v>
      </c>
      <c r="I10" s="19">
        <f t="shared" ref="I10:I13" si="2">IF(G10=0,0,0.25*E10)</f>
        <v>0</v>
      </c>
      <c r="J10" s="19">
        <f>IF(H10=0,0,0.14*E10)</f>
        <v>0</v>
      </c>
      <c r="L10" s="19">
        <f t="shared" si="1"/>
        <v>0</v>
      </c>
    </row>
    <row r="11" spans="1:12" x14ac:dyDescent="0.2">
      <c r="A11" s="1"/>
      <c r="B11" s="1" t="s">
        <v>17</v>
      </c>
      <c r="C11" s="1"/>
      <c r="D11" s="17">
        <v>5</v>
      </c>
      <c r="E11" s="15">
        <f>IF(A10&gt;19,A10,0)</f>
        <v>0</v>
      </c>
      <c r="F11" s="17">
        <f t="shared" si="0"/>
        <v>0</v>
      </c>
      <c r="G11" s="19">
        <f>IF(F11=0,0,4.5*E11)</f>
        <v>0</v>
      </c>
      <c r="H11" s="19">
        <f>IF(G11=0,0,0.21*E11)</f>
        <v>0</v>
      </c>
      <c r="I11" s="19">
        <f t="shared" si="2"/>
        <v>0</v>
      </c>
      <c r="J11" s="19">
        <f>IF(H11=0,0,0.04*E11)</f>
        <v>0</v>
      </c>
      <c r="L11" s="19">
        <f t="shared" si="1"/>
        <v>0</v>
      </c>
    </row>
    <row r="12" spans="1:12" x14ac:dyDescent="0.2">
      <c r="A12" s="1"/>
      <c r="B12" s="1"/>
      <c r="C12" s="1"/>
      <c r="D12" s="17"/>
      <c r="E12" s="15"/>
      <c r="F12" s="17">
        <f t="shared" si="0"/>
        <v>0</v>
      </c>
      <c r="G12" s="19">
        <f>IF(F12=0,0,9999)</f>
        <v>0</v>
      </c>
      <c r="H12" s="19">
        <f t="shared" ref="H12" si="3">IF(G12=0,0,1.13*E12)</f>
        <v>0</v>
      </c>
      <c r="I12" s="19">
        <f t="shared" si="2"/>
        <v>0</v>
      </c>
      <c r="J12" s="19"/>
      <c r="L12" s="19">
        <f t="shared" si="1"/>
        <v>0</v>
      </c>
    </row>
    <row r="13" spans="1:12" x14ac:dyDescent="0.2">
      <c r="A13" s="12" t="s">
        <v>18</v>
      </c>
      <c r="B13" s="1"/>
      <c r="C13" s="21"/>
      <c r="D13" s="17">
        <v>7</v>
      </c>
      <c r="E13" s="15">
        <f>SUMPRODUCT((B4=[1]travail!A4:A62)*([1]travail!DC3:DU3="marcheur dim")*([1]travail!DC4:DU62)+(B5=[1]travail!A4:A62)*([1]travail!DC3:DU3="marcheur dim")*([1]travail!DC4:DU62)+(B6=[1]travail!A4:A62)*([1]travail!DC3:DU3="marcheur dim")*([1]travail!DC4:DU62)+(B3=[1]travail!A4:A62)*([1]travail!DC3:DU3="marcheur dim")*([1]travail!DC4:DU62))</f>
        <v>0</v>
      </c>
      <c r="F13" s="17">
        <f t="shared" si="0"/>
        <v>0</v>
      </c>
      <c r="G13" s="19">
        <f>IF(F13=0,0,4.5*E13)</f>
        <v>0</v>
      </c>
      <c r="H13" s="19">
        <f>IF(G13=0,0,1.88*E13)</f>
        <v>0</v>
      </c>
      <c r="I13" s="19">
        <f t="shared" si="2"/>
        <v>0</v>
      </c>
      <c r="J13" s="19">
        <f>IF(H13=0,0,0.38*E13)</f>
        <v>0</v>
      </c>
      <c r="L13" s="19">
        <f t="shared" si="1"/>
        <v>0</v>
      </c>
    </row>
    <row r="14" spans="1:12" x14ac:dyDescent="0.2">
      <c r="A14" s="1"/>
      <c r="B14" s="1"/>
      <c r="C14" s="1"/>
      <c r="D14" s="17"/>
      <c r="E14" s="15"/>
      <c r="F14" s="17">
        <f t="shared" si="0"/>
        <v>0</v>
      </c>
      <c r="G14" s="19">
        <f>IF(F14=0,0,0)</f>
        <v>0</v>
      </c>
      <c r="H14" s="19"/>
      <c r="I14" s="19"/>
      <c r="J14" s="19"/>
      <c r="L14" s="19">
        <f t="shared" si="1"/>
        <v>0</v>
      </c>
    </row>
    <row r="15" spans="1:12" x14ac:dyDescent="0.2">
      <c r="A15" s="12" t="s">
        <v>19</v>
      </c>
      <c r="B15" s="1"/>
      <c r="C15" s="1" t="s">
        <v>20</v>
      </c>
      <c r="D15" s="17">
        <v>14</v>
      </c>
      <c r="E15" s="15">
        <f>SUMPRODUCT((B4=[1]travail!A4:A62)*([1]travail!DC3:DU3="tapis")*([1]travail!DC4:DU62)+(B5=[1]travail!A4:A62)*([1]travail!DC3:DU3="tapis")*([1]travail!DC4:DU62)+(B6=[1]travail!A4:A62)*([1]travail!DC3:DU3="tapis")*([1]travail!DC4:DU62)+(B3=[1]travail!A4:A62)*([1]travail!DC3:DU3="tapis")*([1]travail!DC4:DU62))</f>
        <v>0</v>
      </c>
      <c r="F15" s="17">
        <f t="shared" si="0"/>
        <v>0</v>
      </c>
      <c r="G15" s="19">
        <f>IF(F15=0,0,11.5*E15)</f>
        <v>0</v>
      </c>
      <c r="H15" s="19">
        <f>IF(G15=0,0,1.56*E15)</f>
        <v>0</v>
      </c>
      <c r="I15" s="19">
        <f>IF(G15=0,0,0.63*E15)</f>
        <v>0</v>
      </c>
      <c r="J15" s="19">
        <f>IF(H15=0,0,0.31*E15)</f>
        <v>0</v>
      </c>
      <c r="L15" s="19">
        <f t="shared" si="1"/>
        <v>0</v>
      </c>
    </row>
    <row r="16" spans="1:12" x14ac:dyDescent="0.2">
      <c r="A16" s="1"/>
      <c r="B16" s="1" t="s">
        <v>21</v>
      </c>
      <c r="C16" s="1"/>
      <c r="D16" s="17">
        <v>250</v>
      </c>
      <c r="E16" s="15"/>
      <c r="F16" s="17">
        <f t="shared" si="0"/>
        <v>0</v>
      </c>
      <c r="G16" s="19"/>
      <c r="H16" s="19"/>
      <c r="I16" s="19"/>
      <c r="J16" s="19">
        <f t="shared" ref="J16" si="4">IF(H16=0,0,0.31*E16)</f>
        <v>0</v>
      </c>
      <c r="L16" s="19">
        <f t="shared" si="1"/>
        <v>0</v>
      </c>
    </row>
    <row r="17" spans="1:12" x14ac:dyDescent="0.2">
      <c r="A17" s="12" t="s">
        <v>22</v>
      </c>
      <c r="B17" s="1"/>
      <c r="C17" s="1"/>
      <c r="D17" s="17">
        <v>28</v>
      </c>
      <c r="E17" s="15">
        <f>SUMPRODUCT((B4=[1]travail!A4:A62)*([1]travail!DC3:DU3="total collectifs")*([1]travail!DC4:DU62)+(B5=[1]travail!A4:A62)*([1]travail!DC3:DU3="total collectifs")*([1]travail!DC4:DU62)+(B6=[1]travail!A4:A62)*([1]travail!DC3:DU3="total collectifs")*([1]travail!DC4:DU62)+(B3=[1]travail!A4:A62)*([1]travail!DC3:DU3="total collectifs")*([1]travail!DC4:DU62))</f>
        <v>2</v>
      </c>
      <c r="F17" s="17">
        <f t="shared" si="0"/>
        <v>56</v>
      </c>
      <c r="G17" s="19">
        <f>IF(F17=0,0,22.75*E17)</f>
        <v>45.5</v>
      </c>
      <c r="H17" s="19">
        <f>IF(F17&gt;0,3.33*E17,0)</f>
        <v>6.66</v>
      </c>
      <c r="I17" s="19">
        <f>IF(G17=0,0,1.25*E17)</f>
        <v>2.5</v>
      </c>
      <c r="J17" s="19">
        <f>IF(H17=0,0,0.67*E17)</f>
        <v>1.34</v>
      </c>
      <c r="K17" s="19"/>
      <c r="L17" s="19">
        <f t="shared" si="1"/>
        <v>56</v>
      </c>
    </row>
    <row r="18" spans="1:12" x14ac:dyDescent="0.2">
      <c r="A18" s="22" t="s">
        <v>23</v>
      </c>
      <c r="B18" s="1" t="s">
        <v>24</v>
      </c>
      <c r="C18" s="1"/>
      <c r="D18" s="17">
        <v>36</v>
      </c>
      <c r="E18" s="15">
        <f>IF(A19&lt;=7,A19,0)</f>
        <v>3</v>
      </c>
      <c r="F18" s="17">
        <f t="shared" si="0"/>
        <v>108</v>
      </c>
      <c r="G18" s="19">
        <f t="shared" ref="G18:G21" si="5">IF(F18=0,0,22.75*E18)</f>
        <v>68.25</v>
      </c>
      <c r="H18" s="19">
        <f>IF(F18&gt;0,10*E18,0)</f>
        <v>30</v>
      </c>
      <c r="I18" s="19">
        <f t="shared" ref="I18:I21" si="6">IF(G18=0,0,1.25*E18)</f>
        <v>3.75</v>
      </c>
      <c r="J18" s="19">
        <f>IF(H18=0,0,2*E18)</f>
        <v>6</v>
      </c>
      <c r="K18" s="19"/>
      <c r="L18" s="19">
        <f t="shared" si="1"/>
        <v>108</v>
      </c>
    </row>
    <row r="19" spans="1:12" x14ac:dyDescent="0.2">
      <c r="A19" s="23">
        <f>SUMPRODUCT((B4=[1]travail!A4:A62)*([1]travail!DC3:DU3="total cours")*([1]travail!DC4:DU62)+(B5=[1]travail!A4:A62)*([1]travail!DC3:DU3="total cours")*([1]travail!DC4:DU62)+(B6=[1]travail!A4:A62)*([1]travail!DC3:DU3="total cours")*([1]travail!DC4:DU62)+(B3=[1]travail!A4:A62)*([1]travail!DC3:DU3="total cours")*([1]travail!DC4:DU62))</f>
        <v>3</v>
      </c>
      <c r="B19" s="1" t="s">
        <v>25</v>
      </c>
      <c r="C19" s="1"/>
      <c r="D19" s="17">
        <v>34</v>
      </c>
      <c r="E19" s="15">
        <f>IF(AND(A19&gt;7,A19&lt;12),A19,0)</f>
        <v>0</v>
      </c>
      <c r="F19" s="17">
        <f t="shared" si="0"/>
        <v>0</v>
      </c>
      <c r="G19" s="19">
        <f t="shared" si="5"/>
        <v>0</v>
      </c>
      <c r="H19" s="19">
        <f>IF(F19&gt;0,8.33*E19,0)</f>
        <v>0</v>
      </c>
      <c r="I19" s="19">
        <f t="shared" si="6"/>
        <v>0</v>
      </c>
      <c r="J19" s="19">
        <f>IF(H19=0,0,1.67*E19)</f>
        <v>0</v>
      </c>
      <c r="K19" s="19"/>
      <c r="L19" s="19">
        <f t="shared" si="1"/>
        <v>0</v>
      </c>
    </row>
    <row r="20" spans="1:12" x14ac:dyDescent="0.2">
      <c r="A20" s="24"/>
      <c r="B20" s="1" t="s">
        <v>26</v>
      </c>
      <c r="C20" s="1"/>
      <c r="D20" s="17">
        <v>32</v>
      </c>
      <c r="E20" s="15">
        <f>IF(AND(A19&gt;11,A19&lt;17),A19,0)</f>
        <v>0</v>
      </c>
      <c r="F20" s="17">
        <f t="shared" si="0"/>
        <v>0</v>
      </c>
      <c r="G20" s="19">
        <f t="shared" si="5"/>
        <v>0</v>
      </c>
      <c r="H20" s="19">
        <f>IF(F20&gt;0,6.67*E20,0)</f>
        <v>0</v>
      </c>
      <c r="I20" s="19">
        <f t="shared" si="6"/>
        <v>0</v>
      </c>
      <c r="J20" s="19">
        <f>IF(H20=0,0,1.33*E20)</f>
        <v>0</v>
      </c>
      <c r="K20" s="19"/>
      <c r="L20" s="19">
        <f t="shared" si="1"/>
        <v>0</v>
      </c>
    </row>
    <row r="21" spans="1:12" x14ac:dyDescent="0.2">
      <c r="A21" s="24"/>
      <c r="B21" s="1" t="s">
        <v>27</v>
      </c>
      <c r="C21" s="1"/>
      <c r="D21" s="17">
        <v>30</v>
      </c>
      <c r="E21" s="15">
        <f>IF(A19&gt;16,A19,0)</f>
        <v>0</v>
      </c>
      <c r="F21" s="17">
        <f t="shared" si="0"/>
        <v>0</v>
      </c>
      <c r="G21" s="19">
        <f t="shared" si="5"/>
        <v>0</v>
      </c>
      <c r="H21" s="19">
        <f>IF(F21&gt;0,5*E21,0)</f>
        <v>0</v>
      </c>
      <c r="I21" s="19">
        <f t="shared" si="6"/>
        <v>0</v>
      </c>
      <c r="J21" s="19">
        <f>IF(H21=0,0,1*E21)</f>
        <v>0</v>
      </c>
      <c r="K21" s="19"/>
      <c r="L21" s="19">
        <f t="shared" si="1"/>
        <v>0</v>
      </c>
    </row>
    <row r="22" spans="1:12" s="1" customFormat="1" ht="19" x14ac:dyDescent="0.25">
      <c r="A22" s="25" t="s">
        <v>28</v>
      </c>
      <c r="D22" s="17"/>
      <c r="E22" s="15"/>
      <c r="F22" s="17">
        <f t="shared" si="0"/>
        <v>0</v>
      </c>
      <c r="G22" s="26"/>
      <c r="H22" s="19">
        <f t="shared" ref="H22" si="7">IF(F22&gt;0,25*E22,0)</f>
        <v>0</v>
      </c>
      <c r="I22" s="26"/>
      <c r="J22" s="19">
        <f t="shared" ref="J22:J27" si="8">IF(H22=0,0,H22*20%)</f>
        <v>0</v>
      </c>
      <c r="K22" s="26"/>
      <c r="L22" s="19">
        <f t="shared" si="1"/>
        <v>0</v>
      </c>
    </row>
    <row r="23" spans="1:12" s="1" customFormat="1" x14ac:dyDescent="0.2">
      <c r="A23" s="1" t="s">
        <v>29</v>
      </c>
      <c r="B23" s="1" t="str">
        <f>[1]concours!B3</f>
        <v>Sciez 27 et 28 février</v>
      </c>
      <c r="D23" s="17">
        <f>[1]concours!C4</f>
        <v>20</v>
      </c>
      <c r="E23" s="15">
        <f>SUMPRODUCT((B4=[1]concours!A6:A13)*([1]concours!B5:Z5="deten1")*([1]concours!B6:Z13)+(B5=[1]concours!A6:A13)*([1]concours!B5:Z5="deten1")*([1]concours!B6:Z13)+(B6=[1]concours!A6:A13)*([1]concours!B5:Z5="deten1")*([1]concours!B6:Z13))</f>
        <v>0</v>
      </c>
      <c r="F23" s="17">
        <f t="shared" si="0"/>
        <v>0</v>
      </c>
      <c r="G23" s="26"/>
      <c r="H23" s="19">
        <f>IF(F23&gt;0,16.665*E23,0)</f>
        <v>0</v>
      </c>
      <c r="I23" s="26"/>
      <c r="J23" s="19">
        <f t="shared" si="8"/>
        <v>0</v>
      </c>
      <c r="K23" s="26"/>
      <c r="L23" s="19">
        <f t="shared" si="1"/>
        <v>0</v>
      </c>
    </row>
    <row r="24" spans="1:12" s="1" customFormat="1" ht="15" customHeight="1" x14ac:dyDescent="0.2">
      <c r="A24" s="1" t="s">
        <v>29</v>
      </c>
      <c r="B24" s="1">
        <f>[1]concours!G3</f>
        <v>0</v>
      </c>
      <c r="D24" s="17">
        <f>[1]concours!H4</f>
        <v>20</v>
      </c>
      <c r="E24" s="15">
        <f>SUMPRODUCT((B4=[1]concours!A6:A13)*([1]concours!B5:Z5="deten2")*([1]concours!B6:Z13)+(B5=[1]concours!A6:A13)*([1]concours!B5:Z5="deten2")*([1]concours!B6:Z13)+(B6=[1]concours!A6:A13)*([1]concours!B5:Z5="deten2")*([1]concours!B6:Z13))</f>
        <v>0</v>
      </c>
      <c r="F24" s="17">
        <f t="shared" si="0"/>
        <v>0</v>
      </c>
      <c r="G24" s="26"/>
      <c r="H24" s="19">
        <f t="shared" ref="H24:H26" si="9">IF(F24&gt;0,16.67*E24,0)</f>
        <v>0</v>
      </c>
      <c r="I24" s="26"/>
      <c r="J24" s="19">
        <f t="shared" si="8"/>
        <v>0</v>
      </c>
      <c r="K24" s="26"/>
      <c r="L24" s="19">
        <f t="shared" si="1"/>
        <v>0</v>
      </c>
    </row>
    <row r="25" spans="1:12" s="1" customFormat="1" ht="15" customHeight="1" x14ac:dyDescent="0.2">
      <c r="A25" s="1" t="s">
        <v>29</v>
      </c>
      <c r="B25" s="1">
        <f>[1]concours!L3</f>
        <v>0</v>
      </c>
      <c r="D25" s="17">
        <f>[1]concours!M4</f>
        <v>20</v>
      </c>
      <c r="E25" s="15">
        <f>SUMPRODUCT((B4=[1]concours!A6:A13)*([1]concours!B5:Z5="deten3")*([1]concours!B6:Z13)+(B5=[1]concours!A6:A13)*([1]concours!B5:Z5="deten3")*([1]concours!B6:Z13)+(B6=[1]concours!A6:A13)*([1]concours!B5:Z5="deten3")*([1]concours!B6:Z13))</f>
        <v>0</v>
      </c>
      <c r="F25" s="17">
        <f t="shared" si="0"/>
        <v>0</v>
      </c>
      <c r="G25" s="26"/>
      <c r="H25" s="19">
        <f t="shared" si="9"/>
        <v>0</v>
      </c>
      <c r="I25" s="26"/>
      <c r="J25" s="19">
        <f t="shared" si="8"/>
        <v>0</v>
      </c>
      <c r="K25" s="26"/>
      <c r="L25" s="19">
        <f t="shared" si="1"/>
        <v>0</v>
      </c>
    </row>
    <row r="26" spans="1:12" s="1" customFormat="1" ht="15" customHeight="1" x14ac:dyDescent="0.2">
      <c r="A26" s="1" t="s">
        <v>29</v>
      </c>
      <c r="B26" s="1">
        <f>[1]concours!Q3</f>
        <v>0</v>
      </c>
      <c r="D26" s="17">
        <f>[1]concours!R4</f>
        <v>20</v>
      </c>
      <c r="E26" s="15">
        <f>SUMPRODUCT((B4=[1]concours!A6:A13)*([1]concours!B5:Z5="deten4")*([1]concours!B6:Z13)+(B5=[1]concours!A6:A13)*([1]concours!B5:Z5="deten4")*([1]concours!B6:Z13)+(B6=[1]concours!A6:A13)*([1]concours!B5:Z5="deten4")*([1]concours!B6:Z13))</f>
        <v>0</v>
      </c>
      <c r="F26" s="17">
        <f t="shared" si="0"/>
        <v>0</v>
      </c>
      <c r="G26" s="26"/>
      <c r="H26" s="19">
        <f t="shared" si="9"/>
        <v>0</v>
      </c>
      <c r="I26" s="26"/>
      <c r="J26" s="19">
        <f t="shared" si="8"/>
        <v>0</v>
      </c>
      <c r="K26" s="26"/>
      <c r="L26" s="19">
        <f t="shared" si="1"/>
        <v>0</v>
      </c>
    </row>
    <row r="27" spans="1:12" s="1" customFormat="1" ht="15" customHeight="1" x14ac:dyDescent="0.2">
      <c r="A27" s="1" t="s">
        <v>29</v>
      </c>
      <c r="B27" s="1">
        <f>[1]concours!V3</f>
        <v>0</v>
      </c>
      <c r="D27" s="17">
        <f>[1]concours!W4</f>
        <v>20</v>
      </c>
      <c r="E27" s="15">
        <f>SUMPRODUCT((B4=[1]concours!A6:A13)*([1]concours!B5:Z5="deten5")*([1]concours!B6:Z13)+(B5=[1]concours!A6:A13)*([1]concours!B5:Z5="deten5")*([1]concours!B6:Z13)+(B6=[1]concours!A6:A13)*([1]concours!B5:Z5="deten5")*([1]concours!B6:Z13))</f>
        <v>0</v>
      </c>
      <c r="F27" s="17">
        <f t="shared" si="0"/>
        <v>0</v>
      </c>
      <c r="G27" s="26"/>
      <c r="H27" s="19">
        <f>IF(F27&gt;0,16.665*E27,0)</f>
        <v>0</v>
      </c>
      <c r="I27" s="26"/>
      <c r="J27" s="19">
        <f t="shared" si="8"/>
        <v>0</v>
      </c>
      <c r="K27" s="26"/>
      <c r="L27" s="19">
        <f t="shared" si="1"/>
        <v>0</v>
      </c>
    </row>
    <row r="28" spans="1:12" s="1" customFormat="1" ht="15" customHeight="1" x14ac:dyDescent="0.2">
      <c r="A28" s="1" t="s">
        <v>30</v>
      </c>
      <c r="B28" s="1" t="str">
        <f>[1]concours!B3</f>
        <v>Sciez 27 et 28 février</v>
      </c>
      <c r="D28" s="17">
        <f>SUMPRODUCT((B4=[1]concours!A6:A13)*([1]concours!B5:Z5="eng1")*([1]concours!B6:Z13)+(B5=[1]concours!A6:A13)*([1]concours!B5:Z5="eng1")*([1]concours!B6:Z13)+(B6=[1]concours!A6:A13)*([1]concours!B5:Z5="eng1")*([1]concours!B6:Z13))</f>
        <v>0</v>
      </c>
      <c r="E28" s="15">
        <v>1</v>
      </c>
      <c r="F28" s="17">
        <f t="shared" si="0"/>
        <v>0</v>
      </c>
      <c r="G28" s="26"/>
      <c r="H28" s="26"/>
      <c r="I28" s="26"/>
      <c r="J28" s="19"/>
      <c r="K28" s="19">
        <f>IF(F28&gt;0,D28*E28,0)</f>
        <v>0</v>
      </c>
      <c r="L28" s="19">
        <f t="shared" si="1"/>
        <v>0</v>
      </c>
    </row>
    <row r="29" spans="1:12" s="1" customFormat="1" ht="15" customHeight="1" x14ac:dyDescent="0.2">
      <c r="A29" s="1" t="s">
        <v>30</v>
      </c>
      <c r="B29" s="1">
        <f>[1]concours!G3</f>
        <v>0</v>
      </c>
      <c r="D29" s="17">
        <f>SUMPRODUCT((B4=[1]concours!A6:A13)*([1]concours!B5:Z5="eng2")*([1]concours!B6:Z13)+(B5=[1]concours!A6:A13)*([1]concours!B5:Z5="eng2")*([1]concours!B6:Z13)+(B6=[1]concours!A6:A13)*([1]concours!B5:Z5="eng2")*([1]concours!B6:Z13))</f>
        <v>0</v>
      </c>
      <c r="E29" s="15">
        <v>1</v>
      </c>
      <c r="F29" s="17">
        <f t="shared" si="0"/>
        <v>0</v>
      </c>
      <c r="G29" s="26"/>
      <c r="H29" s="26"/>
      <c r="I29" s="26"/>
      <c r="J29" s="19"/>
      <c r="K29" s="19">
        <f>IF(F29&gt;0,D29*E29,0)</f>
        <v>0</v>
      </c>
      <c r="L29" s="19">
        <f t="shared" si="1"/>
        <v>0</v>
      </c>
    </row>
    <row r="30" spans="1:12" s="1" customFormat="1" ht="15" customHeight="1" x14ac:dyDescent="0.2">
      <c r="A30" s="1" t="s">
        <v>30</v>
      </c>
      <c r="B30" s="1">
        <f>[1]concours!L3</f>
        <v>0</v>
      </c>
      <c r="D30" s="17">
        <f>SUMPRODUCT((B4=[1]concours!A6:A13)*([1]concours!B5:Z5="eng3")*([1]concours!B6:Z13)+(B5=[1]concours!A6:A13)*([1]concours!B5:Z5="eng3")*([1]concours!B6:Z13)+(B6=[1]concours!A6:A13)*([1]concours!B5:Z5="eng3")*([1]concours!B6:Z13))</f>
        <v>0</v>
      </c>
      <c r="E30" s="15">
        <v>1</v>
      </c>
      <c r="F30" s="17">
        <f t="shared" si="0"/>
        <v>0</v>
      </c>
      <c r="G30" s="26"/>
      <c r="H30" s="26"/>
      <c r="I30" s="26"/>
      <c r="J30" s="19"/>
      <c r="K30" s="19">
        <f>IF(F30&gt;0,D30*E30,0)</f>
        <v>0</v>
      </c>
      <c r="L30" s="19">
        <f t="shared" si="1"/>
        <v>0</v>
      </c>
    </row>
    <row r="31" spans="1:12" s="1" customFormat="1" ht="15" customHeight="1" x14ac:dyDescent="0.2">
      <c r="A31" s="1" t="s">
        <v>30</v>
      </c>
      <c r="B31" s="1">
        <f>[1]concours!Q3</f>
        <v>0</v>
      </c>
      <c r="D31" s="17">
        <f>SUMPRODUCT((B4=[1]concours!A6:A13)*([1]concours!B5:Z5="eng4")*([1]concours!B6:Z13)+(B5=[1]concours!A6:A13)*([1]concours!B5:Z5="eng4")*([1]concours!B6:Z13)+(B6=[1]concours!A6:A13)*([1]concours!B5:Z5="eng4")*([1]concours!B6:Z13))</f>
        <v>0</v>
      </c>
      <c r="E31" s="15">
        <v>1</v>
      </c>
      <c r="F31" s="17">
        <f t="shared" si="0"/>
        <v>0</v>
      </c>
      <c r="G31" s="26"/>
      <c r="H31" s="26"/>
      <c r="I31" s="26"/>
      <c r="J31" s="19"/>
      <c r="K31" s="19">
        <f>IF(F31&gt;0,D31*E31,0)</f>
        <v>0</v>
      </c>
      <c r="L31" s="19">
        <f t="shared" si="1"/>
        <v>0</v>
      </c>
    </row>
    <row r="32" spans="1:12" s="1" customFormat="1" ht="15" customHeight="1" x14ac:dyDescent="0.2">
      <c r="A32" s="1" t="s">
        <v>30</v>
      </c>
      <c r="B32" s="1">
        <f>[1]concours!V3</f>
        <v>0</v>
      </c>
      <c r="D32" s="17">
        <f>SUMPRODUCT((B4=[1]concours!A6:A13)*([1]concours!B5:Z5="eng5")*([1]concours!B6:Z13)+(B5=[1]concours!A6:A13)*([1]concours!B5:Z5="eng5")*([1]concours!B6:Z13)+(B6=[1]concours!A6:A13)*([1]concours!B5:Z5="eng5")*([1]concours!B6:Z13))</f>
        <v>0</v>
      </c>
      <c r="E32" s="15">
        <v>1</v>
      </c>
      <c r="F32" s="17">
        <f t="shared" si="0"/>
        <v>0</v>
      </c>
      <c r="G32" s="26"/>
      <c r="H32" s="26"/>
      <c r="I32" s="26"/>
      <c r="J32" s="19"/>
      <c r="K32" s="19">
        <f>IF(F32&gt;0,D32*E32,0)</f>
        <v>0</v>
      </c>
      <c r="L32" s="19">
        <f t="shared" si="1"/>
        <v>0</v>
      </c>
    </row>
    <row r="33" spans="1:12" s="1" customFormat="1" ht="15" customHeight="1" x14ac:dyDescent="0.2">
      <c r="A33" s="1" t="s">
        <v>31</v>
      </c>
      <c r="B33" s="1" t="str">
        <f>[1]concours!B3</f>
        <v>Sciez 27 et 28 février</v>
      </c>
      <c r="D33" s="17">
        <f>[1]concours!B4</f>
        <v>20</v>
      </c>
      <c r="E33" s="15">
        <f>SUMPRODUCT((B4=[1]concours!A6:A13)*([1]concours!B5:Z5="trsp1")*([1]concours!B6:Z13)+(B5=[1]concours!A6:A13)*([1]concours!B5:Z5="trsp1")*([1]concours!B6:Z13)+(B6=[1]concours!A6:A13)*([1]concours!B5:Z5="trsp1")*([1]concours!B6:Z13))</f>
        <v>0</v>
      </c>
      <c r="F33" s="17">
        <f t="shared" si="0"/>
        <v>0</v>
      </c>
      <c r="G33" s="26"/>
      <c r="H33" s="19">
        <f>IF(F33&gt;0,D33/1.2*E33,0)</f>
        <v>0</v>
      </c>
      <c r="I33" s="26"/>
      <c r="J33" s="19">
        <f>IF(H33=0,0,H33*20%)</f>
        <v>0</v>
      </c>
      <c r="K33" s="26"/>
      <c r="L33" s="19">
        <f t="shared" si="1"/>
        <v>0</v>
      </c>
    </row>
    <row r="34" spans="1:12" s="1" customFormat="1" ht="15" customHeight="1" x14ac:dyDescent="0.2">
      <c r="A34" s="1" t="s">
        <v>31</v>
      </c>
      <c r="B34" s="1">
        <f>[1]concours!G3</f>
        <v>0</v>
      </c>
      <c r="D34" s="17">
        <f>[1]concours!G4</f>
        <v>20</v>
      </c>
      <c r="E34" s="15">
        <f>SUMPRODUCT((B4=[1]concours!A6:A13)*([1]concours!B5:Z5="trsp2")*([1]concours!B6:Z13)+(B5=[1]concours!A6:A13)*([1]concours!B5:Z5="trsp2")*([1]concours!B6:Z13)+(B6=[1]concours!A6:A13)*([1]concours!B5:Z5="trsp2")*([1]concours!B6:Z13))</f>
        <v>0</v>
      </c>
      <c r="F34" s="17">
        <f t="shared" si="0"/>
        <v>0</v>
      </c>
      <c r="G34" s="26"/>
      <c r="H34" s="19">
        <f>IF(F34&gt;0,D34/1.2*E34,0)</f>
        <v>0</v>
      </c>
      <c r="I34" s="26"/>
      <c r="J34" s="19">
        <f t="shared" ref="J34:J51" si="10">IF(H34=0,0,H34*20%)</f>
        <v>0</v>
      </c>
      <c r="K34" s="26"/>
      <c r="L34" s="19">
        <f t="shared" si="1"/>
        <v>0</v>
      </c>
    </row>
    <row r="35" spans="1:12" s="1" customFormat="1" ht="15" customHeight="1" x14ac:dyDescent="0.2">
      <c r="A35" s="1" t="s">
        <v>31</v>
      </c>
      <c r="B35" s="1">
        <f>[1]concours!L3</f>
        <v>0</v>
      </c>
      <c r="D35" s="17">
        <f>[1]concours!L4</f>
        <v>0</v>
      </c>
      <c r="E35" s="15">
        <f>SUMPRODUCT((B4=[1]concours!A6:A13)*([1]concours!B5:Z5="trsp3")*([1]concours!B6:Z13)+(B5=[1]concours!A6:A13)*([1]concours!B5:Z5="trsp3")*([1]concours!B6:Z13)+(B6=[1]concours!A6:A13)*([1]concours!B5:Z5="trsp3")*([1]concours!B6:Z13))</f>
        <v>0</v>
      </c>
      <c r="F35" s="17">
        <f t="shared" si="0"/>
        <v>0</v>
      </c>
      <c r="G35" s="26"/>
      <c r="H35" s="19">
        <f t="shared" ref="H35:H42" si="11">IF(F35&gt;0,D35/1.2*E35,0)</f>
        <v>0</v>
      </c>
      <c r="I35" s="26"/>
      <c r="J35" s="19">
        <f t="shared" si="10"/>
        <v>0</v>
      </c>
      <c r="K35" s="26"/>
      <c r="L35" s="19">
        <f t="shared" si="1"/>
        <v>0</v>
      </c>
    </row>
    <row r="36" spans="1:12" s="1" customFormat="1" ht="15" customHeight="1" x14ac:dyDescent="0.2">
      <c r="A36" s="1" t="s">
        <v>31</v>
      </c>
      <c r="B36" s="1">
        <f>[1]concours!Q3</f>
        <v>0</v>
      </c>
      <c r="D36" s="17">
        <f>[1]concours!Q4</f>
        <v>0</v>
      </c>
      <c r="E36" s="15">
        <f>SUMPRODUCT((B4=[1]concours!A6:A13)*([1]concours!B5:Z5="trsp4")*([1]concours!B6:Z13)+(B5=[1]concours!A6:A13)*([1]concours!B5:Z5="trsp4")*([1]concours!B6:Z13)+(B6=[1]concours!A6:A13)*([1]concours!B5:Z5="trsp4")*([1]concours!B6:Z13))</f>
        <v>0</v>
      </c>
      <c r="F36" s="17">
        <f t="shared" si="0"/>
        <v>0</v>
      </c>
      <c r="G36" s="26"/>
      <c r="H36" s="19">
        <f t="shared" si="11"/>
        <v>0</v>
      </c>
      <c r="I36" s="26"/>
      <c r="J36" s="19">
        <f t="shared" si="10"/>
        <v>0</v>
      </c>
      <c r="K36" s="26"/>
      <c r="L36" s="19">
        <f t="shared" si="1"/>
        <v>0</v>
      </c>
    </row>
    <row r="37" spans="1:12" s="1" customFormat="1" ht="15" customHeight="1" x14ac:dyDescent="0.2">
      <c r="A37" s="1" t="s">
        <v>31</v>
      </c>
      <c r="B37" s="1">
        <f>[1]concours!V3</f>
        <v>0</v>
      </c>
      <c r="D37" s="17">
        <f>[1]concours!V4</f>
        <v>0</v>
      </c>
      <c r="E37" s="15">
        <f>SUMPRODUCT((B4=[1]concours!A6:A13)*([1]concours!B5:Z5="trsp5")*([1]concours!B6:Z13)+(B5=[1]concours!A6:A13)*([1]concours!B5:Z5="trsp5")*([1]concours!B6:Z13)+(B6=[1]concours!A6:A13)*([1]concours!B5:Z5="trsp5")*([1]concours!B6:Z13))</f>
        <v>0</v>
      </c>
      <c r="F37" s="17">
        <f t="shared" si="0"/>
        <v>0</v>
      </c>
      <c r="G37" s="26"/>
      <c r="H37" s="19">
        <f t="shared" si="11"/>
        <v>0</v>
      </c>
      <c r="I37" s="26"/>
      <c r="J37" s="19">
        <f t="shared" si="10"/>
        <v>0</v>
      </c>
      <c r="K37" s="26"/>
      <c r="L37" s="19">
        <f t="shared" si="1"/>
        <v>0</v>
      </c>
    </row>
    <row r="38" spans="1:12" s="1" customFormat="1" ht="15" customHeight="1" x14ac:dyDescent="0.2">
      <c r="A38" s="1" t="s">
        <v>32</v>
      </c>
      <c r="B38" s="1" t="str">
        <f>[1]concours!B3</f>
        <v>Sciez 27 et 28 février</v>
      </c>
      <c r="D38" s="17">
        <f>[1]concours!D4</f>
        <v>1</v>
      </c>
      <c r="E38" s="15">
        <f>SUMPRODUCT((B4=[1]concours!A6:A13)*([1]concours!B5:Z5="boxes1")*([1]concours!B6:Z13)+(B5=[1]concours!A6:A13)*([1]concours!B5:Z5="boxes1")*([1]concours!B6:Z13)+(B6=[1]concours!A6:A13)*([1]concours!B5:Z5="boxes1")*([1]concours!B6:Z13))</f>
        <v>0</v>
      </c>
      <c r="F38" s="17">
        <f t="shared" si="0"/>
        <v>0</v>
      </c>
      <c r="G38" s="26"/>
      <c r="H38" s="19">
        <f t="shared" si="11"/>
        <v>0</v>
      </c>
      <c r="I38" s="26"/>
      <c r="J38" s="19">
        <f t="shared" si="10"/>
        <v>0</v>
      </c>
      <c r="K38" s="26"/>
      <c r="L38" s="19">
        <f t="shared" si="1"/>
        <v>0</v>
      </c>
    </row>
    <row r="39" spans="1:12" s="1" customFormat="1" ht="15" customHeight="1" x14ac:dyDescent="0.2">
      <c r="A39" s="1" t="s">
        <v>32</v>
      </c>
      <c r="B39" s="1">
        <f>[1]concours!G3</f>
        <v>0</v>
      </c>
      <c r="D39" s="17">
        <f>[1]concours!I4</f>
        <v>0</v>
      </c>
      <c r="E39" s="15">
        <f>SUMPRODUCT((B4=[1]concours!A6:A13)*([1]concours!B5:Z5="boxes2")*([1]concours!B6:Z13)+(B5=[1]concours!A6:A13)*([1]concours!B5:Z5="boxes2")*([1]concours!B6:Z13)+(B6=[1]concours!A6:A13)*([1]concours!B5:Z5="boxes2")*([1]concours!B6:Z13))</f>
        <v>0</v>
      </c>
      <c r="F39" s="17">
        <f t="shared" si="0"/>
        <v>0</v>
      </c>
      <c r="G39" s="26"/>
      <c r="H39" s="19">
        <f t="shared" si="11"/>
        <v>0</v>
      </c>
      <c r="I39" s="26"/>
      <c r="J39" s="19">
        <f t="shared" si="10"/>
        <v>0</v>
      </c>
      <c r="K39" s="26"/>
      <c r="L39" s="19">
        <f t="shared" si="1"/>
        <v>0</v>
      </c>
    </row>
    <row r="40" spans="1:12" s="1" customFormat="1" ht="15" customHeight="1" x14ac:dyDescent="0.2">
      <c r="A40" s="1" t="s">
        <v>32</v>
      </c>
      <c r="B40" s="1">
        <f>[1]concours!L3</f>
        <v>0</v>
      </c>
      <c r="D40" s="17">
        <f>[1]concours!N4</f>
        <v>0</v>
      </c>
      <c r="E40" s="15">
        <f>SUMPRODUCT((B4=[1]concours!A6:A13)*([1]concours!B5:Z5="boxes3")*([1]concours!B6:Z13)+(B5=[1]concours!A6:A13)*([1]concours!B5:Z5="boxes3")*([1]concours!B6:Z13)+(B6=[1]concours!A6:A13)*([1]concours!B5:Z5="boxes3")*([1]concours!B6:Z13))</f>
        <v>0</v>
      </c>
      <c r="F40" s="17">
        <f t="shared" si="0"/>
        <v>0</v>
      </c>
      <c r="G40" s="26"/>
      <c r="H40" s="19">
        <f t="shared" si="11"/>
        <v>0</v>
      </c>
      <c r="I40" s="26"/>
      <c r="J40" s="19">
        <f t="shared" si="10"/>
        <v>0</v>
      </c>
      <c r="K40" s="26"/>
      <c r="L40" s="19">
        <f t="shared" si="1"/>
        <v>0</v>
      </c>
    </row>
    <row r="41" spans="1:12" s="1" customFormat="1" ht="15" customHeight="1" x14ac:dyDescent="0.2">
      <c r="A41" s="1" t="s">
        <v>32</v>
      </c>
      <c r="B41" s="1">
        <f>[1]concours!Q3</f>
        <v>0</v>
      </c>
      <c r="D41" s="17">
        <f>[1]concours!S4</f>
        <v>1</v>
      </c>
      <c r="E41" s="15">
        <f>SUMPRODUCT((B4=[1]concours!A6:A13)*([1]concours!B5:Z5="boxes4")*([1]concours!B6:Z13)+(B5=[1]concours!A6:A13)*([1]concours!B5:Z5="boxes4")*([1]concours!B6:Z13)+(B6=[1]concours!A6:A13)*([1]concours!B5:Z5="boxes4")*([1]concours!B6:Z13))</f>
        <v>0</v>
      </c>
      <c r="F41" s="17">
        <f t="shared" si="0"/>
        <v>0</v>
      </c>
      <c r="G41" s="26"/>
      <c r="H41" s="19">
        <f t="shared" si="11"/>
        <v>0</v>
      </c>
      <c r="I41" s="26"/>
      <c r="J41" s="19">
        <f t="shared" si="10"/>
        <v>0</v>
      </c>
      <c r="K41" s="26"/>
      <c r="L41" s="19">
        <f t="shared" si="1"/>
        <v>0</v>
      </c>
    </row>
    <row r="42" spans="1:12" s="1" customFormat="1" ht="15" customHeight="1" x14ac:dyDescent="0.2">
      <c r="A42" s="1" t="s">
        <v>32</v>
      </c>
      <c r="B42" s="1">
        <f>[1]concours!V3</f>
        <v>0</v>
      </c>
      <c r="D42" s="17">
        <f>[1]concours!X4</f>
        <v>0</v>
      </c>
      <c r="E42" s="15">
        <f>SUMPRODUCT((B4=[1]concours!A6:A13)*([1]concours!B5:Z5="boxes5")*([1]concours!B6:Z13)+(B5=[1]concours!A6:A13)*([1]concours!B5:Z5="boxes5")*([1]concours!B6:Z13)+(B6=[1]concours!A6:A13)*([1]concours!B5:Z5="boxes5")*([1]concours!B6:Z13))</f>
        <v>0</v>
      </c>
      <c r="F42" s="17">
        <f t="shared" si="0"/>
        <v>0</v>
      </c>
      <c r="G42" s="26"/>
      <c r="H42" s="19">
        <f t="shared" si="11"/>
        <v>0</v>
      </c>
      <c r="I42" s="26"/>
      <c r="J42" s="19">
        <f t="shared" si="10"/>
        <v>0</v>
      </c>
      <c r="K42" s="26"/>
      <c r="L42" s="19">
        <f t="shared" si="1"/>
        <v>0</v>
      </c>
    </row>
    <row r="43" spans="1:12" s="1" customFormat="1" ht="15" customHeight="1" x14ac:dyDescent="0.2">
      <c r="A43" s="1" t="s">
        <v>33</v>
      </c>
      <c r="D43" s="17">
        <f>SUMPRODUCT((B4=[1]concours!A6:A13)*([1]concours!B5:Z5="gains")*([1]concours!B6:Z13)+(B5=[1]concours!A6:A13)*([1]concours!B5:Z5="gains")*([1]concours!B6:Z13)+(B6=[1]concours!A6:A13)*([1]concours!B5:Z5="gains")*([1]concours!B6:Z13))</f>
        <v>0</v>
      </c>
      <c r="E43" s="15"/>
      <c r="F43" s="17">
        <f>-D43</f>
        <v>0</v>
      </c>
      <c r="G43" s="26"/>
      <c r="H43" s="26">
        <f>IF(F43&gt;0,-D43*E43,0)</f>
        <v>0</v>
      </c>
      <c r="I43" s="26"/>
      <c r="J43" s="19"/>
      <c r="K43" s="26"/>
      <c r="L43" s="19">
        <f t="shared" si="1"/>
        <v>0</v>
      </c>
    </row>
    <row r="44" spans="1:12" x14ac:dyDescent="0.2">
      <c r="A44" s="12" t="s">
        <v>34</v>
      </c>
      <c r="B44" s="1"/>
      <c r="C44" s="1"/>
      <c r="D44" s="17"/>
      <c r="E44" s="15"/>
      <c r="F44" s="17">
        <f t="shared" ref="F44:F51" si="12">D44*E44</f>
        <v>0</v>
      </c>
      <c r="G44" s="19"/>
      <c r="H44" s="19"/>
      <c r="I44" s="19"/>
      <c r="J44" s="19"/>
      <c r="K44" s="19"/>
      <c r="L44" s="19">
        <f t="shared" si="1"/>
        <v>0</v>
      </c>
    </row>
    <row r="45" spans="1:12" x14ac:dyDescent="0.2">
      <c r="A45" s="12" t="s">
        <v>35</v>
      </c>
      <c r="B45" s="1"/>
      <c r="C45" s="1" t="s">
        <v>20</v>
      </c>
      <c r="D45" s="17">
        <v>1.7</v>
      </c>
      <c r="E45" s="15">
        <f>SUMPRODUCT((B4=[1]travail!A4:A62)*([1]travail!DC3:DU3="couvertures")*([1]travail!DC4:DU62)+(B5=[1]travail!A4:A62)*([1]travail!DC3:DU3="couvertures")*([1]travail!DC4:DU62)+(B6=[1]travail!A4:A62)*([1]travail!DC3:DU3="couvertures")*([1]travail!DC4:DU62))</f>
        <v>0</v>
      </c>
      <c r="F45" s="17">
        <f t="shared" si="12"/>
        <v>0</v>
      </c>
      <c r="G45" s="19"/>
      <c r="H45" s="19">
        <f>IF(F45&gt;0,D45/1.2*E45,0)</f>
        <v>0</v>
      </c>
      <c r="I45" s="19"/>
      <c r="J45" s="19">
        <f t="shared" si="10"/>
        <v>0</v>
      </c>
      <c r="L45" s="19">
        <f t="shared" si="1"/>
        <v>0</v>
      </c>
    </row>
    <row r="46" spans="1:12" x14ac:dyDescent="0.2">
      <c r="A46" s="1"/>
      <c r="B46" s="1" t="s">
        <v>36</v>
      </c>
      <c r="C46" s="1"/>
      <c r="D46" s="17">
        <v>40</v>
      </c>
      <c r="E46" s="15">
        <f>SUMPRODUCT((B4=[1]travail!A4:A62)*([1]travail!DC3:DU3="forfait couv")*([1]travail!DC4:DU62)+(B5=[1]travail!A4:A62)*([1]travail!DC3:DU3="forfait couv")*([1]travail!DC4:DU62)+(B6=[1]travail!A4:A62)*([1]travail!DC3:DU3="forfait couv")*([1]travail!DC4:DU62))</f>
        <v>0</v>
      </c>
      <c r="F46" s="17">
        <f t="shared" si="12"/>
        <v>0</v>
      </c>
      <c r="G46" s="19"/>
      <c r="H46" s="19">
        <f t="shared" ref="H46:H51" si="13">IF(F46&gt;0,D46/1.2*E46,0)</f>
        <v>0</v>
      </c>
      <c r="I46" s="19"/>
      <c r="J46" s="19">
        <f t="shared" si="10"/>
        <v>0</v>
      </c>
      <c r="L46" s="19">
        <f t="shared" si="1"/>
        <v>0</v>
      </c>
    </row>
    <row r="47" spans="1:12" x14ac:dyDescent="0.2">
      <c r="A47" s="12" t="s">
        <v>37</v>
      </c>
      <c r="B47" s="1"/>
      <c r="C47" s="1"/>
      <c r="D47" s="17"/>
      <c r="E47" s="15"/>
      <c r="F47" s="17">
        <f t="shared" si="12"/>
        <v>0</v>
      </c>
      <c r="G47" s="19"/>
      <c r="H47" s="19">
        <f t="shared" si="13"/>
        <v>0</v>
      </c>
      <c r="I47" s="19"/>
      <c r="J47" s="19"/>
      <c r="L47" s="19">
        <f t="shared" si="1"/>
        <v>0</v>
      </c>
    </row>
    <row r="48" spans="1:12" x14ac:dyDescent="0.2">
      <c r="A48" s="1"/>
      <c r="B48" s="1" t="s">
        <v>38</v>
      </c>
      <c r="C48" s="1"/>
      <c r="D48" s="17">
        <v>70</v>
      </c>
      <c r="E48" s="15">
        <f>SUMPRODUCT((B4=[1]travail!A4:A62)*([1]travail!DC3:DU3="tonte 70")*([1]travail!DC4:DU62)+(B5=[1]travail!A4:A62)*([1]travail!DC3:DU3="tonte 70")*([1]travail!DC4:DU62)+(B6=[1]travail!A4:A62)*([1]travail!DC3:DU3="tonte 70")*([1]travail!DC4:DU62))</f>
        <v>0</v>
      </c>
      <c r="F48" s="17">
        <f t="shared" si="12"/>
        <v>0</v>
      </c>
      <c r="G48" s="19"/>
      <c r="H48" s="19">
        <f t="shared" si="13"/>
        <v>0</v>
      </c>
      <c r="I48" s="19"/>
      <c r="J48" s="19">
        <f t="shared" si="10"/>
        <v>0</v>
      </c>
      <c r="L48" s="19">
        <f t="shared" si="1"/>
        <v>0</v>
      </c>
    </row>
    <row r="49" spans="1:12" x14ac:dyDescent="0.2">
      <c r="A49" s="1"/>
      <c r="B49" s="1" t="s">
        <v>39</v>
      </c>
      <c r="C49" s="1"/>
      <c r="D49" s="17">
        <v>90</v>
      </c>
      <c r="E49" s="15">
        <f>SUMPRODUCT((B4=[1]travail!A4:A62)*([1]travail!DC3:DU3="tonte 90")*([1]travail!DC4:DU62)+(B5=[1]travail!A4:A62)*([1]travail!DC3:DU3="tonte 90")*([1]travail!DC4:DU62)+(B6=[1]travail!A4:A62)*([1]travail!DC3:DU3="tonte 90")*([1]travail!DC4:DU62))</f>
        <v>0</v>
      </c>
      <c r="F49" s="17">
        <f t="shared" si="12"/>
        <v>0</v>
      </c>
      <c r="G49" s="19"/>
      <c r="H49" s="19">
        <f t="shared" si="13"/>
        <v>0</v>
      </c>
      <c r="I49" s="19"/>
      <c r="J49" s="19">
        <f t="shared" si="10"/>
        <v>0</v>
      </c>
      <c r="L49" s="19">
        <f t="shared" si="1"/>
        <v>0</v>
      </c>
    </row>
    <row r="50" spans="1:12" x14ac:dyDescent="0.2">
      <c r="A50" s="1"/>
      <c r="B50" s="1" t="s">
        <v>40</v>
      </c>
      <c r="C50" s="1"/>
      <c r="D50" s="27">
        <v>5</v>
      </c>
      <c r="E50" s="15">
        <f>SUMPRODUCT((B4=[1]travail!A4:A62)*([1]travail!DC3:DU3="main")*([1]travail!DC4:DU62)+(B5=[1]travail!A4:A62)*([1]travail!DC3:DU3="main")*([1]travail!DC4:DU62)+(B6=[1]travail!A4:A62)*([1]travail!DC3:DU3="main")*([1]travail!DC4:DU62))</f>
        <v>0</v>
      </c>
      <c r="F50" s="17">
        <f t="shared" si="12"/>
        <v>0</v>
      </c>
      <c r="G50" s="19"/>
      <c r="H50" s="19">
        <f t="shared" si="13"/>
        <v>0</v>
      </c>
      <c r="I50" s="19"/>
      <c r="J50" s="19">
        <f t="shared" si="10"/>
        <v>0</v>
      </c>
      <c r="L50" s="19">
        <f t="shared" si="1"/>
        <v>0</v>
      </c>
    </row>
    <row r="51" spans="1:12" x14ac:dyDescent="0.2">
      <c r="A51" s="1"/>
      <c r="B51" s="28"/>
      <c r="C51" s="28"/>
      <c r="D51" s="27"/>
      <c r="E51" s="18"/>
      <c r="F51" s="27">
        <f t="shared" si="12"/>
        <v>0</v>
      </c>
      <c r="G51" s="19"/>
      <c r="H51" s="19">
        <f t="shared" si="13"/>
        <v>0</v>
      </c>
      <c r="I51" s="19"/>
      <c r="J51" s="19">
        <f t="shared" si="10"/>
        <v>0</v>
      </c>
      <c r="L51" s="19">
        <f t="shared" si="1"/>
        <v>0</v>
      </c>
    </row>
    <row r="52" spans="1:12" x14ac:dyDescent="0.2">
      <c r="A52" s="1"/>
      <c r="B52" s="1"/>
      <c r="C52" s="1"/>
      <c r="D52" s="1"/>
      <c r="E52" s="4" t="s">
        <v>41</v>
      </c>
      <c r="F52" s="29">
        <f>SUM(F7:F51)</f>
        <v>164</v>
      </c>
      <c r="G52" s="19">
        <f>SUM(G9:G51)</f>
        <v>113.75</v>
      </c>
      <c r="H52" s="19">
        <f>SUM(H9:H51)</f>
        <v>36.659999999999997</v>
      </c>
      <c r="I52" s="19">
        <f>SUM(I9:I51)</f>
        <v>6.25</v>
      </c>
      <c r="J52" s="19">
        <f>SUM(J9:J51)</f>
        <v>7.34</v>
      </c>
      <c r="K52" s="19">
        <f>SUM(K9:K51)</f>
        <v>0</v>
      </c>
      <c r="L52" s="3" t="s">
        <v>42</v>
      </c>
    </row>
    <row r="53" spans="1:12" x14ac:dyDescent="0.2">
      <c r="A53" s="1"/>
      <c r="B53" s="1"/>
      <c r="C53" s="1"/>
      <c r="D53" s="1"/>
      <c r="E53" s="13" t="s">
        <v>43</v>
      </c>
      <c r="F53" s="30">
        <f>F52</f>
        <v>164</v>
      </c>
      <c r="G53" s="31"/>
      <c r="H53" s="19"/>
      <c r="I53" s="32">
        <f>I7+I52</f>
        <v>6.25</v>
      </c>
      <c r="J53" s="95">
        <f>J7+J52</f>
        <v>7.34</v>
      </c>
      <c r="L53" s="33" t="s">
        <v>12</v>
      </c>
    </row>
    <row r="54" spans="1:12" x14ac:dyDescent="0.2">
      <c r="E54" s="34"/>
      <c r="F54" s="28"/>
      <c r="G54" s="35"/>
      <c r="I54" s="19">
        <f>F86*5.5%</f>
        <v>6.2562499999999996</v>
      </c>
      <c r="J54" s="95">
        <f>F88*20%</f>
        <v>7.3319999999999999</v>
      </c>
      <c r="L54" s="3" t="s">
        <v>44</v>
      </c>
    </row>
    <row r="55" spans="1:12" x14ac:dyDescent="0.2">
      <c r="F55" s="87" t="s">
        <v>69</v>
      </c>
      <c r="I55" s="19">
        <f>I53-I54</f>
        <v>-6.2499999999996447E-3</v>
      </c>
      <c r="J55" s="19">
        <f>J53-J54</f>
        <v>8.0000000000000071E-3</v>
      </c>
      <c r="L55" s="3" t="s">
        <v>45</v>
      </c>
    </row>
    <row r="59" spans="1:12" x14ac:dyDescent="0.2">
      <c r="A59" s="37"/>
      <c r="B59" s="37"/>
    </row>
    <row r="60" spans="1:12" x14ac:dyDescent="0.2">
      <c r="A60" s="37"/>
      <c r="B60" s="37"/>
      <c r="D60" s="38" t="s">
        <v>46</v>
      </c>
      <c r="E60" s="39" t="s">
        <v>47</v>
      </c>
      <c r="F60" s="40" t="s">
        <v>73</v>
      </c>
    </row>
    <row r="61" spans="1:12" x14ac:dyDescent="0.2">
      <c r="A61" s="37"/>
      <c r="B61" s="37"/>
    </row>
    <row r="62" spans="1:12" x14ac:dyDescent="0.2">
      <c r="A62" s="37"/>
      <c r="B62" s="37"/>
      <c r="D62" s="41" t="s">
        <v>49</v>
      </c>
      <c r="E62" s="110">
        <f>DATE(2016,3,1)</f>
        <v>42430</v>
      </c>
      <c r="F62" s="110"/>
    </row>
    <row r="63" spans="1:12" x14ac:dyDescent="0.2">
      <c r="A63" s="37"/>
      <c r="B63" s="37"/>
    </row>
    <row r="64" spans="1:12" x14ac:dyDescent="0.2">
      <c r="A64" s="37"/>
      <c r="B64" s="37"/>
    </row>
    <row r="65" spans="1:6" x14ac:dyDescent="0.2">
      <c r="A65" s="37"/>
      <c r="B65" s="37"/>
    </row>
    <row r="66" spans="1:6" x14ac:dyDescent="0.2">
      <c r="A66" s="37"/>
      <c r="B66" s="37"/>
    </row>
    <row r="67" spans="1:6" x14ac:dyDescent="0.2">
      <c r="A67" s="37"/>
      <c r="B67" s="37"/>
    </row>
    <row r="68" spans="1:6" x14ac:dyDescent="0.2">
      <c r="A68" s="37"/>
      <c r="B68" s="37"/>
    </row>
    <row r="69" spans="1:6" ht="24" x14ac:dyDescent="0.35">
      <c r="A69" s="42" t="s">
        <v>50</v>
      </c>
      <c r="B69" s="37"/>
      <c r="D69" s="3" t="str">
        <f>E4</f>
        <v>ccccc</v>
      </c>
    </row>
    <row r="70" spans="1:6" ht="17" x14ac:dyDescent="0.25">
      <c r="A70" s="43" t="s">
        <v>81</v>
      </c>
      <c r="D70" s="3">
        <f>A53</f>
        <v>0</v>
      </c>
    </row>
    <row r="71" spans="1:6" ht="17" x14ac:dyDescent="0.25">
      <c r="A71" s="43"/>
      <c r="D71" s="3">
        <f>A54</f>
        <v>0</v>
      </c>
    </row>
    <row r="72" spans="1:6" ht="17" x14ac:dyDescent="0.25">
      <c r="A72" s="43" t="s">
        <v>82</v>
      </c>
    </row>
    <row r="74" spans="1:6" x14ac:dyDescent="0.2">
      <c r="A74" s="44" t="s">
        <v>51</v>
      </c>
      <c r="B74" s="45"/>
      <c r="C74" s="45"/>
      <c r="D74" s="46" t="s">
        <v>5</v>
      </c>
      <c r="E74" s="46" t="s">
        <v>52</v>
      </c>
      <c r="F74" s="46" t="s">
        <v>53</v>
      </c>
    </row>
    <row r="75" spans="1:6" hidden="1" x14ac:dyDescent="0.2">
      <c r="A75" s="47" t="s">
        <v>54</v>
      </c>
      <c r="B75" s="48"/>
      <c r="D75" s="49">
        <v>1</v>
      </c>
      <c r="E75" s="50">
        <v>5.5E-2</v>
      </c>
      <c r="F75" s="51">
        <f>G7+G8</f>
        <v>0</v>
      </c>
    </row>
    <row r="76" spans="1:6" hidden="1" x14ac:dyDescent="0.2">
      <c r="A76" s="47" t="s">
        <v>55</v>
      </c>
      <c r="B76" s="52" t="s">
        <v>56</v>
      </c>
      <c r="D76" s="53">
        <v>1</v>
      </c>
      <c r="E76" s="54">
        <v>0.2</v>
      </c>
      <c r="F76" s="55">
        <f>H7+H8</f>
        <v>0</v>
      </c>
    </row>
    <row r="77" spans="1:6" x14ac:dyDescent="0.2">
      <c r="A77" s="47" t="s">
        <v>54</v>
      </c>
      <c r="D77" s="56">
        <v>1</v>
      </c>
      <c r="E77" s="54">
        <v>5.5E-2</v>
      </c>
      <c r="F77" s="55">
        <f>G52</f>
        <v>113.75</v>
      </c>
    </row>
    <row r="78" spans="1:6" x14ac:dyDescent="0.2">
      <c r="A78" s="47" t="s">
        <v>57</v>
      </c>
      <c r="B78" s="52" t="s">
        <v>56</v>
      </c>
      <c r="D78" s="56">
        <v>1</v>
      </c>
      <c r="E78" s="54">
        <v>0.2</v>
      </c>
      <c r="F78" s="55">
        <f>H52</f>
        <v>36.659999999999997</v>
      </c>
    </row>
    <row r="79" spans="1:6" x14ac:dyDescent="0.2">
      <c r="A79" s="47" t="str">
        <f>IF(F79=0," ",("ENGAGEMENT CONCOURS"))</f>
        <v xml:space="preserve"> </v>
      </c>
      <c r="D79" s="56"/>
      <c r="E79" s="56"/>
      <c r="F79" s="57">
        <f>SUM(K28:K32)</f>
        <v>0</v>
      </c>
    </row>
    <row r="80" spans="1:6" x14ac:dyDescent="0.2">
      <c r="A80" s="47">
        <f ca="1">IF(F80=0,A80="",A80=("BOXES"))</f>
        <v>0</v>
      </c>
      <c r="D80" s="56"/>
      <c r="E80" s="56"/>
      <c r="F80" s="58"/>
    </row>
    <row r="81" spans="1:6" x14ac:dyDescent="0.2">
      <c r="A81" s="59"/>
      <c r="D81" s="60"/>
      <c r="E81" s="58"/>
      <c r="F81" s="55"/>
    </row>
    <row r="82" spans="1:6" x14ac:dyDescent="0.2">
      <c r="A82" s="59"/>
      <c r="D82" s="60"/>
      <c r="E82" s="58"/>
      <c r="F82" s="55"/>
    </row>
    <row r="83" spans="1:6" x14ac:dyDescent="0.2">
      <c r="A83" s="59"/>
      <c r="D83" s="60"/>
      <c r="E83" s="58"/>
      <c r="F83" s="55"/>
    </row>
    <row r="84" spans="1:6" x14ac:dyDescent="0.2">
      <c r="A84" s="59"/>
      <c r="D84" s="58"/>
      <c r="E84" s="58"/>
      <c r="F84" s="55"/>
    </row>
    <row r="85" spans="1:6" x14ac:dyDescent="0.2">
      <c r="A85" s="59"/>
      <c r="D85" s="61"/>
      <c r="E85" s="61"/>
      <c r="F85" s="62"/>
    </row>
    <row r="86" spans="1:6" x14ac:dyDescent="0.2">
      <c r="A86" s="63"/>
      <c r="B86" s="64"/>
      <c r="C86" s="65"/>
      <c r="D86" s="66" t="s">
        <v>58</v>
      </c>
      <c r="E86" s="67"/>
      <c r="F86" s="68">
        <f>F75+F77</f>
        <v>113.75</v>
      </c>
    </row>
    <row r="87" spans="1:6" x14ac:dyDescent="0.2">
      <c r="A87" s="59"/>
      <c r="B87" s="10"/>
      <c r="C87" s="69"/>
      <c r="D87" s="70" t="s">
        <v>59</v>
      </c>
      <c r="E87" s="71"/>
      <c r="F87" s="72">
        <f>ROUNDDOWN(F86*5.5%,2)</f>
        <v>6.25</v>
      </c>
    </row>
    <row r="88" spans="1:6" x14ac:dyDescent="0.2">
      <c r="A88" s="59"/>
      <c r="B88" s="10"/>
      <c r="C88" s="69"/>
      <c r="D88" s="73" t="s">
        <v>60</v>
      </c>
      <c r="E88" s="70"/>
      <c r="F88" s="72">
        <f>F76+F78</f>
        <v>36.659999999999997</v>
      </c>
    </row>
    <row r="89" spans="1:6" x14ac:dyDescent="0.2">
      <c r="A89" s="59"/>
      <c r="B89" s="10"/>
      <c r="C89" s="69"/>
      <c r="D89" s="74" t="s">
        <v>61</v>
      </c>
      <c r="E89" s="71"/>
      <c r="F89" s="72">
        <f>F88*20%</f>
        <v>7.3319999999999999</v>
      </c>
    </row>
    <row r="90" spans="1:6" x14ac:dyDescent="0.2">
      <c r="A90" s="59"/>
      <c r="B90" s="10"/>
      <c r="C90" s="69"/>
      <c r="D90" s="75" t="s">
        <v>62</v>
      </c>
      <c r="E90" s="71"/>
      <c r="F90" s="72">
        <f>F79</f>
        <v>0</v>
      </c>
    </row>
    <row r="91" spans="1:6" x14ac:dyDescent="0.2">
      <c r="A91" s="59"/>
      <c r="B91" s="10"/>
      <c r="C91" s="69"/>
      <c r="D91" s="76"/>
      <c r="E91" s="77"/>
      <c r="F91" s="78"/>
    </row>
    <row r="92" spans="1:6" x14ac:dyDescent="0.2">
      <c r="A92" s="79"/>
      <c r="B92" s="80"/>
      <c r="C92" s="81"/>
      <c r="D92" s="82" t="s">
        <v>63</v>
      </c>
      <c r="E92" s="83"/>
      <c r="F92" s="84">
        <f>ROUND(SUM(F86:F91),1)</f>
        <v>164</v>
      </c>
    </row>
    <row r="93" spans="1:6" x14ac:dyDescent="0.2">
      <c r="A93" s="85" t="s">
        <v>64</v>
      </c>
      <c r="B93" s="85"/>
      <c r="C93" s="85"/>
      <c r="D93" s="85"/>
      <c r="E93" s="85"/>
      <c r="F93" s="85"/>
    </row>
    <row r="94" spans="1:6" x14ac:dyDescent="0.2">
      <c r="A94" s="85" t="s">
        <v>65</v>
      </c>
      <c r="B94" s="85"/>
      <c r="C94" s="85"/>
      <c r="D94" s="85"/>
      <c r="E94" s="85"/>
      <c r="F94" s="85"/>
    </row>
    <row r="95" spans="1:6" x14ac:dyDescent="0.2">
      <c r="A95" s="85"/>
      <c r="B95" s="85"/>
      <c r="C95" s="85"/>
      <c r="D95" s="85"/>
      <c r="E95" s="85"/>
      <c r="F95" s="85"/>
    </row>
    <row r="96" spans="1:6" x14ac:dyDescent="0.2">
      <c r="A96" s="86" t="s">
        <v>66</v>
      </c>
      <c r="B96" s="85"/>
      <c r="C96" s="85"/>
      <c r="D96" s="85"/>
      <c r="E96" s="85"/>
      <c r="F96" s="85"/>
    </row>
    <row r="97" spans="1:6" x14ac:dyDescent="0.2">
      <c r="A97" s="86" t="s">
        <v>67</v>
      </c>
      <c r="B97" s="85"/>
      <c r="C97" s="85"/>
      <c r="D97" s="85"/>
      <c r="E97" s="85"/>
      <c r="F97" s="85"/>
    </row>
    <row r="98" spans="1:6" x14ac:dyDescent="0.2">
      <c r="A98" s="86" t="s">
        <v>68</v>
      </c>
      <c r="B98" s="85"/>
      <c r="C98" s="85"/>
      <c r="E98" s="3"/>
      <c r="F98" s="36"/>
    </row>
    <row r="99" spans="1:6" x14ac:dyDescent="0.2">
      <c r="E99" s="3"/>
      <c r="F99" s="36"/>
    </row>
    <row r="100" spans="1:6" x14ac:dyDescent="0.2">
      <c r="F100" s="87" t="s">
        <v>69</v>
      </c>
    </row>
    <row r="104" spans="1:6" x14ac:dyDescent="0.2">
      <c r="A104" s="86"/>
    </row>
  </sheetData>
  <sheetProtection selectLockedCells="1"/>
  <mergeCells count="4">
    <mergeCell ref="C1:D1"/>
    <mergeCell ref="E1:F1"/>
    <mergeCell ref="E4:F4"/>
    <mergeCell ref="E62:F62"/>
  </mergeCells>
  <hyperlinks>
    <hyperlink ref="D4" location="recap!A1" display=" CAVALIER"/>
    <hyperlink ref="A4" location="travail!A1" display="NOM DU CHEVAL"/>
    <hyperlink ref="F55" location="recap!A1" display="*****"/>
    <hyperlink ref="F100" location="recap!A1" display="*****"/>
    <hyperlink ref="A22" location="concours!A1" display="CSO"/>
  </hyperlinks>
  <pageMargins left="0.25" right="0.25" top="0.34" bottom="0.38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L104"/>
  <sheetViews>
    <sheetView showZeros="0" topLeftCell="A38" zoomScale="120" zoomScaleNormal="120" zoomScalePageLayoutView="120" workbookViewId="0">
      <selection activeCell="A104" sqref="A104"/>
    </sheetView>
  </sheetViews>
  <sheetFormatPr baseColWidth="10" defaultColWidth="11.5" defaultRowHeight="16" x14ac:dyDescent="0.2"/>
  <cols>
    <col min="1" max="1" width="24.5" style="3" customWidth="1"/>
    <col min="2" max="2" width="17.1640625" style="3" customWidth="1"/>
    <col min="3" max="3" width="14.1640625" style="3" customWidth="1"/>
    <col min="4" max="4" width="15.83203125" style="3" customWidth="1"/>
    <col min="5" max="5" width="11.83203125" style="36" customWidth="1"/>
    <col min="6" max="6" width="14.6640625" style="3" customWidth="1"/>
    <col min="7" max="7" width="11.5" style="2"/>
    <col min="8" max="16384" width="11.5" style="3"/>
  </cols>
  <sheetData>
    <row r="1" spans="1:12" ht="18" x14ac:dyDescent="0.2">
      <c r="A1" s="1"/>
      <c r="B1" s="1"/>
      <c r="C1" s="111" t="s">
        <v>0</v>
      </c>
      <c r="D1" s="111"/>
      <c r="E1" s="106">
        <f>[1]travail!A3</f>
        <v>42401</v>
      </c>
      <c r="F1" s="112"/>
    </row>
    <row r="2" spans="1:12" x14ac:dyDescent="0.2">
      <c r="A2" s="1"/>
      <c r="B2" s="1"/>
      <c r="C2" s="1"/>
      <c r="D2" s="1"/>
      <c r="E2" s="4"/>
      <c r="F2" s="1"/>
    </row>
    <row r="3" spans="1:12" x14ac:dyDescent="0.2">
      <c r="A3" s="1"/>
      <c r="B3" s="1"/>
      <c r="C3" s="1"/>
      <c r="D3" s="1"/>
      <c r="E3" s="4"/>
      <c r="F3" s="1"/>
    </row>
    <row r="4" spans="1:12" s="10" customFormat="1" ht="18" x14ac:dyDescent="0.2">
      <c r="A4" s="8" t="s">
        <v>74</v>
      </c>
      <c r="B4" s="96" t="s">
        <v>75</v>
      </c>
      <c r="C4" s="88"/>
      <c r="D4" s="8" t="s">
        <v>3</v>
      </c>
      <c r="E4" s="108" t="s">
        <v>86</v>
      </c>
      <c r="F4" s="113"/>
      <c r="G4" s="9"/>
    </row>
    <row r="5" spans="1:12" ht="18" x14ac:dyDescent="0.2">
      <c r="A5" s="12"/>
      <c r="B5" s="89"/>
      <c r="C5" s="1"/>
      <c r="D5" s="12"/>
      <c r="E5" s="13"/>
      <c r="F5" s="1"/>
    </row>
    <row r="6" spans="1:12" ht="18" x14ac:dyDescent="0.2">
      <c r="A6" s="1"/>
      <c r="B6" s="89"/>
      <c r="C6" s="1"/>
      <c r="D6" s="14" t="s">
        <v>4</v>
      </c>
      <c r="E6" s="15" t="s">
        <v>5</v>
      </c>
      <c r="F6" s="15" t="s">
        <v>6</v>
      </c>
      <c r="G6" s="2" t="s">
        <v>7</v>
      </c>
      <c r="H6" s="3" t="s">
        <v>8</v>
      </c>
      <c r="I6" s="3" t="s">
        <v>9</v>
      </c>
      <c r="J6" s="3" t="s">
        <v>10</v>
      </c>
      <c r="L6" s="3" t="s">
        <v>12</v>
      </c>
    </row>
    <row r="7" spans="1:12" x14ac:dyDescent="0.2">
      <c r="A7" s="12" t="s">
        <v>13</v>
      </c>
      <c r="B7" s="90">
        <f>[1]travail!A1</f>
        <v>42430</v>
      </c>
      <c r="C7" s="1"/>
      <c r="D7" s="17">
        <v>658</v>
      </c>
      <c r="E7" s="18">
        <v>1</v>
      </c>
      <c r="F7" s="17">
        <f t="shared" ref="F7:F42" si="0">D7*E7</f>
        <v>658</v>
      </c>
      <c r="G7" s="19">
        <f>580*E7</f>
        <v>580</v>
      </c>
      <c r="H7" s="19">
        <f>38.42*E7</f>
        <v>38.42</v>
      </c>
      <c r="I7" s="3">
        <f>31.9*E7</f>
        <v>31.9</v>
      </c>
      <c r="J7" s="3">
        <f>7.68*E7</f>
        <v>7.68</v>
      </c>
      <c r="L7" s="19">
        <f>SUM(G7:K7)</f>
        <v>657.99999999999989</v>
      </c>
    </row>
    <row r="8" spans="1:12" x14ac:dyDescent="0.2">
      <c r="A8" s="1"/>
      <c r="B8" s="1"/>
      <c r="C8" s="1"/>
      <c r="D8" s="17"/>
      <c r="E8" s="15"/>
      <c r="F8" s="17">
        <f t="shared" si="0"/>
        <v>0</v>
      </c>
      <c r="G8" s="19">
        <f>IF(F8=0,0,580)</f>
        <v>0</v>
      </c>
      <c r="L8" s="19">
        <f t="shared" ref="L8:L51" si="1">SUM(G8:K8)</f>
        <v>0</v>
      </c>
    </row>
    <row r="9" spans="1:12" x14ac:dyDescent="0.2">
      <c r="A9" s="12" t="s">
        <v>14</v>
      </c>
      <c r="B9" s="1" t="s">
        <v>15</v>
      </c>
      <c r="C9" s="1"/>
      <c r="D9" s="17">
        <v>6.1</v>
      </c>
      <c r="E9" s="15">
        <f>IF(A10&lt;=9,A10,0)</f>
        <v>0</v>
      </c>
      <c r="F9" s="17">
        <f t="shared" si="0"/>
        <v>0</v>
      </c>
      <c r="G9" s="19">
        <f>IF(F9=0,0,4.5*E9)</f>
        <v>0</v>
      </c>
      <c r="H9" s="19">
        <f>IF(G9=0,0,1.13*E9)</f>
        <v>0</v>
      </c>
      <c r="I9" s="19">
        <f>IF(G9=0,0,0.25*E9)</f>
        <v>0</v>
      </c>
      <c r="J9" s="19">
        <f>IF(H9=0,0,0.23*E9)</f>
        <v>0</v>
      </c>
      <c r="L9" s="19">
        <f t="shared" si="1"/>
        <v>0</v>
      </c>
    </row>
    <row r="10" spans="1:12" x14ac:dyDescent="0.2">
      <c r="A10" s="4">
        <f>SUMPRODUCT((B4=[1]travail!A4:A62)*([1]travail!DC3:DU3="marcheur")*([1]travail!DC4:DU62)+(B5=[1]travail!A4:A62)*([1]travail!DC3:DU3="marcheur")*([1]travail!DC4:DU62)+(B6=[1]travail!A4:A62)*([1]travail!DC3:DU3="marcheur")*([1]travail!DC4:DU62)+(B3=[1]travail!A4:A62)*([1]travail!DC3:DU3="marcheur")*([1]travail!DC4:DU62))</f>
        <v>0</v>
      </c>
      <c r="B10" s="1" t="s">
        <v>16</v>
      </c>
      <c r="C10" s="1"/>
      <c r="D10" s="17">
        <v>5.6</v>
      </c>
      <c r="E10" s="15">
        <f>IF(AND(A10&gt;9,A10&lt;20),A10,0)</f>
        <v>0</v>
      </c>
      <c r="F10" s="17">
        <f t="shared" si="0"/>
        <v>0</v>
      </c>
      <c r="G10" s="19">
        <f>IF(F10=0,0,4.5*E10)</f>
        <v>0</v>
      </c>
      <c r="H10" s="19">
        <f>IF(G10=0,0,0.71*E10)</f>
        <v>0</v>
      </c>
      <c r="I10" s="19">
        <f t="shared" ref="I10:I13" si="2">IF(G10=0,0,0.25*E10)</f>
        <v>0</v>
      </c>
      <c r="J10" s="19">
        <f>IF(H10=0,0,0.14*E10)</f>
        <v>0</v>
      </c>
      <c r="L10" s="19">
        <f t="shared" si="1"/>
        <v>0</v>
      </c>
    </row>
    <row r="11" spans="1:12" x14ac:dyDescent="0.2">
      <c r="A11" s="1"/>
      <c r="B11" s="1" t="s">
        <v>17</v>
      </c>
      <c r="C11" s="1"/>
      <c r="D11" s="17">
        <v>5</v>
      </c>
      <c r="E11" s="15">
        <f>IF(A10&gt;19,A10,0)</f>
        <v>0</v>
      </c>
      <c r="F11" s="17">
        <f t="shared" si="0"/>
        <v>0</v>
      </c>
      <c r="G11" s="19">
        <f>IF(F11=0,0,4.5*E11)</f>
        <v>0</v>
      </c>
      <c r="H11" s="19">
        <f>IF(G11=0,0,0.21*E11)</f>
        <v>0</v>
      </c>
      <c r="I11" s="19">
        <f t="shared" si="2"/>
        <v>0</v>
      </c>
      <c r="J11" s="19">
        <f>IF(H11=0,0,0.04*E11)</f>
        <v>0</v>
      </c>
      <c r="L11" s="19">
        <f t="shared" si="1"/>
        <v>0</v>
      </c>
    </row>
    <row r="12" spans="1:12" x14ac:dyDescent="0.2">
      <c r="A12" s="1"/>
      <c r="B12" s="1"/>
      <c r="C12" s="1"/>
      <c r="D12" s="17"/>
      <c r="E12" s="15"/>
      <c r="F12" s="17">
        <f t="shared" si="0"/>
        <v>0</v>
      </c>
      <c r="G12" s="19">
        <f>IF(F12=0,0,9999)</f>
        <v>0</v>
      </c>
      <c r="H12" s="19">
        <f t="shared" ref="H12" si="3">IF(G12=0,0,1.13*E12)</f>
        <v>0</v>
      </c>
      <c r="I12" s="19">
        <f t="shared" si="2"/>
        <v>0</v>
      </c>
      <c r="J12" s="19"/>
      <c r="L12" s="19">
        <f t="shared" si="1"/>
        <v>0</v>
      </c>
    </row>
    <row r="13" spans="1:12" x14ac:dyDescent="0.2">
      <c r="A13" s="12" t="s">
        <v>18</v>
      </c>
      <c r="B13" s="1"/>
      <c r="C13" s="21"/>
      <c r="D13" s="17">
        <v>7</v>
      </c>
      <c r="E13" s="15">
        <f>SUMPRODUCT((B4=[1]travail!A4:A62)*([1]travail!DC3:DU3="marcheur dim")*([1]travail!DC4:DU62)+(B5=[1]travail!A4:A62)*([1]travail!DC3:DU3="marcheur dim")*([1]travail!DC4:DU62)+(B6=[1]travail!A4:A62)*([1]travail!DC3:DU3="marcheur dim")*([1]travail!DC4:DU62)+(B3=[1]travail!A4:A62)*([1]travail!DC3:DU3="marcheur dim")*([1]travail!DC4:DU62))</f>
        <v>0</v>
      </c>
      <c r="F13" s="17">
        <f t="shared" si="0"/>
        <v>0</v>
      </c>
      <c r="G13" s="19">
        <f>IF(F13=0,0,4.5*E13)</f>
        <v>0</v>
      </c>
      <c r="H13" s="19">
        <f>IF(G13=0,0,1.88*E13)</f>
        <v>0</v>
      </c>
      <c r="I13" s="19">
        <f t="shared" si="2"/>
        <v>0</v>
      </c>
      <c r="J13" s="19">
        <f>IF(H13=0,0,0.38*E13)</f>
        <v>0</v>
      </c>
      <c r="L13" s="19">
        <f t="shared" si="1"/>
        <v>0</v>
      </c>
    </row>
    <row r="14" spans="1:12" x14ac:dyDescent="0.2">
      <c r="A14" s="1"/>
      <c r="B14" s="1"/>
      <c r="C14" s="1"/>
      <c r="D14" s="17"/>
      <c r="E14" s="15"/>
      <c r="F14" s="17">
        <f t="shared" si="0"/>
        <v>0</v>
      </c>
      <c r="G14" s="19">
        <f>IF(F14=0,0,0)</f>
        <v>0</v>
      </c>
      <c r="H14" s="19"/>
      <c r="I14" s="19"/>
      <c r="J14" s="19"/>
      <c r="L14" s="19">
        <f t="shared" si="1"/>
        <v>0</v>
      </c>
    </row>
    <row r="15" spans="1:12" x14ac:dyDescent="0.2">
      <c r="A15" s="12" t="s">
        <v>19</v>
      </c>
      <c r="B15" s="1"/>
      <c r="C15" s="1" t="s">
        <v>20</v>
      </c>
      <c r="D15" s="17">
        <v>14</v>
      </c>
      <c r="E15" s="15">
        <f>SUMPRODUCT((B4=[1]travail!A4:A62)*([1]travail!DC3:DU3="tapis")*([1]travail!DC4:DU62)+(B5=[1]travail!A4:A62)*([1]travail!DC3:DU3="tapis")*([1]travail!DC4:DU62)+(B6=[1]travail!A4:A62)*([1]travail!DC3:DU3="tapis")*([1]travail!DC4:DU62)+(B3=[1]travail!A4:A62)*([1]travail!DC3:DU3="tapis")*([1]travail!DC4:DU62))</f>
        <v>0</v>
      </c>
      <c r="F15" s="17">
        <f t="shared" si="0"/>
        <v>0</v>
      </c>
      <c r="G15" s="19">
        <f>IF(F15=0,0,11.5*E15)</f>
        <v>0</v>
      </c>
      <c r="H15" s="19">
        <f>IF(G15=0,0,1.56*E15)</f>
        <v>0</v>
      </c>
      <c r="I15" s="19">
        <f>IF(G15=0,0,0.63*E15)</f>
        <v>0</v>
      </c>
      <c r="J15" s="19">
        <f>IF(H15=0,0,0.31*E15)</f>
        <v>0</v>
      </c>
      <c r="L15" s="19">
        <f t="shared" si="1"/>
        <v>0</v>
      </c>
    </row>
    <row r="16" spans="1:12" x14ac:dyDescent="0.2">
      <c r="A16" s="1"/>
      <c r="B16" s="1" t="s">
        <v>21</v>
      </c>
      <c r="C16" s="1"/>
      <c r="D16" s="17">
        <v>250</v>
      </c>
      <c r="E16" s="15"/>
      <c r="F16" s="17">
        <f t="shared" si="0"/>
        <v>0</v>
      </c>
      <c r="G16" s="19"/>
      <c r="H16" s="19"/>
      <c r="I16" s="19"/>
      <c r="J16" s="19">
        <f t="shared" ref="J16" si="4">IF(H16=0,0,0.31*E16)</f>
        <v>0</v>
      </c>
      <c r="L16" s="19">
        <f t="shared" si="1"/>
        <v>0</v>
      </c>
    </row>
    <row r="17" spans="1:12" x14ac:dyDescent="0.2">
      <c r="A17" s="12" t="s">
        <v>22</v>
      </c>
      <c r="B17" s="1"/>
      <c r="C17" s="1"/>
      <c r="D17" s="17">
        <v>28</v>
      </c>
      <c r="E17" s="15">
        <f>SUMPRODUCT((B4=[1]travail!A4:A62)*([1]travail!DC3:DU3="total collectifs")*([1]travail!DC4:DU62)+(B5=[1]travail!A4:A62)*([1]travail!DC3:DU3="total collectifs")*([1]travail!DC4:DU62)+(B6=[1]travail!A4:A62)*([1]travail!DC3:DU3="total collectifs")*([1]travail!DC4:DU62)+(B3=[1]travail!A4:A62)*([1]travail!DC3:DU3="total collectifs")*([1]travail!DC4:DU62))</f>
        <v>1</v>
      </c>
      <c r="F17" s="17">
        <f t="shared" si="0"/>
        <v>28</v>
      </c>
      <c r="H17" s="19">
        <f>IF(F17&gt;0,23.33*E17,0)</f>
        <v>23.33</v>
      </c>
      <c r="I17" s="19"/>
      <c r="J17" s="19">
        <f>IF(H17=0,0,H17*20%)</f>
        <v>4.6659999999999995</v>
      </c>
      <c r="L17" s="19">
        <f t="shared" si="1"/>
        <v>27.995999999999999</v>
      </c>
    </row>
    <row r="18" spans="1:12" x14ac:dyDescent="0.2">
      <c r="A18" s="22" t="s">
        <v>23</v>
      </c>
      <c r="B18" s="1" t="s">
        <v>24</v>
      </c>
      <c r="C18" s="1"/>
      <c r="D18" s="17">
        <v>36</v>
      </c>
      <c r="E18" s="15">
        <f>IF(A19&lt;=7,A19,0)</f>
        <v>0</v>
      </c>
      <c r="F18" s="17">
        <f t="shared" si="0"/>
        <v>0</v>
      </c>
      <c r="G18" s="19"/>
      <c r="H18" s="19">
        <f>IF(F18&gt;0,30*E18,0)</f>
        <v>0</v>
      </c>
      <c r="I18" s="19"/>
      <c r="J18" s="19">
        <f>IF(H18=0,0,H18*20%)</f>
        <v>0</v>
      </c>
      <c r="L18" s="19">
        <f t="shared" si="1"/>
        <v>0</v>
      </c>
    </row>
    <row r="19" spans="1:12" x14ac:dyDescent="0.2">
      <c r="A19" s="23">
        <f>SUMPRODUCT((B4=[1]travail!A4:A62)*([1]travail!DC3:DU3="total cours")*([1]travail!DC4:DU62)+(B5=[1]travail!A4:A62)*([1]travail!DC3:DU3="total cours")*([1]travail!DC4:DU62)+(B6=[1]travail!A4:A62)*([1]travail!DC3:DU3="total cours")*([1]travail!DC4:DU62)+(B3=[1]travail!A4:A62)*([1]travail!DC3:DU3="total cours")*([1]travail!DC4:DU62))</f>
        <v>0</v>
      </c>
      <c r="B19" s="1" t="s">
        <v>25</v>
      </c>
      <c r="C19" s="1"/>
      <c r="D19" s="17">
        <v>34</v>
      </c>
      <c r="E19" s="15">
        <f>IF(AND(A19&gt;7,A19&lt;12),A19,0)</f>
        <v>0</v>
      </c>
      <c r="F19" s="17">
        <f t="shared" si="0"/>
        <v>0</v>
      </c>
      <c r="G19" s="19"/>
      <c r="H19" s="19">
        <f>IF(F19&gt;0,28.33*E19,0)</f>
        <v>0</v>
      </c>
      <c r="I19" s="19"/>
      <c r="J19" s="19">
        <f>IF(H19=0,0,H19*20%)</f>
        <v>0</v>
      </c>
      <c r="L19" s="19">
        <f t="shared" si="1"/>
        <v>0</v>
      </c>
    </row>
    <row r="20" spans="1:12" x14ac:dyDescent="0.2">
      <c r="A20" s="24"/>
      <c r="B20" s="1" t="s">
        <v>26</v>
      </c>
      <c r="C20" s="1"/>
      <c r="D20" s="17">
        <v>32</v>
      </c>
      <c r="E20" s="15">
        <f>IF(AND(A19&gt;11,A19&lt;17),A19,0)</f>
        <v>0</v>
      </c>
      <c r="F20" s="17">
        <f t="shared" si="0"/>
        <v>0</v>
      </c>
      <c r="G20" s="19"/>
      <c r="H20" s="19">
        <f>IF(F20&gt;0,26.67*E20,0)</f>
        <v>0</v>
      </c>
      <c r="I20" s="19"/>
      <c r="J20" s="19">
        <f>IF(H20=0,0,H20*20%)</f>
        <v>0</v>
      </c>
      <c r="L20" s="19">
        <f t="shared" si="1"/>
        <v>0</v>
      </c>
    </row>
    <row r="21" spans="1:12" x14ac:dyDescent="0.2">
      <c r="A21" s="24"/>
      <c r="B21" s="1" t="s">
        <v>27</v>
      </c>
      <c r="C21" s="1"/>
      <c r="D21" s="17">
        <v>30</v>
      </c>
      <c r="E21" s="15">
        <f>IF(A19&gt;16,A19,0)</f>
        <v>0</v>
      </c>
      <c r="F21" s="17">
        <f t="shared" si="0"/>
        <v>0</v>
      </c>
      <c r="G21" s="19"/>
      <c r="H21" s="19">
        <f>IF(F21&gt;0,25*E21,0)</f>
        <v>0</v>
      </c>
      <c r="I21" s="19"/>
      <c r="J21" s="19">
        <f>IF(H21=0,0,H21*20%)</f>
        <v>0</v>
      </c>
      <c r="L21" s="19">
        <f t="shared" si="1"/>
        <v>0</v>
      </c>
    </row>
    <row r="22" spans="1:12" s="1" customFormat="1" ht="19" x14ac:dyDescent="0.25">
      <c r="A22" s="25" t="s">
        <v>28</v>
      </c>
      <c r="D22" s="17"/>
      <c r="E22" s="15"/>
      <c r="F22" s="17">
        <f t="shared" si="0"/>
        <v>0</v>
      </c>
      <c r="G22" s="26"/>
      <c r="H22" s="19">
        <f t="shared" ref="H22" si="5">IF(F22&gt;0,25*E22,0)</f>
        <v>0</v>
      </c>
      <c r="I22" s="26"/>
      <c r="J22" s="19">
        <f t="shared" ref="J22" si="6">IF(H22=0,0,H22*20%*E22)</f>
        <v>0</v>
      </c>
      <c r="L22" s="19">
        <f t="shared" si="1"/>
        <v>0</v>
      </c>
    </row>
    <row r="23" spans="1:12" s="1" customFormat="1" x14ac:dyDescent="0.2">
      <c r="A23" s="1" t="s">
        <v>29</v>
      </c>
      <c r="B23" s="1" t="str">
        <f>[1]concours!B3</f>
        <v>Sciez 27 et 28 février</v>
      </c>
      <c r="D23" s="17">
        <f>[1]concours!C4</f>
        <v>20</v>
      </c>
      <c r="E23" s="15">
        <f>SUMPRODUCT((B4=[1]concours!A6:A13)*([1]concours!B5:Z5="deten1")*([1]concours!B6:Z13)+(B5=[1]concours!A6:A13)*([1]concours!B5:Z5="deten1")*([1]concours!B6:Z13)+(B6=[1]concours!A6:A13)*([1]concours!B5:Z5="deten1")*([1]concours!B6:Z13))</f>
        <v>0</v>
      </c>
      <c r="F23" s="17">
        <f t="shared" si="0"/>
        <v>0</v>
      </c>
      <c r="G23" s="26"/>
      <c r="H23" s="19">
        <f>IF(F23&gt;0,16.67*E23,0)</f>
        <v>0</v>
      </c>
      <c r="I23" s="26"/>
      <c r="J23" s="19">
        <f>IF(H23=0,0,H23*20%)</f>
        <v>0</v>
      </c>
      <c r="L23" s="19">
        <f t="shared" si="1"/>
        <v>0</v>
      </c>
    </row>
    <row r="24" spans="1:12" s="1" customFormat="1" ht="15" customHeight="1" x14ac:dyDescent="0.2">
      <c r="A24" s="1" t="s">
        <v>29</v>
      </c>
      <c r="B24" s="1">
        <f>[1]concours!G3</f>
        <v>0</v>
      </c>
      <c r="D24" s="17">
        <f>[1]concours!H4</f>
        <v>20</v>
      </c>
      <c r="E24" s="15">
        <f>SUMPRODUCT((B4=[1]concours!A6:A13)*([1]concours!B5:Z5="deten2")*([1]concours!B6:Z13)+(B5=[1]concours!A6:A13)*([1]concours!B5:Z5="deten2")*([1]concours!B6:Z13)+(B6=[1]concours!A6:A13)*([1]concours!B5:Z5="deten2")*([1]concours!B6:Z13))</f>
        <v>0</v>
      </c>
      <c r="F24" s="17">
        <f t="shared" si="0"/>
        <v>0</v>
      </c>
      <c r="G24" s="26"/>
      <c r="H24" s="19">
        <f t="shared" ref="H24:H27" si="7">IF(F24&gt;0,16.67*E24,0)</f>
        <v>0</v>
      </c>
      <c r="I24" s="26"/>
      <c r="J24" s="19">
        <f>IF(H24=0,0,H24*20%)</f>
        <v>0</v>
      </c>
      <c r="L24" s="19">
        <f t="shared" si="1"/>
        <v>0</v>
      </c>
    </row>
    <row r="25" spans="1:12" s="1" customFormat="1" ht="15" customHeight="1" x14ac:dyDescent="0.2">
      <c r="A25" s="1" t="s">
        <v>29</v>
      </c>
      <c r="B25" s="1">
        <f>[1]concours!L3</f>
        <v>0</v>
      </c>
      <c r="D25" s="17">
        <f>[1]concours!M4</f>
        <v>20</v>
      </c>
      <c r="E25" s="15">
        <f>SUMPRODUCT((B4=[1]concours!A6:A13)*([1]concours!B5:Z5="deten3")*([1]concours!B6:Z13)+(B5=[1]concours!A6:A13)*([1]concours!B5:Z5="deten3")*([1]concours!B6:Z13)+(B6=[1]concours!A6:A13)*([1]concours!B5:Z5="deten3")*([1]concours!B6:Z13))</f>
        <v>0</v>
      </c>
      <c r="F25" s="17">
        <f t="shared" si="0"/>
        <v>0</v>
      </c>
      <c r="G25" s="26"/>
      <c r="H25" s="19">
        <f t="shared" si="7"/>
        <v>0</v>
      </c>
      <c r="I25" s="26"/>
      <c r="J25" s="19">
        <f>IF(H25=0,0,H25*20%)</f>
        <v>0</v>
      </c>
      <c r="L25" s="19">
        <f t="shared" si="1"/>
        <v>0</v>
      </c>
    </row>
    <row r="26" spans="1:12" s="1" customFormat="1" ht="15" customHeight="1" x14ac:dyDescent="0.2">
      <c r="A26" s="1" t="s">
        <v>29</v>
      </c>
      <c r="B26" s="1">
        <f>[1]concours!Q3</f>
        <v>0</v>
      </c>
      <c r="D26" s="17">
        <f>[1]concours!R4</f>
        <v>20</v>
      </c>
      <c r="E26" s="15">
        <f>SUMPRODUCT((B4=[1]concours!A6:A13)*([1]concours!B5:Z5="deten4")*([1]concours!B6:Z13)+(B5=[1]concours!A6:A13)*([1]concours!B5:Z5="deten4")*([1]concours!B6:Z13)+(B6=[1]concours!A6:A13)*([1]concours!B5:Z5="deten4")*([1]concours!B6:Z13))</f>
        <v>0</v>
      </c>
      <c r="F26" s="17">
        <f t="shared" si="0"/>
        <v>0</v>
      </c>
      <c r="G26" s="26"/>
      <c r="H26" s="19">
        <f t="shared" si="7"/>
        <v>0</v>
      </c>
      <c r="I26" s="26"/>
      <c r="J26" s="19">
        <f>IF(H26=0,0,H26*20%)</f>
        <v>0</v>
      </c>
      <c r="L26" s="19">
        <f t="shared" si="1"/>
        <v>0</v>
      </c>
    </row>
    <row r="27" spans="1:12" s="1" customFormat="1" ht="15" customHeight="1" x14ac:dyDescent="0.2">
      <c r="A27" s="1" t="s">
        <v>29</v>
      </c>
      <c r="B27" s="1">
        <f>[1]concours!V3</f>
        <v>0</v>
      </c>
      <c r="D27" s="17">
        <f>[1]concours!W4</f>
        <v>20</v>
      </c>
      <c r="E27" s="15">
        <f>SUMPRODUCT((B4=[1]concours!A6:A13)*([1]concours!B5:Z5="deten5")*([1]concours!B6:Z13)+(B5=[1]concours!A6:A13)*([1]concours!B5:Z5="deten5")*([1]concours!B6:Z13)+(B6=[1]concours!A6:A13)*([1]concours!B5:Z5="deten5")*([1]concours!B6:Z13))</f>
        <v>0</v>
      </c>
      <c r="F27" s="17">
        <f t="shared" si="0"/>
        <v>0</v>
      </c>
      <c r="G27" s="26"/>
      <c r="H27" s="19">
        <f t="shared" si="7"/>
        <v>0</v>
      </c>
      <c r="I27" s="26"/>
      <c r="J27" s="19">
        <f>IF(H27=0,0,H27*20%)</f>
        <v>0</v>
      </c>
      <c r="L27" s="19">
        <f t="shared" si="1"/>
        <v>0</v>
      </c>
    </row>
    <row r="28" spans="1:12" s="1" customFormat="1" ht="15" customHeight="1" x14ac:dyDescent="0.2">
      <c r="A28" s="1" t="s">
        <v>30</v>
      </c>
      <c r="B28" s="1" t="str">
        <f>[1]concours!B3</f>
        <v>Sciez 27 et 28 février</v>
      </c>
      <c r="D28" s="17">
        <f>SUMPRODUCT((B4=[1]concours!A6:A13)*([1]concours!B5:Z5="eng1")*([1]concours!B6:Z13)+(B5=[1]concours!A6:A13)*([1]concours!B5:Z5="eng1")*([1]concours!B6:Z13)+(B6=[1]concours!A6:A13)*([1]concours!B5:Z5="eng1")*([1]concours!B6:Z13))</f>
        <v>0</v>
      </c>
      <c r="E28" s="15">
        <v>1</v>
      </c>
      <c r="F28" s="17">
        <f t="shared" si="0"/>
        <v>0</v>
      </c>
      <c r="G28" s="26"/>
      <c r="I28" s="26"/>
      <c r="J28" s="19"/>
      <c r="K28" s="19">
        <f>IF(F28&gt;0,D28*E28,0)</f>
        <v>0</v>
      </c>
      <c r="L28" s="19">
        <f t="shared" si="1"/>
        <v>0</v>
      </c>
    </row>
    <row r="29" spans="1:12" s="1" customFormat="1" ht="15" customHeight="1" x14ac:dyDescent="0.2">
      <c r="A29" s="1" t="s">
        <v>30</v>
      </c>
      <c r="B29" s="1">
        <f>[1]concours!G3</f>
        <v>0</v>
      </c>
      <c r="D29" s="17">
        <f>SUMPRODUCT((B4=[1]concours!A6:A13)*([1]concours!B5:Z5="eng2")*([1]concours!B6:Z13)+(B5=[1]concours!A6:A13)*([1]concours!B5:Z5="eng2")*([1]concours!B6:Z13)+(B6=[1]concours!A6:A13)*([1]concours!B5:Z5="eng2")*([1]concours!B6:Z13))</f>
        <v>0</v>
      </c>
      <c r="E29" s="15">
        <v>1</v>
      </c>
      <c r="F29" s="17">
        <f t="shared" si="0"/>
        <v>0</v>
      </c>
      <c r="G29" s="26"/>
      <c r="I29" s="26"/>
      <c r="J29" s="19"/>
      <c r="K29" s="19">
        <f>IF(F29&gt;0,D29*E29,0)</f>
        <v>0</v>
      </c>
      <c r="L29" s="19">
        <f t="shared" si="1"/>
        <v>0</v>
      </c>
    </row>
    <row r="30" spans="1:12" s="1" customFormat="1" ht="15" customHeight="1" x14ac:dyDescent="0.2">
      <c r="A30" s="1" t="s">
        <v>30</v>
      </c>
      <c r="B30" s="1">
        <f>[1]concours!L3</f>
        <v>0</v>
      </c>
      <c r="D30" s="17">
        <f>SUMPRODUCT((B4=[1]concours!A6:A13)*([1]concours!B5:Z5="eng3")*([1]concours!B6:Z13)+(B5=[1]concours!A6:A13)*([1]concours!B5:Z5="eng3")*([1]concours!B6:Z13)+(B6=[1]concours!A6:A13)*([1]concours!B5:Z5="eng3")*([1]concours!B6:Z13))</f>
        <v>0</v>
      </c>
      <c r="E30" s="15">
        <v>1</v>
      </c>
      <c r="F30" s="17">
        <f t="shared" si="0"/>
        <v>0</v>
      </c>
      <c r="G30" s="26"/>
      <c r="I30" s="26"/>
      <c r="J30" s="19"/>
      <c r="K30" s="19">
        <f>IF(F30&gt;0,D30*E30,0)</f>
        <v>0</v>
      </c>
      <c r="L30" s="19">
        <f t="shared" si="1"/>
        <v>0</v>
      </c>
    </row>
    <row r="31" spans="1:12" s="1" customFormat="1" ht="15" customHeight="1" x14ac:dyDescent="0.2">
      <c r="A31" s="1" t="s">
        <v>30</v>
      </c>
      <c r="B31" s="1">
        <f>[1]concours!Q3</f>
        <v>0</v>
      </c>
      <c r="D31" s="17">
        <f>SUMPRODUCT((B4=[1]concours!A6:A13)*([1]concours!B5:Z5="eng4")*([1]concours!B6:Z13)+(B5=[1]concours!A6:A13)*([1]concours!B5:Z5="eng4")*([1]concours!B6:Z13)+(B6=[1]concours!A6:A13)*([1]concours!B5:Z5="eng4")*([1]concours!B6:Z13))</f>
        <v>0</v>
      </c>
      <c r="E31" s="15">
        <v>1</v>
      </c>
      <c r="F31" s="17">
        <f t="shared" si="0"/>
        <v>0</v>
      </c>
      <c r="G31" s="26"/>
      <c r="I31" s="26"/>
      <c r="J31" s="19"/>
      <c r="K31" s="19">
        <f>IF(F31&gt;0,D31*E31,0)</f>
        <v>0</v>
      </c>
      <c r="L31" s="19">
        <f t="shared" si="1"/>
        <v>0</v>
      </c>
    </row>
    <row r="32" spans="1:12" s="1" customFormat="1" ht="15" customHeight="1" x14ac:dyDescent="0.2">
      <c r="A32" s="1" t="s">
        <v>30</v>
      </c>
      <c r="B32" s="1">
        <f>[1]concours!V3</f>
        <v>0</v>
      </c>
      <c r="D32" s="17">
        <f>SUMPRODUCT((B4=[1]concours!A6:A13)*([1]concours!B5:Z5="eng5")*([1]concours!B6:Z13)+(B5=[1]concours!A6:A13)*([1]concours!B5:Z5="eng5")*([1]concours!B6:Z13)+(B6=[1]concours!A6:A13)*([1]concours!B5:Z5="eng5")*([1]concours!B6:Z13))</f>
        <v>0</v>
      </c>
      <c r="E32" s="15">
        <v>1</v>
      </c>
      <c r="F32" s="17">
        <f t="shared" si="0"/>
        <v>0</v>
      </c>
      <c r="G32" s="26"/>
      <c r="I32" s="26"/>
      <c r="J32" s="19"/>
      <c r="K32" s="19">
        <f>IF(F32&gt;0,D32*E32,0)</f>
        <v>0</v>
      </c>
      <c r="L32" s="19">
        <f t="shared" si="1"/>
        <v>0</v>
      </c>
    </row>
    <row r="33" spans="1:12" s="1" customFormat="1" ht="15" customHeight="1" x14ac:dyDescent="0.2">
      <c r="A33" s="1" t="s">
        <v>31</v>
      </c>
      <c r="B33" s="1" t="str">
        <f>[1]concours!B3</f>
        <v>Sciez 27 et 28 février</v>
      </c>
      <c r="D33" s="17">
        <f>[1]concours!B4</f>
        <v>20</v>
      </c>
      <c r="E33" s="15">
        <f>SUMPRODUCT((B4=[1]concours!A6:A13)*([1]concours!B5:Z5="trsp1")*([1]concours!B6:Z13)+(B5=[1]concours!A6:A13)*([1]concours!B5:Z5="trsp1")*([1]concours!B6:Z13)+(B6=[1]concours!A6:A13)*([1]concours!B5:Z5="trsp1")*([1]concours!B6:Z13))</f>
        <v>0</v>
      </c>
      <c r="F33" s="17">
        <f t="shared" si="0"/>
        <v>0</v>
      </c>
      <c r="G33" s="26"/>
      <c r="H33" s="19">
        <f>IF(F33&gt;0,D33/1.2*E33,0)</f>
        <v>0</v>
      </c>
      <c r="I33" s="26"/>
      <c r="J33" s="19">
        <f>IF(H33=0,0,H33*20%)</f>
        <v>0</v>
      </c>
      <c r="L33" s="19">
        <f t="shared" si="1"/>
        <v>0</v>
      </c>
    </row>
    <row r="34" spans="1:12" s="1" customFormat="1" ht="15" customHeight="1" x14ac:dyDescent="0.2">
      <c r="A34" s="1" t="s">
        <v>31</v>
      </c>
      <c r="B34" s="1">
        <f>[1]concours!G3</f>
        <v>0</v>
      </c>
      <c r="D34" s="17">
        <f>[1]concours!G4</f>
        <v>20</v>
      </c>
      <c r="E34" s="15">
        <f>SUMPRODUCT((B4=[1]concours!A6:A13)*([1]concours!B5:Z5="trsp2")*([1]concours!B6:Z13)+(B5=[1]concours!A6:A13)*([1]concours!B5:Z5="trsp2")*([1]concours!B6:Z13)+(B6=[1]concours!A6:A13)*([1]concours!B5:Z5="trsp2")*([1]concours!B6:Z13))</f>
        <v>0</v>
      </c>
      <c r="F34" s="17">
        <f t="shared" si="0"/>
        <v>0</v>
      </c>
      <c r="G34" s="26"/>
      <c r="H34" s="19">
        <f>IF(F34&gt;0,D34/1.2*E34,0)</f>
        <v>0</v>
      </c>
      <c r="I34" s="26"/>
      <c r="J34" s="19">
        <f t="shared" ref="J34:J51" si="8">IF(H34=0,0,H34*20%)</f>
        <v>0</v>
      </c>
      <c r="L34" s="19">
        <f t="shared" si="1"/>
        <v>0</v>
      </c>
    </row>
    <row r="35" spans="1:12" s="1" customFormat="1" ht="15" customHeight="1" x14ac:dyDescent="0.2">
      <c r="A35" s="1" t="s">
        <v>31</v>
      </c>
      <c r="B35" s="1">
        <f>[1]concours!L3</f>
        <v>0</v>
      </c>
      <c r="D35" s="17">
        <f>[1]concours!L4</f>
        <v>0</v>
      </c>
      <c r="E35" s="15">
        <f>SUMPRODUCT((B4=[1]concours!A6:A13)*([1]concours!B5:Z5="trsp3")*([1]concours!B6:Z13)+(B5=[1]concours!A6:A13)*([1]concours!B5:Z5="trsp3")*([1]concours!B6:Z13)+(B6=[1]concours!A6:A13)*([1]concours!B5:Z5="trsp3")*([1]concours!B6:Z13))</f>
        <v>0</v>
      </c>
      <c r="F35" s="17">
        <f t="shared" si="0"/>
        <v>0</v>
      </c>
      <c r="G35" s="26"/>
      <c r="H35" s="19">
        <f t="shared" ref="H35:H42" si="9">IF(F35&gt;0,D35/1.2*E35,0)</f>
        <v>0</v>
      </c>
      <c r="I35" s="26"/>
      <c r="J35" s="19">
        <f t="shared" si="8"/>
        <v>0</v>
      </c>
      <c r="L35" s="19">
        <f t="shared" si="1"/>
        <v>0</v>
      </c>
    </row>
    <row r="36" spans="1:12" s="1" customFormat="1" ht="15" customHeight="1" x14ac:dyDescent="0.2">
      <c r="A36" s="1" t="s">
        <v>31</v>
      </c>
      <c r="B36" s="1">
        <f>[1]concours!Q3</f>
        <v>0</v>
      </c>
      <c r="D36" s="17">
        <f>[1]concours!Q4</f>
        <v>0</v>
      </c>
      <c r="E36" s="15">
        <f>SUMPRODUCT((B4=[1]concours!A6:A13)*([1]concours!B5:Z5="trsp4")*([1]concours!B6:Z13)+(B5=[1]concours!A6:A13)*([1]concours!B5:Z5="trsp4")*([1]concours!B6:Z13)+(B6=[1]concours!A6:A13)*([1]concours!B5:Z5="trsp4")*([1]concours!B6:Z13))</f>
        <v>0</v>
      </c>
      <c r="F36" s="17">
        <f t="shared" si="0"/>
        <v>0</v>
      </c>
      <c r="G36" s="26"/>
      <c r="H36" s="19">
        <f t="shared" si="9"/>
        <v>0</v>
      </c>
      <c r="I36" s="26"/>
      <c r="J36" s="19">
        <f t="shared" si="8"/>
        <v>0</v>
      </c>
      <c r="L36" s="19">
        <f t="shared" si="1"/>
        <v>0</v>
      </c>
    </row>
    <row r="37" spans="1:12" s="1" customFormat="1" ht="15" customHeight="1" x14ac:dyDescent="0.2">
      <c r="A37" s="1" t="s">
        <v>31</v>
      </c>
      <c r="B37" s="1">
        <f>[1]concours!V3</f>
        <v>0</v>
      </c>
      <c r="D37" s="17">
        <f>[1]concours!V4</f>
        <v>0</v>
      </c>
      <c r="E37" s="15">
        <f>SUMPRODUCT((B4=[1]concours!A6:A13)*([1]concours!B5:Z5="trsp5")*([1]concours!B6:Z13)+(B5=[1]concours!A6:A13)*([1]concours!B5:Z5="trsp5")*([1]concours!B6:Z13)+(B6=[1]concours!A6:A13)*([1]concours!B5:Z5="trsp5")*([1]concours!B6:Z13))</f>
        <v>0</v>
      </c>
      <c r="F37" s="17">
        <f t="shared" si="0"/>
        <v>0</v>
      </c>
      <c r="G37" s="26"/>
      <c r="H37" s="19">
        <f t="shared" si="9"/>
        <v>0</v>
      </c>
      <c r="I37" s="26"/>
      <c r="J37" s="19">
        <f t="shared" si="8"/>
        <v>0</v>
      </c>
      <c r="L37" s="19">
        <f t="shared" si="1"/>
        <v>0</v>
      </c>
    </row>
    <row r="38" spans="1:12" s="1" customFormat="1" ht="15" customHeight="1" x14ac:dyDescent="0.2">
      <c r="A38" s="1" t="s">
        <v>32</v>
      </c>
      <c r="B38" s="1" t="str">
        <f>[1]concours!B3</f>
        <v>Sciez 27 et 28 février</v>
      </c>
      <c r="D38" s="17">
        <f>[1]concours!D4</f>
        <v>1</v>
      </c>
      <c r="E38" s="15">
        <f>SUMPRODUCT((B4=[1]concours!A6:A13)*([1]concours!B5:Z5="boxes1")*([1]concours!B6:Z13)+(B5=[1]concours!A6:A13)*([1]concours!B5:Z5="boxes1")*([1]concours!B6:Z13)+(B6=[1]concours!A6:A13)*([1]concours!B5:Z5="boxes1")*([1]concours!B6:Z13))</f>
        <v>0</v>
      </c>
      <c r="F38" s="17">
        <f t="shared" si="0"/>
        <v>0</v>
      </c>
      <c r="G38" s="26"/>
      <c r="H38" s="19">
        <f t="shared" si="9"/>
        <v>0</v>
      </c>
      <c r="I38" s="26"/>
      <c r="J38" s="19">
        <f t="shared" si="8"/>
        <v>0</v>
      </c>
      <c r="L38" s="19">
        <f t="shared" si="1"/>
        <v>0</v>
      </c>
    </row>
    <row r="39" spans="1:12" s="1" customFormat="1" ht="15" customHeight="1" x14ac:dyDescent="0.2">
      <c r="A39" s="1" t="s">
        <v>32</v>
      </c>
      <c r="B39" s="1">
        <f>[1]concours!G3</f>
        <v>0</v>
      </c>
      <c r="D39" s="17">
        <f>[1]concours!I4</f>
        <v>0</v>
      </c>
      <c r="E39" s="15">
        <f>SUMPRODUCT((B4=[1]concours!A6:A13)*([1]concours!B5:Z5="boxes2")*([1]concours!B6:Z13)+(B5=[1]concours!A6:A13)*([1]concours!B5:Z5="boxes2")*([1]concours!B6:Z13)+(B6=[1]concours!A6:A13)*([1]concours!B5:Z5="boxes2")*([1]concours!B6:Z13))</f>
        <v>0</v>
      </c>
      <c r="F39" s="17">
        <f t="shared" si="0"/>
        <v>0</v>
      </c>
      <c r="G39" s="26"/>
      <c r="H39" s="19">
        <f t="shared" si="9"/>
        <v>0</v>
      </c>
      <c r="I39" s="26"/>
      <c r="J39" s="19">
        <f t="shared" si="8"/>
        <v>0</v>
      </c>
      <c r="L39" s="19">
        <f t="shared" si="1"/>
        <v>0</v>
      </c>
    </row>
    <row r="40" spans="1:12" s="1" customFormat="1" ht="15" customHeight="1" x14ac:dyDescent="0.2">
      <c r="A40" s="1" t="s">
        <v>32</v>
      </c>
      <c r="B40" s="1">
        <f>[1]concours!L3</f>
        <v>0</v>
      </c>
      <c r="D40" s="17">
        <f>[1]concours!N4</f>
        <v>0</v>
      </c>
      <c r="E40" s="15">
        <f>SUMPRODUCT((B4=[1]concours!A6:A13)*([1]concours!B5:Z5="boxes3")*([1]concours!B6:Z13)+(B5=[1]concours!A6:A13)*([1]concours!B5:Z5="boxes3")*([1]concours!B6:Z13)+(B6=[1]concours!A6:A13)*([1]concours!B5:Z5="boxes3")*([1]concours!B6:Z13))</f>
        <v>0</v>
      </c>
      <c r="F40" s="17">
        <f t="shared" si="0"/>
        <v>0</v>
      </c>
      <c r="G40" s="26"/>
      <c r="H40" s="19">
        <f t="shared" si="9"/>
        <v>0</v>
      </c>
      <c r="I40" s="26"/>
      <c r="J40" s="19">
        <f t="shared" si="8"/>
        <v>0</v>
      </c>
      <c r="L40" s="19">
        <f t="shared" si="1"/>
        <v>0</v>
      </c>
    </row>
    <row r="41" spans="1:12" s="1" customFormat="1" ht="15" customHeight="1" x14ac:dyDescent="0.2">
      <c r="A41" s="1" t="s">
        <v>32</v>
      </c>
      <c r="B41" s="1">
        <f>[1]concours!Q3</f>
        <v>0</v>
      </c>
      <c r="D41" s="17">
        <f>[1]concours!S4</f>
        <v>1</v>
      </c>
      <c r="E41" s="15">
        <f>SUMPRODUCT((B4=[1]concours!A6:A13)*([1]concours!B5:Z5="boxes4")*([1]concours!B6:Z13)+(B5=[1]concours!A6:A13)*([1]concours!B5:Z5="boxes4")*([1]concours!B6:Z13)+(B6=[1]concours!A6:A13)*([1]concours!B5:Z5="boxes4")*([1]concours!B6:Z13))</f>
        <v>0</v>
      </c>
      <c r="F41" s="17">
        <f t="shared" si="0"/>
        <v>0</v>
      </c>
      <c r="G41" s="26"/>
      <c r="H41" s="19">
        <f t="shared" si="9"/>
        <v>0</v>
      </c>
      <c r="I41" s="26"/>
      <c r="J41" s="19">
        <f t="shared" si="8"/>
        <v>0</v>
      </c>
      <c r="L41" s="19">
        <f t="shared" si="1"/>
        <v>0</v>
      </c>
    </row>
    <row r="42" spans="1:12" s="1" customFormat="1" ht="15" customHeight="1" x14ac:dyDescent="0.2">
      <c r="A42" s="1" t="s">
        <v>32</v>
      </c>
      <c r="B42" s="1">
        <f>[1]concours!V3</f>
        <v>0</v>
      </c>
      <c r="D42" s="17">
        <f>[1]concours!X4</f>
        <v>0</v>
      </c>
      <c r="E42" s="15">
        <f>SUMPRODUCT((B4=[1]concours!A6:A13)*([1]concours!B5:Z5="boxes5")*([1]concours!B6:Z13)+(B5=[1]concours!A6:A13)*([1]concours!B5:Z5="boxes5")*([1]concours!B6:Z13)+(B6=[1]concours!A6:A13)*([1]concours!B5:Z5="boxes5")*([1]concours!B6:Z13))</f>
        <v>0</v>
      </c>
      <c r="F42" s="17">
        <f t="shared" si="0"/>
        <v>0</v>
      </c>
      <c r="G42" s="26"/>
      <c r="H42" s="19">
        <f t="shared" si="9"/>
        <v>0</v>
      </c>
      <c r="I42" s="26"/>
      <c r="J42" s="19">
        <f t="shared" si="8"/>
        <v>0</v>
      </c>
      <c r="L42" s="19">
        <f t="shared" si="1"/>
        <v>0</v>
      </c>
    </row>
    <row r="43" spans="1:12" s="1" customFormat="1" ht="15" customHeight="1" x14ac:dyDescent="0.2">
      <c r="A43" s="1" t="s">
        <v>33</v>
      </c>
      <c r="D43" s="17">
        <f>SUMPRODUCT((B4=[1]concours!A6:A13)*([1]concours!B5:Z5="gains")*([1]concours!B6:Z13)+(B5=[1]concours!A6:A13)*([1]concours!B5:Z5="gains")*([1]concours!B6:Z13)+(B6=[1]concours!A6:A13)*([1]concours!B5:Z5="gains")*([1]concours!B6:Z13))</f>
        <v>0</v>
      </c>
      <c r="E43" s="15"/>
      <c r="F43" s="17">
        <f>-D43</f>
        <v>0</v>
      </c>
      <c r="G43" s="26"/>
      <c r="H43" s="26">
        <f>IF(F43&gt;0,-D43*E43,0)</f>
        <v>0</v>
      </c>
      <c r="I43" s="26"/>
      <c r="J43" s="19"/>
      <c r="L43" s="19">
        <f t="shared" si="1"/>
        <v>0</v>
      </c>
    </row>
    <row r="44" spans="1:12" x14ac:dyDescent="0.2">
      <c r="A44" s="12" t="s">
        <v>34</v>
      </c>
      <c r="B44" s="1"/>
      <c r="C44" s="1"/>
      <c r="D44" s="17"/>
      <c r="E44" s="15"/>
      <c r="F44" s="17">
        <f t="shared" ref="F44:F51" si="10">D44*E44</f>
        <v>0</v>
      </c>
      <c r="G44" s="19"/>
      <c r="H44" s="19"/>
      <c r="I44" s="19"/>
      <c r="J44" s="19"/>
      <c r="L44" s="19">
        <f t="shared" si="1"/>
        <v>0</v>
      </c>
    </row>
    <row r="45" spans="1:12" x14ac:dyDescent="0.2">
      <c r="A45" s="12" t="s">
        <v>35</v>
      </c>
      <c r="B45" s="1"/>
      <c r="C45" s="1" t="s">
        <v>20</v>
      </c>
      <c r="D45" s="17">
        <v>1.7</v>
      </c>
      <c r="E45" s="15">
        <f>SUMPRODUCT((B4=[1]travail!A4:A62)*([1]travail!DC3:DU3="couvertures")*([1]travail!DC4:DU62)+(B5=[1]travail!A4:A62)*([1]travail!DC3:DU3="couvertures")*([1]travail!DC4:DU62)+(B6=[1]travail!A4:A62)*([1]travail!DC3:DU3="couvertures")*([1]travail!DC4:DU62))</f>
        <v>0</v>
      </c>
      <c r="F45" s="17">
        <f t="shared" si="10"/>
        <v>0</v>
      </c>
      <c r="G45" s="19"/>
      <c r="H45" s="19">
        <f>IF(F45&gt;0,D45/1.2*E45,0)</f>
        <v>0</v>
      </c>
      <c r="I45" s="19"/>
      <c r="J45" s="19">
        <f t="shared" si="8"/>
        <v>0</v>
      </c>
      <c r="L45" s="19">
        <f t="shared" si="1"/>
        <v>0</v>
      </c>
    </row>
    <row r="46" spans="1:12" x14ac:dyDescent="0.2">
      <c r="A46" s="1"/>
      <c r="B46" s="1" t="s">
        <v>36</v>
      </c>
      <c r="C46" s="1"/>
      <c r="D46" s="17">
        <v>40</v>
      </c>
      <c r="E46" s="15">
        <f>SUMPRODUCT((B4=[1]travail!A4:A62)*([1]travail!DC3:DU3="forfait couv")*([1]travail!DC4:DU62)+(B5=[1]travail!A4:A62)*([1]travail!DC3:DU3="forfait couv")*([1]travail!DC4:DU62)+(B6=[1]travail!A4:A62)*([1]travail!DC3:DU3="forfait couv")*([1]travail!DC4:DU62))</f>
        <v>0</v>
      </c>
      <c r="F46" s="17">
        <f t="shared" si="10"/>
        <v>0</v>
      </c>
      <c r="G46" s="19"/>
      <c r="H46" s="19">
        <f t="shared" ref="H46:H51" si="11">IF(F46&gt;0,D46/1.2*E46,0)</f>
        <v>0</v>
      </c>
      <c r="I46" s="19"/>
      <c r="J46" s="19">
        <f t="shared" si="8"/>
        <v>0</v>
      </c>
      <c r="L46" s="19">
        <f t="shared" si="1"/>
        <v>0</v>
      </c>
    </row>
    <row r="47" spans="1:12" x14ac:dyDescent="0.2">
      <c r="A47" s="12" t="s">
        <v>37</v>
      </c>
      <c r="B47" s="1"/>
      <c r="C47" s="1"/>
      <c r="D47" s="17"/>
      <c r="E47" s="15"/>
      <c r="F47" s="17">
        <f t="shared" si="10"/>
        <v>0</v>
      </c>
      <c r="G47" s="19"/>
      <c r="H47" s="19">
        <f t="shared" si="11"/>
        <v>0</v>
      </c>
      <c r="I47" s="19"/>
      <c r="J47" s="19"/>
      <c r="L47" s="19">
        <f t="shared" si="1"/>
        <v>0</v>
      </c>
    </row>
    <row r="48" spans="1:12" x14ac:dyDescent="0.2">
      <c r="A48" s="1"/>
      <c r="B48" s="1" t="s">
        <v>38</v>
      </c>
      <c r="C48" s="1"/>
      <c r="D48" s="17">
        <v>70</v>
      </c>
      <c r="E48" s="15">
        <f>SUMPRODUCT((B4=[1]travail!A4:A62)*([1]travail!DC3:DU3="tonte 70")*([1]travail!DC4:DU62)+(B5=[1]travail!A4:A62)*([1]travail!DC3:DU3="tonte 70")*([1]travail!DC4:DU62)+(B6=[1]travail!A4:A62)*([1]travail!DC3:DU3="tonte 70")*([1]travail!DC4:DU62))</f>
        <v>0</v>
      </c>
      <c r="F48" s="17">
        <f t="shared" si="10"/>
        <v>0</v>
      </c>
      <c r="G48" s="19"/>
      <c r="H48" s="19">
        <f t="shared" si="11"/>
        <v>0</v>
      </c>
      <c r="I48" s="19"/>
      <c r="J48" s="19">
        <f t="shared" si="8"/>
        <v>0</v>
      </c>
      <c r="L48" s="19">
        <f t="shared" si="1"/>
        <v>0</v>
      </c>
    </row>
    <row r="49" spans="1:12" x14ac:dyDescent="0.2">
      <c r="A49" s="1"/>
      <c r="B49" s="1" t="s">
        <v>39</v>
      </c>
      <c r="C49" s="1" t="s">
        <v>85</v>
      </c>
      <c r="D49" s="17">
        <v>90</v>
      </c>
      <c r="E49" s="15">
        <f>SUMPRODUCT((B4=[1]travail!A4:A62)*([1]travail!DC3:DU3="tonte 90")*([1]travail!DC4:DU62)+(B5=[1]travail!A4:A62)*([1]travail!DC3:DU3="tonte 90")*([1]travail!DC4:DU62)+(B6=[1]travail!A4:A62)*([1]travail!DC3:DU3="tonte 90")*([1]travail!DC4:DU62))</f>
        <v>0</v>
      </c>
      <c r="F49" s="17">
        <f t="shared" si="10"/>
        <v>0</v>
      </c>
      <c r="G49" s="19"/>
      <c r="H49" s="19">
        <f t="shared" si="11"/>
        <v>0</v>
      </c>
      <c r="I49" s="19"/>
      <c r="J49" s="19">
        <f t="shared" si="8"/>
        <v>0</v>
      </c>
      <c r="L49" s="19">
        <f t="shared" si="1"/>
        <v>0</v>
      </c>
    </row>
    <row r="50" spans="1:12" x14ac:dyDescent="0.2">
      <c r="A50" s="1"/>
      <c r="B50" s="1" t="s">
        <v>40</v>
      </c>
      <c r="C50" s="1"/>
      <c r="D50" s="27">
        <v>5</v>
      </c>
      <c r="E50" s="15">
        <f>SUMPRODUCT((B4=[1]travail!A4:A62)*([1]travail!DC3:DU3="main")*([1]travail!DC4:DU62)+(B5=[1]travail!A4:A62)*([1]travail!DC3:DU3="main")*([1]travail!DC4:DU62)+(B6=[1]travail!A4:A62)*([1]travail!DC3:DU3="main")*([1]travail!DC4:DU62))</f>
        <v>0</v>
      </c>
      <c r="F50" s="17">
        <f t="shared" si="10"/>
        <v>0</v>
      </c>
      <c r="G50" s="19"/>
      <c r="H50" s="19">
        <f t="shared" si="11"/>
        <v>0</v>
      </c>
      <c r="I50" s="19"/>
      <c r="J50" s="19">
        <f t="shared" si="8"/>
        <v>0</v>
      </c>
      <c r="L50" s="19">
        <f t="shared" si="1"/>
        <v>0</v>
      </c>
    </row>
    <row r="51" spans="1:12" x14ac:dyDescent="0.2">
      <c r="A51" s="1"/>
      <c r="B51" s="28"/>
      <c r="C51" s="28"/>
      <c r="D51" s="27"/>
      <c r="E51" s="18"/>
      <c r="F51" s="27">
        <f t="shared" si="10"/>
        <v>0</v>
      </c>
      <c r="G51" s="19"/>
      <c r="H51" s="19">
        <f t="shared" si="11"/>
        <v>0</v>
      </c>
      <c r="I51" s="19"/>
      <c r="J51" s="19">
        <f t="shared" si="8"/>
        <v>0</v>
      </c>
      <c r="L51" s="19">
        <f t="shared" si="1"/>
        <v>0</v>
      </c>
    </row>
    <row r="52" spans="1:12" x14ac:dyDescent="0.2">
      <c r="A52" s="1"/>
      <c r="B52" s="1"/>
      <c r="C52" s="1"/>
      <c r="D52" s="1"/>
      <c r="E52" s="4" t="s">
        <v>41</v>
      </c>
      <c r="F52" s="29">
        <f>SUM(F7:F51)</f>
        <v>686</v>
      </c>
      <c r="G52" s="19">
        <f>SUM(G9:G51)</f>
        <v>0</v>
      </c>
      <c r="H52" s="19">
        <f>SUM(H9:H51)</f>
        <v>23.33</v>
      </c>
      <c r="I52" s="19">
        <f>SUM(I9:I51)</f>
        <v>0</v>
      </c>
      <c r="J52" s="19">
        <f>SUM(J9:J51)</f>
        <v>4.6659999999999995</v>
      </c>
      <c r="K52" s="3" t="s">
        <v>42</v>
      </c>
    </row>
    <row r="53" spans="1:12" x14ac:dyDescent="0.2">
      <c r="A53" s="1"/>
      <c r="B53" s="1"/>
      <c r="C53" s="1"/>
      <c r="D53" s="1"/>
      <c r="E53" s="13" t="s">
        <v>43</v>
      </c>
      <c r="F53" s="30">
        <f>F52</f>
        <v>686</v>
      </c>
      <c r="G53" s="31"/>
      <c r="H53" s="19"/>
      <c r="I53" s="95">
        <f>I7+I52</f>
        <v>31.9</v>
      </c>
      <c r="J53" s="32">
        <f>J7+J52</f>
        <v>12.346</v>
      </c>
      <c r="K53" s="33" t="s">
        <v>12</v>
      </c>
    </row>
    <row r="54" spans="1:12" x14ac:dyDescent="0.2">
      <c r="A54" s="3" t="s">
        <v>76</v>
      </c>
      <c r="E54" s="92"/>
      <c r="F54" s="28"/>
      <c r="G54" s="35"/>
      <c r="I54" s="95">
        <f>F86*5.5%</f>
        <v>31.9</v>
      </c>
      <c r="J54" s="19">
        <f>F88*20%</f>
        <v>12.350000000000001</v>
      </c>
      <c r="K54" s="3" t="s">
        <v>44</v>
      </c>
    </row>
    <row r="55" spans="1:12" x14ac:dyDescent="0.2">
      <c r="F55" s="87" t="s">
        <v>69</v>
      </c>
      <c r="I55" s="95">
        <f>I53-I54</f>
        <v>0</v>
      </c>
      <c r="J55" s="19">
        <f>J53-J54</f>
        <v>-4.0000000000013358E-3</v>
      </c>
      <c r="K55" s="3" t="s">
        <v>45</v>
      </c>
    </row>
    <row r="59" spans="1:12" x14ac:dyDescent="0.2">
      <c r="A59" s="37"/>
      <c r="B59" s="37"/>
    </row>
    <row r="60" spans="1:12" x14ac:dyDescent="0.2">
      <c r="A60" s="37"/>
      <c r="B60" s="37"/>
      <c r="D60" s="38" t="s">
        <v>46</v>
      </c>
      <c r="E60" s="39" t="s">
        <v>47</v>
      </c>
      <c r="F60" s="40" t="s">
        <v>77</v>
      </c>
    </row>
    <row r="61" spans="1:12" x14ac:dyDescent="0.2">
      <c r="A61" s="37"/>
      <c r="B61" s="37"/>
    </row>
    <row r="62" spans="1:12" x14ac:dyDescent="0.2">
      <c r="A62" s="37"/>
      <c r="B62" s="37"/>
      <c r="D62" s="41" t="s">
        <v>49</v>
      </c>
      <c r="E62" s="110">
        <f>DATE(2016,3,1)</f>
        <v>42430</v>
      </c>
      <c r="F62" s="110"/>
    </row>
    <row r="63" spans="1:12" x14ac:dyDescent="0.2">
      <c r="A63" s="37"/>
      <c r="B63" s="37"/>
    </row>
    <row r="64" spans="1:12" x14ac:dyDescent="0.2">
      <c r="A64" s="37"/>
      <c r="B64" s="37"/>
    </row>
    <row r="65" spans="1:6" x14ac:dyDescent="0.2">
      <c r="A65" s="37"/>
      <c r="B65" s="37"/>
    </row>
    <row r="66" spans="1:6" x14ac:dyDescent="0.2">
      <c r="A66" s="37"/>
      <c r="B66" s="37"/>
    </row>
    <row r="67" spans="1:6" x14ac:dyDescent="0.2">
      <c r="A67" s="37"/>
      <c r="B67" s="37"/>
    </row>
    <row r="68" spans="1:6" x14ac:dyDescent="0.2">
      <c r="A68" s="37"/>
      <c r="B68" s="37"/>
    </row>
    <row r="69" spans="1:6" ht="24" x14ac:dyDescent="0.35">
      <c r="A69" s="42" t="s">
        <v>50</v>
      </c>
      <c r="B69" s="37"/>
      <c r="D69" s="3" t="str">
        <f>E4</f>
        <v>ddddd</v>
      </c>
    </row>
    <row r="70" spans="1:6" ht="17" x14ac:dyDescent="0.25">
      <c r="A70" s="43" t="s">
        <v>81</v>
      </c>
      <c r="D70" s="3">
        <f>A53</f>
        <v>0</v>
      </c>
    </row>
    <row r="71" spans="1:6" ht="17" x14ac:dyDescent="0.25">
      <c r="A71" s="43"/>
    </row>
    <row r="72" spans="1:6" ht="17" x14ac:dyDescent="0.25">
      <c r="A72" s="43" t="s">
        <v>82</v>
      </c>
    </row>
    <row r="74" spans="1:6" x14ac:dyDescent="0.2">
      <c r="A74" s="44" t="s">
        <v>51</v>
      </c>
      <c r="B74" s="45"/>
      <c r="C74" s="45"/>
      <c r="D74" s="46" t="s">
        <v>5</v>
      </c>
      <c r="E74" s="46" t="s">
        <v>52</v>
      </c>
      <c r="F74" s="46" t="s">
        <v>53</v>
      </c>
    </row>
    <row r="75" spans="1:6" x14ac:dyDescent="0.2">
      <c r="A75" s="47" t="s">
        <v>54</v>
      </c>
      <c r="B75" s="48"/>
      <c r="D75" s="49">
        <v>1</v>
      </c>
      <c r="E75" s="50">
        <v>5.5E-2</v>
      </c>
      <c r="F75" s="51">
        <f>G7+G8</f>
        <v>580</v>
      </c>
    </row>
    <row r="76" spans="1:6" x14ac:dyDescent="0.2">
      <c r="A76" s="47" t="s">
        <v>55</v>
      </c>
      <c r="B76" s="52" t="s">
        <v>56</v>
      </c>
      <c r="D76" s="53">
        <v>1</v>
      </c>
      <c r="E76" s="54">
        <v>0.2</v>
      </c>
      <c r="F76" s="55">
        <f>H7+H8</f>
        <v>38.42</v>
      </c>
    </row>
    <row r="77" spans="1:6" hidden="1" x14ac:dyDescent="0.2">
      <c r="A77" s="47" t="s">
        <v>54</v>
      </c>
      <c r="D77" s="56">
        <v>1</v>
      </c>
      <c r="E77" s="54">
        <v>5.5E-2</v>
      </c>
      <c r="F77" s="55">
        <f>G52</f>
        <v>0</v>
      </c>
    </row>
    <row r="78" spans="1:6" x14ac:dyDescent="0.2">
      <c r="A78" s="47" t="s">
        <v>57</v>
      </c>
      <c r="B78" s="52" t="s">
        <v>56</v>
      </c>
      <c r="D78" s="56">
        <v>1</v>
      </c>
      <c r="E78" s="54">
        <v>0.2</v>
      </c>
      <c r="F78" s="55">
        <f>H52</f>
        <v>23.33</v>
      </c>
    </row>
    <row r="79" spans="1:6" x14ac:dyDescent="0.2">
      <c r="A79" s="47" t="str">
        <f>IF(F79=0," ",("ENGAGEMENT CONCOURS"))</f>
        <v xml:space="preserve"> </v>
      </c>
      <c r="D79" s="56"/>
      <c r="E79" s="56"/>
      <c r="F79" s="57">
        <f>SUM(K28:K32)</f>
        <v>0</v>
      </c>
    </row>
    <row r="80" spans="1:6" x14ac:dyDescent="0.2">
      <c r="A80" s="47">
        <f ca="1">IF(F80=0,A80="",A80=("BOXES"))</f>
        <v>0</v>
      </c>
      <c r="D80" s="56"/>
      <c r="E80" s="56"/>
      <c r="F80" s="58"/>
    </row>
    <row r="81" spans="1:6" x14ac:dyDescent="0.2">
      <c r="A81" s="59"/>
      <c r="D81" s="60"/>
      <c r="E81" s="58"/>
      <c r="F81" s="55"/>
    </row>
    <row r="82" spans="1:6" x14ac:dyDescent="0.2">
      <c r="A82" s="59"/>
      <c r="D82" s="60"/>
      <c r="E82" s="58"/>
      <c r="F82" s="55"/>
    </row>
    <row r="83" spans="1:6" x14ac:dyDescent="0.2">
      <c r="A83" s="59"/>
      <c r="D83" s="60"/>
      <c r="E83" s="58"/>
      <c r="F83" s="55"/>
    </row>
    <row r="84" spans="1:6" x14ac:dyDescent="0.2">
      <c r="A84" s="59"/>
      <c r="D84" s="58"/>
      <c r="E84" s="58"/>
      <c r="F84" s="55"/>
    </row>
    <row r="85" spans="1:6" x14ac:dyDescent="0.2">
      <c r="A85" s="59"/>
      <c r="D85" s="61"/>
      <c r="E85" s="61"/>
      <c r="F85" s="62"/>
    </row>
    <row r="86" spans="1:6" x14ac:dyDescent="0.2">
      <c r="A86" s="63"/>
      <c r="B86" s="64"/>
      <c r="C86" s="65"/>
      <c r="D86" s="66" t="s">
        <v>58</v>
      </c>
      <c r="E86" s="67"/>
      <c r="F86" s="68">
        <f>F75+F77</f>
        <v>580</v>
      </c>
    </row>
    <row r="87" spans="1:6" x14ac:dyDescent="0.2">
      <c r="A87" s="59"/>
      <c r="B87" s="10"/>
      <c r="C87" s="69"/>
      <c r="D87" s="70" t="s">
        <v>59</v>
      </c>
      <c r="E87" s="71"/>
      <c r="F87" s="72">
        <f>F86*5.5%</f>
        <v>31.9</v>
      </c>
    </row>
    <row r="88" spans="1:6" x14ac:dyDescent="0.2">
      <c r="A88" s="59"/>
      <c r="B88" s="10"/>
      <c r="C88" s="69"/>
      <c r="D88" s="73" t="s">
        <v>60</v>
      </c>
      <c r="E88" s="70"/>
      <c r="F88" s="72">
        <f>F76+F78</f>
        <v>61.75</v>
      </c>
    </row>
    <row r="89" spans="1:6" x14ac:dyDescent="0.2">
      <c r="A89" s="59"/>
      <c r="B89" s="10"/>
      <c r="C89" s="69"/>
      <c r="D89" s="74" t="s">
        <v>61</v>
      </c>
      <c r="E89" s="71"/>
      <c r="F89" s="72">
        <f>ROUNDDOWN(F88*20%,2)</f>
        <v>12.35</v>
      </c>
    </row>
    <row r="90" spans="1:6" x14ac:dyDescent="0.2">
      <c r="A90" s="59"/>
      <c r="B90" s="10"/>
      <c r="C90" s="69"/>
      <c r="D90" s="75" t="s">
        <v>62</v>
      </c>
      <c r="E90" s="71"/>
      <c r="F90" s="72">
        <f>F79</f>
        <v>0</v>
      </c>
    </row>
    <row r="91" spans="1:6" x14ac:dyDescent="0.2">
      <c r="A91" s="59"/>
      <c r="B91" s="10"/>
      <c r="C91" s="69"/>
      <c r="D91" s="76"/>
      <c r="E91" s="77"/>
      <c r="F91" s="78"/>
    </row>
    <row r="92" spans="1:6" x14ac:dyDescent="0.2">
      <c r="A92" s="79"/>
      <c r="B92" s="80"/>
      <c r="C92" s="81"/>
      <c r="D92" s="82" t="s">
        <v>63</v>
      </c>
      <c r="E92" s="83"/>
      <c r="F92" s="84">
        <f>SUM(F86:F91)</f>
        <v>686</v>
      </c>
    </row>
    <row r="93" spans="1:6" x14ac:dyDescent="0.2">
      <c r="A93" s="85" t="s">
        <v>64</v>
      </c>
      <c r="B93" s="85"/>
      <c r="C93" s="85"/>
      <c r="D93" s="85"/>
      <c r="E93" s="85"/>
      <c r="F93" s="85"/>
    </row>
    <row r="94" spans="1:6" x14ac:dyDescent="0.2">
      <c r="A94" s="85" t="s">
        <v>65</v>
      </c>
      <c r="B94" s="85"/>
      <c r="C94" s="85"/>
      <c r="D94" s="85"/>
      <c r="E94" s="85"/>
      <c r="F94" s="85"/>
    </row>
    <row r="95" spans="1:6" x14ac:dyDescent="0.2">
      <c r="A95" s="85"/>
      <c r="B95" s="85"/>
      <c r="C95" s="85"/>
      <c r="D95" s="85"/>
      <c r="E95" s="85"/>
      <c r="F95" s="85"/>
    </row>
    <row r="96" spans="1:6" x14ac:dyDescent="0.2">
      <c r="A96" s="86" t="s">
        <v>66</v>
      </c>
      <c r="B96" s="85"/>
      <c r="C96" s="85"/>
      <c r="D96" s="85"/>
      <c r="E96" s="85"/>
      <c r="F96" s="85"/>
    </row>
    <row r="97" spans="1:6" x14ac:dyDescent="0.2">
      <c r="A97" s="86" t="s">
        <v>67</v>
      </c>
      <c r="B97" s="85"/>
      <c r="C97" s="85"/>
      <c r="D97" s="85"/>
      <c r="E97" s="85"/>
      <c r="F97" s="85"/>
    </row>
    <row r="98" spans="1:6" x14ac:dyDescent="0.2">
      <c r="A98" s="86" t="s">
        <v>68</v>
      </c>
      <c r="B98" s="85"/>
      <c r="C98" s="85"/>
      <c r="E98" s="3"/>
      <c r="F98" s="36"/>
    </row>
    <row r="99" spans="1:6" x14ac:dyDescent="0.2">
      <c r="E99" s="3"/>
      <c r="F99" s="36"/>
    </row>
    <row r="100" spans="1:6" x14ac:dyDescent="0.2">
      <c r="F100" s="87" t="s">
        <v>69</v>
      </c>
    </row>
    <row r="104" spans="1:6" x14ac:dyDescent="0.2">
      <c r="A104" s="86"/>
    </row>
  </sheetData>
  <sheetProtection selectLockedCells="1"/>
  <mergeCells count="4">
    <mergeCell ref="C1:D1"/>
    <mergeCell ref="E1:F1"/>
    <mergeCell ref="E4:F4"/>
    <mergeCell ref="E62:F62"/>
  </mergeCells>
  <hyperlinks>
    <hyperlink ref="D4" location="recap!A1" display=" CAVALIER"/>
    <hyperlink ref="A4" location="travail!A1" display="NOM DU CHEVAL"/>
    <hyperlink ref="F55" location="recap!A1" display="*****"/>
    <hyperlink ref="F100" location="recap!A1" display="*****"/>
    <hyperlink ref="A22" location="concours!A1" display="CSO"/>
  </hyperlinks>
  <pageMargins left="0.25" right="0.25" top="0.4" bottom="0.42" header="0.3" footer="0.3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A1:L104"/>
  <sheetViews>
    <sheetView showZeros="0" topLeftCell="A97" zoomScale="120" zoomScaleNormal="120" zoomScalePageLayoutView="120" workbookViewId="0">
      <selection activeCell="A104" sqref="A104"/>
    </sheetView>
  </sheetViews>
  <sheetFormatPr baseColWidth="10" defaultColWidth="11.5" defaultRowHeight="16" x14ac:dyDescent="0.2"/>
  <cols>
    <col min="1" max="1" width="24.5" style="3" customWidth="1"/>
    <col min="2" max="2" width="17.1640625" style="3" customWidth="1"/>
    <col min="3" max="3" width="14.1640625" style="3" customWidth="1"/>
    <col min="4" max="4" width="15.83203125" style="3" customWidth="1"/>
    <col min="5" max="5" width="11.83203125" style="36" customWidth="1"/>
    <col min="6" max="6" width="14.6640625" style="3" customWidth="1"/>
    <col min="7" max="7" width="11.5" style="2"/>
    <col min="8" max="8" width="11.5" style="3"/>
    <col min="9" max="9" width="11.6640625" style="3" customWidth="1"/>
    <col min="10" max="16384" width="11.5" style="3"/>
  </cols>
  <sheetData>
    <row r="1" spans="1:12" ht="18" x14ac:dyDescent="0.2">
      <c r="A1" s="1"/>
      <c r="B1" s="1"/>
      <c r="C1" s="111" t="s">
        <v>0</v>
      </c>
      <c r="D1" s="111"/>
      <c r="E1" s="106">
        <f>[1]travail!A3</f>
        <v>42401</v>
      </c>
      <c r="F1" s="112"/>
    </row>
    <row r="2" spans="1:12" x14ac:dyDescent="0.2">
      <c r="A2" s="1"/>
      <c r="B2" s="1"/>
      <c r="C2" s="1"/>
      <c r="D2" s="1"/>
      <c r="E2" s="4"/>
      <c r="F2" s="1"/>
    </row>
    <row r="3" spans="1:12" x14ac:dyDescent="0.2">
      <c r="A3" s="1"/>
      <c r="B3" s="1"/>
      <c r="C3" s="1"/>
      <c r="D3" s="1"/>
      <c r="E3" s="4"/>
      <c r="F3" s="1"/>
    </row>
    <row r="4" spans="1:12" x14ac:dyDescent="0.2">
      <c r="A4" s="97" t="s">
        <v>1</v>
      </c>
      <c r="B4" s="98" t="s">
        <v>78</v>
      </c>
      <c r="C4" s="99"/>
      <c r="D4" s="100" t="s">
        <v>3</v>
      </c>
      <c r="E4" s="114" t="s">
        <v>87</v>
      </c>
      <c r="F4" s="115"/>
    </row>
    <row r="5" spans="1:12" x14ac:dyDescent="0.2">
      <c r="A5" s="12"/>
      <c r="B5" s="6"/>
      <c r="C5" s="1"/>
      <c r="D5" s="12"/>
      <c r="E5" s="13"/>
      <c r="F5" s="1"/>
    </row>
    <row r="6" spans="1:12" ht="18" x14ac:dyDescent="0.2">
      <c r="A6" s="1"/>
      <c r="B6" s="89"/>
      <c r="C6" s="1"/>
      <c r="D6" s="14" t="s">
        <v>4</v>
      </c>
      <c r="E6" s="15" t="s">
        <v>5</v>
      </c>
      <c r="F6" s="15" t="s">
        <v>6</v>
      </c>
      <c r="G6" s="2" t="s">
        <v>7</v>
      </c>
      <c r="H6" s="3" t="s">
        <v>8</v>
      </c>
      <c r="I6" s="3" t="s">
        <v>9</v>
      </c>
      <c r="J6" s="3" t="s">
        <v>10</v>
      </c>
      <c r="L6" s="3" t="s">
        <v>12</v>
      </c>
    </row>
    <row r="7" spans="1:12" x14ac:dyDescent="0.2">
      <c r="A7" s="12" t="s">
        <v>13</v>
      </c>
      <c r="B7" s="90">
        <f>[1]travail!A1</f>
        <v>42430</v>
      </c>
      <c r="C7" s="1"/>
      <c r="D7" s="17">
        <v>714</v>
      </c>
      <c r="E7" s="18">
        <v>1</v>
      </c>
      <c r="F7" s="17">
        <f t="shared" ref="F7:F42" si="0">D7*E7</f>
        <v>714</v>
      </c>
      <c r="G7" s="19">
        <f>630*E7</f>
        <v>630</v>
      </c>
      <c r="H7" s="19">
        <f>41.12*E7</f>
        <v>41.12</v>
      </c>
      <c r="I7" s="3">
        <f>34.65*E7</f>
        <v>34.65</v>
      </c>
      <c r="J7" s="3">
        <f>8.23*E7</f>
        <v>8.23</v>
      </c>
      <c r="L7" s="19">
        <f>SUM(G7:K7)</f>
        <v>714</v>
      </c>
    </row>
    <row r="8" spans="1:12" x14ac:dyDescent="0.2">
      <c r="A8" s="1"/>
      <c r="B8" s="1"/>
      <c r="C8" s="1"/>
      <c r="D8" s="17"/>
      <c r="E8" s="15"/>
      <c r="F8" s="17">
        <f t="shared" si="0"/>
        <v>0</v>
      </c>
      <c r="G8" s="19">
        <f>IF(F8=0,0,580)</f>
        <v>0</v>
      </c>
      <c r="L8" s="19">
        <f t="shared" ref="L8:L51" si="1">SUM(G8:K8)</f>
        <v>0</v>
      </c>
    </row>
    <row r="9" spans="1:12" x14ac:dyDescent="0.2">
      <c r="A9" s="12" t="s">
        <v>14</v>
      </c>
      <c r="B9" s="1" t="s">
        <v>15</v>
      </c>
      <c r="C9" s="1"/>
      <c r="D9" s="17">
        <v>6.1</v>
      </c>
      <c r="E9" s="15">
        <f>IF(A10&lt;=9,A10,0)</f>
        <v>4</v>
      </c>
      <c r="F9" s="17">
        <f t="shared" si="0"/>
        <v>24.4</v>
      </c>
      <c r="G9" s="19">
        <f>IF(F9=0,0,4.5*E9)</f>
        <v>18</v>
      </c>
      <c r="H9" s="19">
        <f>IF(G9=0,0,1.13*E9)</f>
        <v>4.5199999999999996</v>
      </c>
      <c r="I9" s="19">
        <f>IF(G9=0,0,0.25*E9)</f>
        <v>1</v>
      </c>
      <c r="J9" s="19">
        <f>IF(H9=0,0,0.23*E9)</f>
        <v>0.92</v>
      </c>
      <c r="L9" s="19">
        <f t="shared" si="1"/>
        <v>24.44</v>
      </c>
    </row>
    <row r="10" spans="1:12" x14ac:dyDescent="0.2">
      <c r="A10" s="4">
        <f>SUMPRODUCT((B4=[1]travail!A4:A62)*([1]travail!DC3:DU3="marcheur")*([1]travail!DC4:DU62)+(B5=[1]travail!A4:A62)*([1]travail!DC3:DU3="marcheur")*([1]travail!DC4:DU62)+(B6=[1]travail!A4:A62)*([1]travail!DC3:DU3="marcheur")*([1]travail!DC4:DU62)+(B3=[1]travail!A4:A62)*([1]travail!DC3:DU3="marcheur")*([1]travail!DC4:DU62))</f>
        <v>4</v>
      </c>
      <c r="B10" s="1" t="s">
        <v>16</v>
      </c>
      <c r="C10" s="1"/>
      <c r="D10" s="17">
        <v>5.6</v>
      </c>
      <c r="E10" s="15">
        <f>IF(AND(A10&gt;9,A10&lt;20),A10,0)</f>
        <v>0</v>
      </c>
      <c r="F10" s="17">
        <f t="shared" si="0"/>
        <v>0</v>
      </c>
      <c r="G10" s="19">
        <f>IF(F10=0,0,4.5*E10)</f>
        <v>0</v>
      </c>
      <c r="H10" s="19">
        <f>IF(G10=0,0,0.71*E10)</f>
        <v>0</v>
      </c>
      <c r="I10" s="19">
        <f t="shared" ref="I10:I13" si="2">IF(G10=0,0,0.25*E10)</f>
        <v>0</v>
      </c>
      <c r="J10" s="19">
        <f>IF(H10=0,0,0.14*E10)</f>
        <v>0</v>
      </c>
      <c r="L10" s="19">
        <f t="shared" si="1"/>
        <v>0</v>
      </c>
    </row>
    <row r="11" spans="1:12" x14ac:dyDescent="0.2">
      <c r="A11" s="1"/>
      <c r="B11" s="1" t="s">
        <v>17</v>
      </c>
      <c r="C11" s="1"/>
      <c r="D11" s="17">
        <v>5</v>
      </c>
      <c r="E11" s="15">
        <f>IF(A10&gt;19,A10,0)</f>
        <v>0</v>
      </c>
      <c r="F11" s="17">
        <f t="shared" si="0"/>
        <v>0</v>
      </c>
      <c r="G11" s="19">
        <f>IF(F11=0,0,4.5*E11)</f>
        <v>0</v>
      </c>
      <c r="H11" s="19">
        <f>IF(G11=0,0,0.21*E11)</f>
        <v>0</v>
      </c>
      <c r="I11" s="19">
        <f t="shared" si="2"/>
        <v>0</v>
      </c>
      <c r="J11" s="19">
        <f>IF(H11=0,0,0.04*E11)</f>
        <v>0</v>
      </c>
      <c r="L11" s="19">
        <f t="shared" si="1"/>
        <v>0</v>
      </c>
    </row>
    <row r="12" spans="1:12" x14ac:dyDescent="0.2">
      <c r="A12" s="1"/>
      <c r="B12" s="1"/>
      <c r="C12" s="1"/>
      <c r="D12" s="17"/>
      <c r="E12" s="15"/>
      <c r="F12" s="17">
        <f t="shared" si="0"/>
        <v>0</v>
      </c>
      <c r="G12" s="19">
        <f>IF(F12=0,0,9999)</f>
        <v>0</v>
      </c>
      <c r="H12" s="19">
        <f t="shared" ref="H12" si="3">IF(G12=0,0,1.13*E12)</f>
        <v>0</v>
      </c>
      <c r="I12" s="19">
        <f t="shared" si="2"/>
        <v>0</v>
      </c>
      <c r="J12" s="19"/>
      <c r="L12" s="19">
        <f t="shared" si="1"/>
        <v>0</v>
      </c>
    </row>
    <row r="13" spans="1:12" x14ac:dyDescent="0.2">
      <c r="A13" s="12" t="s">
        <v>18</v>
      </c>
      <c r="B13" s="1"/>
      <c r="C13" s="21"/>
      <c r="D13" s="17">
        <v>7</v>
      </c>
      <c r="E13" s="15">
        <f>SUMPRODUCT((B4=[1]travail!A4:A62)*([1]travail!DC3:DU3="marcheur dim")*([1]travail!DC4:DU62)+(B5=[1]travail!A4:A62)*([1]travail!DC3:DU3="marcheur dim")*([1]travail!DC4:DU62)+(B6=[1]travail!A4:A62)*([1]travail!DC3:DU3="marcheur dim")*([1]travail!DC4:DU62)+(B3=[1]travail!A4:A62)*([1]travail!DC3:DU3="marcheur dim")*([1]travail!DC4:DU62))</f>
        <v>0</v>
      </c>
      <c r="F13" s="17">
        <f t="shared" si="0"/>
        <v>0</v>
      </c>
      <c r="G13" s="19">
        <f>IF(F13=0,0,4.5*E13)</f>
        <v>0</v>
      </c>
      <c r="H13" s="19">
        <f>IF(G13=0,0,1.88*E13)</f>
        <v>0</v>
      </c>
      <c r="I13" s="19">
        <f t="shared" si="2"/>
        <v>0</v>
      </c>
      <c r="J13" s="19">
        <f>IF(H13=0,0,0.38*E13)</f>
        <v>0</v>
      </c>
      <c r="L13" s="19">
        <f t="shared" si="1"/>
        <v>0</v>
      </c>
    </row>
    <row r="14" spans="1:12" x14ac:dyDescent="0.2">
      <c r="A14" s="1"/>
      <c r="B14" s="1"/>
      <c r="C14" s="1"/>
      <c r="D14" s="17"/>
      <c r="E14" s="15"/>
      <c r="F14" s="17">
        <f t="shared" si="0"/>
        <v>0</v>
      </c>
      <c r="G14" s="19">
        <f>IF(F14=0,0,0)</f>
        <v>0</v>
      </c>
      <c r="H14" s="19"/>
      <c r="I14" s="19"/>
      <c r="J14" s="19"/>
      <c r="L14" s="19">
        <f t="shared" si="1"/>
        <v>0</v>
      </c>
    </row>
    <row r="15" spans="1:12" x14ac:dyDescent="0.2">
      <c r="A15" s="12" t="s">
        <v>19</v>
      </c>
      <c r="B15" s="1"/>
      <c r="C15" s="1" t="s">
        <v>20</v>
      </c>
      <c r="D15" s="17">
        <v>14</v>
      </c>
      <c r="E15" s="15">
        <f>SUMPRODUCT((B4=[1]travail!A4:A62)*([1]travail!DC3:DU3="tapis")*([1]travail!DC4:DU62)+(B5=[1]travail!A4:A62)*([1]travail!DC3:DU3="tapis")*([1]travail!DC4:DU62)+(B6=[1]travail!A4:A62)*([1]travail!DC3:DU3="tapis")*([1]travail!DC4:DU62)+(B3=[1]travail!A4:A62)*([1]travail!DC3:DU3="tapis")*([1]travail!DC4:DU62))</f>
        <v>0</v>
      </c>
      <c r="F15" s="17">
        <f t="shared" si="0"/>
        <v>0</v>
      </c>
      <c r="G15" s="19">
        <f>IF(F15=0,0,11.5*E15)</f>
        <v>0</v>
      </c>
      <c r="H15" s="19">
        <f>IF(G15=0,0,1.56*E15)</f>
        <v>0</v>
      </c>
      <c r="I15" s="19">
        <f>IF(G15=0,0,0.63*E15)</f>
        <v>0</v>
      </c>
      <c r="J15" s="19">
        <f>IF(H15=0,0,0.31*E15)</f>
        <v>0</v>
      </c>
      <c r="L15" s="19">
        <f t="shared" si="1"/>
        <v>0</v>
      </c>
    </row>
    <row r="16" spans="1:12" x14ac:dyDescent="0.2">
      <c r="A16" s="1"/>
      <c r="B16" s="1" t="s">
        <v>21</v>
      </c>
      <c r="C16" s="1"/>
      <c r="D16" s="17">
        <v>250</v>
      </c>
      <c r="E16" s="15"/>
      <c r="F16" s="17">
        <f t="shared" si="0"/>
        <v>0</v>
      </c>
      <c r="G16" s="19"/>
      <c r="H16" s="19"/>
      <c r="I16" s="19"/>
      <c r="J16" s="19">
        <f t="shared" ref="J16" si="4">IF(H16=0,0,0.31*E16)</f>
        <v>0</v>
      </c>
      <c r="L16" s="19">
        <f t="shared" si="1"/>
        <v>0</v>
      </c>
    </row>
    <row r="17" spans="1:12" x14ac:dyDescent="0.2">
      <c r="A17" s="12" t="s">
        <v>22</v>
      </c>
      <c r="B17" s="1"/>
      <c r="C17" s="1"/>
      <c r="D17" s="17">
        <v>28</v>
      </c>
      <c r="E17" s="15">
        <f>SUMPRODUCT((B4=[1]travail!A4:A62)*([1]travail!DC3:DU3="total collectifs")*([1]travail!DC4:DU62)+(B5=[1]travail!A4:A62)*([1]travail!DC3:DU3="total collectifs")*([1]travail!DC4:DU62)+(B6=[1]travail!A4:A62)*([1]travail!DC3:DU3="total collectifs")*([1]travail!DC4:DU62)+(B3=[1]travail!A4:A62)*([1]travail!DC3:DU3="total collectifs")*([1]travail!DC4:DU62))</f>
        <v>0</v>
      </c>
      <c r="F17" s="17">
        <f t="shared" si="0"/>
        <v>0</v>
      </c>
      <c r="H17" s="19">
        <f>IF(F17&gt;0,23.33*E17,0)</f>
        <v>0</v>
      </c>
      <c r="I17" s="19"/>
      <c r="J17" s="19">
        <f t="shared" ref="J17:J27" si="5">IF(H17=0,0,H17*20%)</f>
        <v>0</v>
      </c>
      <c r="L17" s="19">
        <f t="shared" si="1"/>
        <v>0</v>
      </c>
    </row>
    <row r="18" spans="1:12" x14ac:dyDescent="0.2">
      <c r="A18" s="22" t="s">
        <v>23</v>
      </c>
      <c r="B18" s="1" t="s">
        <v>24</v>
      </c>
      <c r="C18" s="1"/>
      <c r="D18" s="17">
        <v>36</v>
      </c>
      <c r="E18" s="15">
        <f>IF(A19&lt;=7,A19,0)</f>
        <v>0</v>
      </c>
      <c r="F18" s="17">
        <f t="shared" si="0"/>
        <v>0</v>
      </c>
      <c r="G18" s="19"/>
      <c r="H18" s="19">
        <f>IF(F18&gt;0,30*E18,0)</f>
        <v>0</v>
      </c>
      <c r="I18" s="19"/>
      <c r="J18" s="19">
        <f t="shared" si="5"/>
        <v>0</v>
      </c>
      <c r="L18" s="19">
        <f t="shared" si="1"/>
        <v>0</v>
      </c>
    </row>
    <row r="19" spans="1:12" x14ac:dyDescent="0.2">
      <c r="A19" s="23">
        <f>SUMPRODUCT((B4=[1]travail!A4:A62)*([1]travail!DC3:DU3="total cours")*([1]travail!DC4:DU62)+(B5=[1]travail!A4:A62)*([1]travail!DC3:DU3="total cours")*([1]travail!DC4:DU62)+(B6=[1]travail!A4:A62)*([1]travail!DC3:DU3="total cours")*([1]travail!DC4:DU62)+(B3=[1]travail!A4:A62)*([1]travail!DC3:DU3="total cours")*([1]travail!DC4:DU62))</f>
        <v>10</v>
      </c>
      <c r="B19" s="1" t="s">
        <v>25</v>
      </c>
      <c r="C19" s="1"/>
      <c r="D19" s="17">
        <v>34</v>
      </c>
      <c r="E19" s="15">
        <f>IF(AND(A19&gt;7,A19&lt;12),A19,0)</f>
        <v>10</v>
      </c>
      <c r="F19" s="17">
        <f t="shared" si="0"/>
        <v>340</v>
      </c>
      <c r="G19" s="19"/>
      <c r="H19" s="19">
        <f>IF(F19&gt;0,28.33*E19,0)</f>
        <v>283.29999999999995</v>
      </c>
      <c r="I19" s="19"/>
      <c r="J19" s="19">
        <f t="shared" si="5"/>
        <v>56.66</v>
      </c>
      <c r="L19" s="19">
        <f t="shared" si="1"/>
        <v>339.95999999999992</v>
      </c>
    </row>
    <row r="20" spans="1:12" x14ac:dyDescent="0.2">
      <c r="A20" s="24"/>
      <c r="B20" s="1" t="s">
        <v>26</v>
      </c>
      <c r="C20" s="1"/>
      <c r="D20" s="17">
        <v>32</v>
      </c>
      <c r="E20" s="15">
        <f>IF(AND(A19&gt;11,A19&lt;17),A19,0)</f>
        <v>0</v>
      </c>
      <c r="F20" s="17">
        <f t="shared" si="0"/>
        <v>0</v>
      </c>
      <c r="G20" s="19"/>
      <c r="H20" s="19">
        <f>IF(F20&gt;0,26.67*E20,0)</f>
        <v>0</v>
      </c>
      <c r="I20" s="19"/>
      <c r="J20" s="19">
        <f t="shared" si="5"/>
        <v>0</v>
      </c>
      <c r="L20" s="19">
        <f t="shared" si="1"/>
        <v>0</v>
      </c>
    </row>
    <row r="21" spans="1:12" x14ac:dyDescent="0.2">
      <c r="A21" s="24"/>
      <c r="B21" s="1" t="s">
        <v>27</v>
      </c>
      <c r="C21" s="1"/>
      <c r="D21" s="17">
        <v>30</v>
      </c>
      <c r="E21" s="15">
        <f>IF(A19&gt;16,A19,0)</f>
        <v>0</v>
      </c>
      <c r="F21" s="17">
        <f t="shared" si="0"/>
        <v>0</v>
      </c>
      <c r="G21" s="19"/>
      <c r="H21" s="19">
        <f>IF(F21&gt;0,25*E21,0)</f>
        <v>0</v>
      </c>
      <c r="I21" s="19"/>
      <c r="J21" s="19">
        <f t="shared" si="5"/>
        <v>0</v>
      </c>
      <c r="L21" s="19">
        <f t="shared" si="1"/>
        <v>0</v>
      </c>
    </row>
    <row r="22" spans="1:12" s="1" customFormat="1" ht="19" x14ac:dyDescent="0.25">
      <c r="A22" s="25" t="s">
        <v>28</v>
      </c>
      <c r="D22" s="17"/>
      <c r="E22" s="15"/>
      <c r="F22" s="17">
        <f t="shared" si="0"/>
        <v>0</v>
      </c>
      <c r="G22" s="26"/>
      <c r="H22" s="19">
        <f t="shared" ref="H22" si="6">IF(F22&gt;0,25*E22,0)</f>
        <v>0</v>
      </c>
      <c r="I22" s="26"/>
      <c r="J22" s="19">
        <f t="shared" si="5"/>
        <v>0</v>
      </c>
      <c r="L22" s="19">
        <f t="shared" si="1"/>
        <v>0</v>
      </c>
    </row>
    <row r="23" spans="1:12" s="1" customFormat="1" x14ac:dyDescent="0.2">
      <c r="A23" s="1" t="s">
        <v>29</v>
      </c>
      <c r="B23" s="1" t="str">
        <f>[1]concours!B3</f>
        <v>Sciez 27 et 28 février</v>
      </c>
      <c r="D23" s="17">
        <f>[1]concours!C4</f>
        <v>20</v>
      </c>
      <c r="E23" s="15">
        <f>SUMPRODUCT((B4=[1]concours!A6:A13)*([1]concours!B5:Z5="deten1")*([1]concours!B6:Z13)+(B5=[1]concours!A6:A13)*([1]concours!B5:Z5="deten1")*([1]concours!B6:Z13)+(B6=[1]concours!A6:A13)*([1]concours!B5:Z5="deten1")*([1]concours!B6:Z13))</f>
        <v>4</v>
      </c>
      <c r="F23" s="17">
        <f t="shared" si="0"/>
        <v>80</v>
      </c>
      <c r="G23" s="26"/>
      <c r="H23" s="19">
        <f>IF(F23&gt;0,16.665*E23,0)</f>
        <v>66.66</v>
      </c>
      <c r="I23" s="26"/>
      <c r="J23" s="19">
        <f t="shared" si="5"/>
        <v>13.332000000000001</v>
      </c>
      <c r="L23" s="19">
        <f t="shared" si="1"/>
        <v>79.99199999999999</v>
      </c>
    </row>
    <row r="24" spans="1:12" s="1" customFormat="1" ht="15" customHeight="1" x14ac:dyDescent="0.2">
      <c r="A24" s="1" t="s">
        <v>29</v>
      </c>
      <c r="B24" s="1">
        <f>[1]concours!G3</f>
        <v>0</v>
      </c>
      <c r="D24" s="17">
        <f>[1]concours!H4</f>
        <v>20</v>
      </c>
      <c r="E24" s="15">
        <f>SUMPRODUCT((B4=[1]concours!A6:A13)*([1]concours!B5:Z5="deten2")*([1]concours!B6:Z13)+(B5=[1]concours!A6:A13)*([1]concours!B5:Z5="deten2")*([1]concours!B6:Z13)+(B6=[1]concours!A6:A13)*([1]concours!B5:Z5="deten2")*([1]concours!B6:Z13))</f>
        <v>0</v>
      </c>
      <c r="F24" s="17">
        <f t="shared" si="0"/>
        <v>0</v>
      </c>
      <c r="G24" s="26"/>
      <c r="H24" s="19">
        <f t="shared" ref="H24:H27" si="7">IF(F24&gt;0,16.67*E24,0)</f>
        <v>0</v>
      </c>
      <c r="I24" s="26"/>
      <c r="J24" s="19">
        <f t="shared" si="5"/>
        <v>0</v>
      </c>
      <c r="L24" s="19">
        <f t="shared" si="1"/>
        <v>0</v>
      </c>
    </row>
    <row r="25" spans="1:12" s="1" customFormat="1" ht="15" customHeight="1" x14ac:dyDescent="0.2">
      <c r="A25" s="1" t="s">
        <v>29</v>
      </c>
      <c r="B25" s="1">
        <f>[1]concours!L3</f>
        <v>0</v>
      </c>
      <c r="D25" s="17">
        <f>[1]concours!M4</f>
        <v>20</v>
      </c>
      <c r="E25" s="15">
        <f>SUMPRODUCT((B4=[1]concours!A6:A13)*([1]concours!B5:Z5="deten3")*([1]concours!B6:Z13)+(B5=[1]concours!A6:A13)*([1]concours!B5:Z5="deten3")*([1]concours!B6:Z13)+(B6=[1]concours!A6:A13)*([1]concours!B5:Z5="deten3")*([1]concours!B6:Z13))</f>
        <v>0</v>
      </c>
      <c r="F25" s="17">
        <f t="shared" si="0"/>
        <v>0</v>
      </c>
      <c r="G25" s="26"/>
      <c r="H25" s="19">
        <f t="shared" si="7"/>
        <v>0</v>
      </c>
      <c r="I25" s="26"/>
      <c r="J25" s="19">
        <f t="shared" si="5"/>
        <v>0</v>
      </c>
      <c r="L25" s="19">
        <f t="shared" si="1"/>
        <v>0</v>
      </c>
    </row>
    <row r="26" spans="1:12" s="1" customFormat="1" ht="15" customHeight="1" x14ac:dyDescent="0.2">
      <c r="A26" s="1" t="s">
        <v>29</v>
      </c>
      <c r="B26" s="1">
        <f>[1]concours!Q3</f>
        <v>0</v>
      </c>
      <c r="D26" s="17">
        <f>[1]concours!R4</f>
        <v>20</v>
      </c>
      <c r="E26" s="15">
        <f>SUMPRODUCT((B4=[1]concours!A6:A13)*([1]concours!B5:Z5="deten4")*([1]concours!B6:Z13)+(B5=[1]concours!A6:A13)*([1]concours!B5:Z5="deten4")*([1]concours!B6:Z13)+(B6=[1]concours!A6:A13)*([1]concours!B5:Z5="deten4")*([1]concours!B6:Z13))</f>
        <v>0</v>
      </c>
      <c r="F26" s="17">
        <f t="shared" si="0"/>
        <v>0</v>
      </c>
      <c r="G26" s="26"/>
      <c r="H26" s="19">
        <f>IF(F26&gt;0,16.665*E26,0)</f>
        <v>0</v>
      </c>
      <c r="I26" s="26"/>
      <c r="J26" s="19">
        <f t="shared" si="5"/>
        <v>0</v>
      </c>
      <c r="L26" s="19">
        <f t="shared" si="1"/>
        <v>0</v>
      </c>
    </row>
    <row r="27" spans="1:12" s="1" customFormat="1" ht="15" customHeight="1" x14ac:dyDescent="0.2">
      <c r="A27" s="1" t="s">
        <v>29</v>
      </c>
      <c r="B27" s="1">
        <f>[1]concours!V3</f>
        <v>0</v>
      </c>
      <c r="D27" s="17">
        <f>[1]concours!W4</f>
        <v>20</v>
      </c>
      <c r="E27" s="15">
        <f>SUMPRODUCT((B4=[1]concours!A6:A13)*([1]concours!B5:Z5="deten5")*([1]concours!B6:Z13)+(B5=[1]concours!A6:A13)*([1]concours!B5:Z5="deten5")*([1]concours!B6:Z13)+(B6=[1]concours!A6:A13)*([1]concours!B5:Z5="deten5")*([1]concours!B6:Z13))</f>
        <v>0</v>
      </c>
      <c r="F27" s="17">
        <f t="shared" si="0"/>
        <v>0</v>
      </c>
      <c r="G27" s="26"/>
      <c r="H27" s="19">
        <f t="shared" si="7"/>
        <v>0</v>
      </c>
      <c r="I27" s="26"/>
      <c r="J27" s="19">
        <f t="shared" si="5"/>
        <v>0</v>
      </c>
      <c r="L27" s="19">
        <f t="shared" si="1"/>
        <v>0</v>
      </c>
    </row>
    <row r="28" spans="1:12" s="1" customFormat="1" ht="15" customHeight="1" x14ac:dyDescent="0.2">
      <c r="A28" s="1" t="s">
        <v>30</v>
      </c>
      <c r="B28" s="1" t="str">
        <f>[1]concours!B3</f>
        <v>Sciez 27 et 28 février</v>
      </c>
      <c r="D28" s="17">
        <f>SUMPRODUCT((B4=[1]concours!A6:A13)*([1]concours!B5:Z5="eng1")*([1]concours!B6:Z13)+(B5=[1]concours!A6:A13)*([1]concours!B5:Z5="eng1")*([1]concours!B6:Z13)+(B6=[1]concours!A6:A13)*([1]concours!B5:Z5="eng1")*([1]concours!B6:Z13))</f>
        <v>72</v>
      </c>
      <c r="E28" s="15">
        <v>1</v>
      </c>
      <c r="F28" s="17">
        <f t="shared" si="0"/>
        <v>72</v>
      </c>
      <c r="G28" s="26"/>
      <c r="I28" s="26"/>
      <c r="J28" s="19"/>
      <c r="K28" s="19">
        <f>IF(F28&gt;0,D28*E28,0)</f>
        <v>72</v>
      </c>
      <c r="L28" s="19">
        <f t="shared" si="1"/>
        <v>72</v>
      </c>
    </row>
    <row r="29" spans="1:12" s="1" customFormat="1" ht="15" customHeight="1" x14ac:dyDescent="0.2">
      <c r="A29" s="1" t="s">
        <v>30</v>
      </c>
      <c r="B29" s="1">
        <f>[1]concours!G3</f>
        <v>0</v>
      </c>
      <c r="D29" s="17">
        <f>SUMPRODUCT((B4=[1]concours!A6:A13)*([1]concours!B5:Z5="eng2")*([1]concours!B6:Z13)+(B5=[1]concours!A6:A13)*([1]concours!B5:Z5="eng2")*([1]concours!B6:Z13)+(B6=[1]concours!A6:A13)*([1]concours!B5:Z5="eng2")*([1]concours!B6:Z13))</f>
        <v>0</v>
      </c>
      <c r="E29" s="15">
        <v>1</v>
      </c>
      <c r="F29" s="17">
        <f t="shared" si="0"/>
        <v>0</v>
      </c>
      <c r="G29" s="26"/>
      <c r="I29" s="26"/>
      <c r="J29" s="19"/>
      <c r="K29" s="19">
        <f>IF(F29&gt;0,D29*E29,0)</f>
        <v>0</v>
      </c>
      <c r="L29" s="19">
        <f t="shared" si="1"/>
        <v>0</v>
      </c>
    </row>
    <row r="30" spans="1:12" s="1" customFormat="1" ht="15" customHeight="1" x14ac:dyDescent="0.2">
      <c r="A30" s="1" t="s">
        <v>30</v>
      </c>
      <c r="B30" s="1">
        <f>[1]concours!L3</f>
        <v>0</v>
      </c>
      <c r="D30" s="17">
        <f>SUMPRODUCT((B4=[1]concours!A6:A13)*([1]concours!B5:Z5="eng3")*([1]concours!B6:Z13)+(B5=[1]concours!A6:A13)*([1]concours!B5:Z5="eng3")*([1]concours!B6:Z13)+(B6=[1]concours!A6:A13)*([1]concours!B5:Z5="eng3")*([1]concours!B6:Z13))</f>
        <v>0</v>
      </c>
      <c r="E30" s="15">
        <v>1</v>
      </c>
      <c r="F30" s="17">
        <f t="shared" si="0"/>
        <v>0</v>
      </c>
      <c r="G30" s="26"/>
      <c r="I30" s="26"/>
      <c r="J30" s="19"/>
      <c r="K30" s="19">
        <f>IF(F30&gt;0,D30*E30,0)</f>
        <v>0</v>
      </c>
      <c r="L30" s="19">
        <f t="shared" si="1"/>
        <v>0</v>
      </c>
    </row>
    <row r="31" spans="1:12" s="1" customFormat="1" ht="15" customHeight="1" x14ac:dyDescent="0.2">
      <c r="A31" s="1" t="s">
        <v>30</v>
      </c>
      <c r="B31" s="1">
        <f>[1]concours!Q3</f>
        <v>0</v>
      </c>
      <c r="D31" s="17">
        <f>SUMPRODUCT((B4=[1]concours!A6:A13)*([1]concours!B5:Z5="eng4")*([1]concours!B6:Z13)+(B5=[1]concours!A6:A13)*([1]concours!B5:Z5="eng4")*([1]concours!B6:Z13)+(B6=[1]concours!A6:A13)*([1]concours!B5:Z5="eng4")*([1]concours!B6:Z13))</f>
        <v>0</v>
      </c>
      <c r="E31" s="15">
        <v>1</v>
      </c>
      <c r="F31" s="17">
        <f t="shared" si="0"/>
        <v>0</v>
      </c>
      <c r="G31" s="26"/>
      <c r="I31" s="26"/>
      <c r="J31" s="19"/>
      <c r="K31" s="19">
        <f>IF(F31&gt;0,D31*E31,0)</f>
        <v>0</v>
      </c>
      <c r="L31" s="19">
        <f t="shared" si="1"/>
        <v>0</v>
      </c>
    </row>
    <row r="32" spans="1:12" s="1" customFormat="1" ht="15" customHeight="1" x14ac:dyDescent="0.2">
      <c r="A32" s="1" t="s">
        <v>30</v>
      </c>
      <c r="B32" s="1">
        <f>[1]concours!V3</f>
        <v>0</v>
      </c>
      <c r="D32" s="17">
        <f>SUMPRODUCT((B4=[1]concours!A6:A13)*([1]concours!B5:Z5="eng5")*([1]concours!B6:Z13)+(B5=[1]concours!A6:A13)*([1]concours!B5:Z5="eng5")*([1]concours!B6:Z13)+(B6=[1]concours!A6:A13)*([1]concours!B5:Z5="eng5")*([1]concours!B6:Z13))</f>
        <v>0</v>
      </c>
      <c r="E32" s="15">
        <v>1</v>
      </c>
      <c r="F32" s="17">
        <f t="shared" si="0"/>
        <v>0</v>
      </c>
      <c r="G32" s="26"/>
      <c r="I32" s="26"/>
      <c r="J32" s="19"/>
      <c r="K32" s="19">
        <f>IF(F32&gt;0,D32*E32,0)</f>
        <v>0</v>
      </c>
      <c r="L32" s="19">
        <f t="shared" si="1"/>
        <v>0</v>
      </c>
    </row>
    <row r="33" spans="1:12" s="1" customFormat="1" ht="15" customHeight="1" x14ac:dyDescent="0.2">
      <c r="A33" s="1" t="s">
        <v>31</v>
      </c>
      <c r="B33" s="1" t="str">
        <f>[1]concours!B3</f>
        <v>Sciez 27 et 28 février</v>
      </c>
      <c r="D33" s="17">
        <f>[1]concours!B4</f>
        <v>20</v>
      </c>
      <c r="E33" s="15">
        <f>SUMPRODUCT((B4=[1]concours!A6:A13)*([1]concours!B5:Z5="trsp1")*([1]concours!B6:Z13)+(B5=[1]concours!A6:A13)*([1]concours!B5:Z5="trsp1")*([1]concours!B6:Z13)+(B6=[1]concours!A6:A13)*([1]concours!B5:Z5="trsp1")*([1]concours!B6:Z13))</f>
        <v>0</v>
      </c>
      <c r="F33" s="17">
        <f t="shared" si="0"/>
        <v>0</v>
      </c>
      <c r="G33" s="26"/>
      <c r="H33" s="19">
        <f>IF(F33&gt;0,D33/1.2*E33,0)</f>
        <v>0</v>
      </c>
      <c r="I33" s="26"/>
      <c r="J33" s="19">
        <f>IF(H33=0,0,H33*20%)</f>
        <v>0</v>
      </c>
      <c r="L33" s="19">
        <f t="shared" si="1"/>
        <v>0</v>
      </c>
    </row>
    <row r="34" spans="1:12" s="1" customFormat="1" ht="15" customHeight="1" x14ac:dyDescent="0.2">
      <c r="A34" s="1" t="s">
        <v>31</v>
      </c>
      <c r="B34" s="1">
        <f>[1]concours!G3</f>
        <v>0</v>
      </c>
      <c r="D34" s="17">
        <f>[1]concours!G4</f>
        <v>20</v>
      </c>
      <c r="E34" s="15">
        <f>SUMPRODUCT((B4=[1]concours!A6:A13)*([1]concours!B5:Z5="trsp2")*([1]concours!B6:Z13)+(B5=[1]concours!A6:A13)*([1]concours!B5:Z5="trsp2")*([1]concours!B6:Z13)+(B6=[1]concours!A6:A13)*([1]concours!B5:Z5="trsp2")*([1]concours!B6:Z13))</f>
        <v>0</v>
      </c>
      <c r="F34" s="17">
        <f t="shared" si="0"/>
        <v>0</v>
      </c>
      <c r="G34" s="26"/>
      <c r="H34" s="19">
        <f>IF(F34&gt;0,D34/1.2*E34,0)</f>
        <v>0</v>
      </c>
      <c r="I34" s="26"/>
      <c r="J34" s="19">
        <f t="shared" ref="J34:J51" si="8">IF(H34=0,0,H34*20%)</f>
        <v>0</v>
      </c>
      <c r="L34" s="19">
        <f t="shared" si="1"/>
        <v>0</v>
      </c>
    </row>
    <row r="35" spans="1:12" s="1" customFormat="1" ht="15" customHeight="1" x14ac:dyDescent="0.2">
      <c r="A35" s="1" t="s">
        <v>31</v>
      </c>
      <c r="B35" s="1">
        <f>[1]concours!L3</f>
        <v>0</v>
      </c>
      <c r="D35" s="17">
        <f>[1]concours!L4</f>
        <v>0</v>
      </c>
      <c r="E35" s="15">
        <f>SUMPRODUCT((B4=[1]concours!A6:A13)*([1]concours!B5:Z5="trsp3")*([1]concours!B6:Z13)+(B5=[1]concours!A6:A13)*([1]concours!B5:Z5="trsp3")*([1]concours!B6:Z13)+(B6=[1]concours!A6:A13)*([1]concours!B5:Z5="trsp3")*([1]concours!B6:Z13))</f>
        <v>0</v>
      </c>
      <c r="F35" s="17">
        <f t="shared" si="0"/>
        <v>0</v>
      </c>
      <c r="G35" s="26"/>
      <c r="H35" s="19">
        <f t="shared" ref="H35:H42" si="9">IF(F35&gt;0,D35/1.2*E35,0)</f>
        <v>0</v>
      </c>
      <c r="I35" s="26"/>
      <c r="J35" s="19">
        <f t="shared" si="8"/>
        <v>0</v>
      </c>
      <c r="L35" s="19">
        <f t="shared" si="1"/>
        <v>0</v>
      </c>
    </row>
    <row r="36" spans="1:12" s="1" customFormat="1" ht="15" customHeight="1" x14ac:dyDescent="0.2">
      <c r="A36" s="1" t="s">
        <v>31</v>
      </c>
      <c r="B36" s="1">
        <f>[1]concours!Q3</f>
        <v>0</v>
      </c>
      <c r="D36" s="17">
        <f>[1]concours!Q4</f>
        <v>0</v>
      </c>
      <c r="E36" s="15">
        <f>SUMPRODUCT((B4=[1]concours!A6:A13)*([1]concours!B5:Z5="trsp4")*([1]concours!B6:Z13)+(B5=[1]concours!A6:A13)*([1]concours!B5:Z5="trsp4")*([1]concours!B6:Z13)+(B6=[1]concours!A6:A13)*([1]concours!B5:Z5="trsp4")*([1]concours!B6:Z13))</f>
        <v>0</v>
      </c>
      <c r="F36" s="17">
        <f t="shared" si="0"/>
        <v>0</v>
      </c>
      <c r="G36" s="26"/>
      <c r="H36" s="19">
        <f t="shared" si="9"/>
        <v>0</v>
      </c>
      <c r="I36" s="26"/>
      <c r="J36" s="19">
        <f t="shared" si="8"/>
        <v>0</v>
      </c>
      <c r="L36" s="19">
        <f t="shared" si="1"/>
        <v>0</v>
      </c>
    </row>
    <row r="37" spans="1:12" s="1" customFormat="1" ht="15" customHeight="1" x14ac:dyDescent="0.2">
      <c r="A37" s="1" t="s">
        <v>31</v>
      </c>
      <c r="B37" s="1">
        <f>[1]concours!V3</f>
        <v>0</v>
      </c>
      <c r="D37" s="17">
        <f>[1]concours!V4</f>
        <v>0</v>
      </c>
      <c r="E37" s="15">
        <f>SUMPRODUCT((B4=[1]concours!A6:A13)*([1]concours!B5:Z5="trsp5")*([1]concours!B6:Z13)+(B5=[1]concours!A6:A13)*([1]concours!B5:Z5="trsp5")*([1]concours!B6:Z13)+(B6=[1]concours!A6:A13)*([1]concours!B5:Z5="trsp5")*([1]concours!B6:Z13))</f>
        <v>0</v>
      </c>
      <c r="F37" s="17">
        <f t="shared" si="0"/>
        <v>0</v>
      </c>
      <c r="G37" s="26"/>
      <c r="H37" s="19">
        <f t="shared" si="9"/>
        <v>0</v>
      </c>
      <c r="I37" s="26"/>
      <c r="J37" s="19">
        <f t="shared" si="8"/>
        <v>0</v>
      </c>
      <c r="L37" s="19">
        <f t="shared" si="1"/>
        <v>0</v>
      </c>
    </row>
    <row r="38" spans="1:12" s="1" customFormat="1" ht="15" customHeight="1" x14ac:dyDescent="0.2">
      <c r="A38" s="1" t="s">
        <v>32</v>
      </c>
      <c r="B38" s="1" t="str">
        <f>[1]concours!B3</f>
        <v>Sciez 27 et 28 février</v>
      </c>
      <c r="D38" s="17">
        <f>[1]concours!D4</f>
        <v>1</v>
      </c>
      <c r="E38" s="15">
        <f>SUMPRODUCT((B4=[1]concours!A6:A13)*([1]concours!B5:Z5="boxes1")*([1]concours!B6:Z13)+(B5=[1]concours!A6:A13)*([1]concours!B5:Z5="boxes1")*([1]concours!B6:Z13)+(B6=[1]concours!A6:A13)*([1]concours!B5:Z5="boxes1")*([1]concours!B6:Z13))</f>
        <v>0</v>
      </c>
      <c r="F38" s="17">
        <f t="shared" si="0"/>
        <v>0</v>
      </c>
      <c r="G38" s="26"/>
      <c r="H38" s="19">
        <f t="shared" si="9"/>
        <v>0</v>
      </c>
      <c r="I38" s="26"/>
      <c r="J38" s="19">
        <f t="shared" si="8"/>
        <v>0</v>
      </c>
      <c r="L38" s="19">
        <f t="shared" si="1"/>
        <v>0</v>
      </c>
    </row>
    <row r="39" spans="1:12" s="1" customFormat="1" ht="15" customHeight="1" x14ac:dyDescent="0.2">
      <c r="A39" s="1" t="s">
        <v>32</v>
      </c>
      <c r="B39" s="1">
        <f>[1]concours!G3</f>
        <v>0</v>
      </c>
      <c r="D39" s="17">
        <f>[1]concours!I4</f>
        <v>0</v>
      </c>
      <c r="E39" s="15">
        <f>SUMPRODUCT((B4=[1]concours!A6:A13)*([1]concours!B5:Z5="boxes2")*([1]concours!B6:Z13)+(B5=[1]concours!A6:A13)*([1]concours!B5:Z5="boxes2")*([1]concours!B6:Z13)+(B6=[1]concours!A6:A13)*([1]concours!B5:Z5="boxes2")*([1]concours!B6:Z13))</f>
        <v>0</v>
      </c>
      <c r="F39" s="17">
        <f t="shared" si="0"/>
        <v>0</v>
      </c>
      <c r="G39" s="26"/>
      <c r="H39" s="19">
        <f t="shared" si="9"/>
        <v>0</v>
      </c>
      <c r="I39" s="26"/>
      <c r="J39" s="19">
        <f t="shared" si="8"/>
        <v>0</v>
      </c>
      <c r="L39" s="19">
        <f t="shared" si="1"/>
        <v>0</v>
      </c>
    </row>
    <row r="40" spans="1:12" s="1" customFormat="1" ht="15" customHeight="1" x14ac:dyDescent="0.2">
      <c r="A40" s="1" t="s">
        <v>32</v>
      </c>
      <c r="B40" s="1">
        <f>[1]concours!L3</f>
        <v>0</v>
      </c>
      <c r="D40" s="17">
        <f>[1]concours!N4</f>
        <v>0</v>
      </c>
      <c r="E40" s="15">
        <f>SUMPRODUCT((B4=[1]concours!A6:A13)*([1]concours!B5:Z5="boxes3")*([1]concours!B6:Z13)+(B5=[1]concours!A6:A13)*([1]concours!B5:Z5="boxes3")*([1]concours!B6:Z13)+(B6=[1]concours!A6:A13)*([1]concours!B5:Z5="boxes3")*([1]concours!B6:Z13))</f>
        <v>0</v>
      </c>
      <c r="F40" s="17">
        <f t="shared" si="0"/>
        <v>0</v>
      </c>
      <c r="G40" s="26"/>
      <c r="H40" s="19">
        <f t="shared" si="9"/>
        <v>0</v>
      </c>
      <c r="I40" s="26"/>
      <c r="J40" s="19">
        <f t="shared" si="8"/>
        <v>0</v>
      </c>
      <c r="L40" s="19">
        <f t="shared" si="1"/>
        <v>0</v>
      </c>
    </row>
    <row r="41" spans="1:12" s="1" customFormat="1" ht="15" customHeight="1" x14ac:dyDescent="0.2">
      <c r="A41" s="1" t="s">
        <v>32</v>
      </c>
      <c r="B41" s="1">
        <f>[1]concours!Q3</f>
        <v>0</v>
      </c>
      <c r="D41" s="17">
        <f>[1]concours!S4</f>
        <v>1</v>
      </c>
      <c r="E41" s="15">
        <f>SUMPRODUCT((B4=[1]concours!A6:A13)*([1]concours!B5:Z5="boxes4")*([1]concours!B6:Z13)+(B5=[1]concours!A6:A13)*([1]concours!B5:Z5="boxes4")*([1]concours!B6:Z13)+(B6=[1]concours!A6:A13)*([1]concours!B5:Z5="boxes4")*([1]concours!B6:Z13))</f>
        <v>0</v>
      </c>
      <c r="F41" s="17">
        <f t="shared" si="0"/>
        <v>0</v>
      </c>
      <c r="G41" s="26"/>
      <c r="H41" s="19">
        <f t="shared" si="9"/>
        <v>0</v>
      </c>
      <c r="I41" s="26"/>
      <c r="J41" s="19">
        <f t="shared" si="8"/>
        <v>0</v>
      </c>
      <c r="L41" s="19">
        <f t="shared" si="1"/>
        <v>0</v>
      </c>
    </row>
    <row r="42" spans="1:12" s="1" customFormat="1" ht="15" customHeight="1" x14ac:dyDescent="0.2">
      <c r="A42" s="1" t="s">
        <v>32</v>
      </c>
      <c r="B42" s="1">
        <f>[1]concours!V3</f>
        <v>0</v>
      </c>
      <c r="D42" s="17">
        <f>[1]concours!X4</f>
        <v>0</v>
      </c>
      <c r="E42" s="15">
        <f>SUMPRODUCT((B4=[1]concours!A6:A13)*([1]concours!B5:Z5="boxes5")*([1]concours!B6:Z13)+(B5=[1]concours!A6:A13)*([1]concours!B5:Z5="boxes5")*([1]concours!B6:Z13)+(B6=[1]concours!A6:A13)*([1]concours!B5:Z5="boxes5")*([1]concours!B6:Z13))</f>
        <v>0</v>
      </c>
      <c r="F42" s="17">
        <f t="shared" si="0"/>
        <v>0</v>
      </c>
      <c r="G42" s="26"/>
      <c r="H42" s="19">
        <f t="shared" si="9"/>
        <v>0</v>
      </c>
      <c r="I42" s="26"/>
      <c r="J42" s="19">
        <f t="shared" si="8"/>
        <v>0</v>
      </c>
      <c r="L42" s="19">
        <f t="shared" si="1"/>
        <v>0</v>
      </c>
    </row>
    <row r="43" spans="1:12" s="1" customFormat="1" ht="15" customHeight="1" x14ac:dyDescent="0.2">
      <c r="A43" s="1" t="s">
        <v>33</v>
      </c>
      <c r="D43" s="17">
        <f>SUMPRODUCT((B4=[1]concours!A6:A13)*([1]concours!B5:Z5="gains")*([1]concours!B6:Z13)+(B5=[1]concours!A6:A13)*([1]concours!B5:Z5="gains")*([1]concours!B6:Z13)+(B6=[1]concours!A6:A13)*([1]concours!B5:Z5="gains")*([1]concours!B6:Z13))</f>
        <v>0</v>
      </c>
      <c r="E43" s="15"/>
      <c r="F43" s="17">
        <f>-D43</f>
        <v>0</v>
      </c>
      <c r="G43" s="26"/>
      <c r="H43" s="26">
        <f>IF(F43&gt;0,-D43*E43,0)</f>
        <v>0</v>
      </c>
      <c r="I43" s="26"/>
      <c r="J43" s="19"/>
      <c r="L43" s="19">
        <f>F43</f>
        <v>0</v>
      </c>
    </row>
    <row r="44" spans="1:12" x14ac:dyDescent="0.2">
      <c r="A44" s="12" t="s">
        <v>34</v>
      </c>
      <c r="B44" s="1"/>
      <c r="C44" s="1"/>
      <c r="D44" s="17"/>
      <c r="E44" s="15"/>
      <c r="F44" s="17">
        <f t="shared" ref="F44:F51" si="10">D44*E44</f>
        <v>0</v>
      </c>
      <c r="G44" s="19"/>
      <c r="H44" s="19"/>
      <c r="I44" s="19"/>
      <c r="J44" s="19"/>
      <c r="L44" s="19">
        <f t="shared" si="1"/>
        <v>0</v>
      </c>
    </row>
    <row r="45" spans="1:12" x14ac:dyDescent="0.2">
      <c r="A45" s="12" t="s">
        <v>35</v>
      </c>
      <c r="B45" s="1"/>
      <c r="C45" s="1" t="s">
        <v>20</v>
      </c>
      <c r="D45" s="17">
        <v>1.7</v>
      </c>
      <c r="E45" s="15">
        <f>SUMPRODUCT((B4=[1]travail!A4:A62)*([1]travail!DC3:DU3="couvertures")*([1]travail!DC4:DU62)+(B5=[1]travail!A4:A62)*([1]travail!DC3:DU3="couvertures")*([1]travail!DC4:DU62)+(B6=[1]travail!A4:A62)*([1]travail!DC3:DU3="couvertures")*([1]travail!DC4:DU62))</f>
        <v>0</v>
      </c>
      <c r="F45" s="17">
        <f t="shared" si="10"/>
        <v>0</v>
      </c>
      <c r="G45" s="19"/>
      <c r="H45" s="19">
        <f>IF(F45&gt;0,D45/1.2*E45,0)</f>
        <v>0</v>
      </c>
      <c r="I45" s="19"/>
      <c r="J45" s="19">
        <f t="shared" si="8"/>
        <v>0</v>
      </c>
      <c r="L45" s="19">
        <f t="shared" si="1"/>
        <v>0</v>
      </c>
    </row>
    <row r="46" spans="1:12" x14ac:dyDescent="0.2">
      <c r="A46" s="1"/>
      <c r="B46" s="1" t="s">
        <v>36</v>
      </c>
      <c r="C46" s="1"/>
      <c r="D46" s="17">
        <v>15</v>
      </c>
      <c r="E46" s="15">
        <f>SUMPRODUCT((B4=[1]travail!A4:A62)*([1]travail!DC3:DU3="forfait couv")*([1]travail!DC4:DU62)+(B5=[1]travail!A4:A62)*([1]travail!DC3:DU3="forfait couv")*([1]travail!DC4:DU62)+(B6=[1]travail!A4:A62)*([1]travail!DC3:DU3="forfait couv")*([1]travail!DC4:DU62))</f>
        <v>1</v>
      </c>
      <c r="F46" s="17">
        <f t="shared" si="10"/>
        <v>15</v>
      </c>
      <c r="G46" s="19"/>
      <c r="H46" s="19">
        <f t="shared" ref="H46:H51" si="11">IF(F46&gt;0,D46/1.2*E46,0)</f>
        <v>12.5</v>
      </c>
      <c r="I46" s="19"/>
      <c r="J46" s="19">
        <f t="shared" si="8"/>
        <v>2.5</v>
      </c>
      <c r="L46" s="19">
        <f t="shared" si="1"/>
        <v>15</v>
      </c>
    </row>
    <row r="47" spans="1:12" x14ac:dyDescent="0.2">
      <c r="A47" s="12" t="s">
        <v>37</v>
      </c>
      <c r="B47" s="1"/>
      <c r="C47" s="1"/>
      <c r="D47" s="17"/>
      <c r="E47" s="15"/>
      <c r="F47" s="17">
        <f t="shared" si="10"/>
        <v>0</v>
      </c>
      <c r="G47" s="19"/>
      <c r="H47" s="19">
        <f t="shared" si="11"/>
        <v>0</v>
      </c>
      <c r="I47" s="19"/>
      <c r="J47" s="19"/>
      <c r="L47" s="19">
        <f t="shared" si="1"/>
        <v>0</v>
      </c>
    </row>
    <row r="48" spans="1:12" x14ac:dyDescent="0.2">
      <c r="A48" s="1"/>
      <c r="B48" s="1" t="s">
        <v>38</v>
      </c>
      <c r="C48" s="1"/>
      <c r="D48" s="17">
        <v>70</v>
      </c>
      <c r="E48" s="15">
        <f>SUMPRODUCT((B4=[1]travail!A4:A62)*([1]travail!DC3:DU3="tonte 70")*([1]travail!DC4:DU62)+(B5=[1]travail!A4:A62)*([1]travail!DC3:DU3="tonte 70")*([1]travail!DC4:DU62)+(B6=[1]travail!A4:A62)*([1]travail!DC3:DU3="tonte 70")*([1]travail!DC4:DU62))</f>
        <v>0</v>
      </c>
      <c r="F48" s="17">
        <f t="shared" si="10"/>
        <v>0</v>
      </c>
      <c r="G48" s="19"/>
      <c r="H48" s="19">
        <f t="shared" si="11"/>
        <v>0</v>
      </c>
      <c r="I48" s="19"/>
      <c r="J48" s="19">
        <f t="shared" si="8"/>
        <v>0</v>
      </c>
      <c r="L48" s="19">
        <f t="shared" si="1"/>
        <v>0</v>
      </c>
    </row>
    <row r="49" spans="1:12" s="101" customFormat="1" x14ac:dyDescent="0.2">
      <c r="A49" s="1"/>
      <c r="B49" s="1" t="s">
        <v>39</v>
      </c>
      <c r="C49" s="1"/>
      <c r="D49" s="17">
        <v>90</v>
      </c>
      <c r="E49" s="15">
        <f>SUMPRODUCT((B4=[1]travail!A4:A62)*([1]travail!DC3:DU3="tonte 90")*([1]travail!DC4:DU62)+(B5=[1]travail!A4:A62)*([1]travail!DC3:DU3="tonte 90")*([1]travail!DC4:DU62)+(B6=[1]travail!A4:A62)*([1]travail!DC3:DU3="tonte 90")*([1]travail!DC4:DU62))</f>
        <v>1</v>
      </c>
      <c r="F49" s="17">
        <f t="shared" si="10"/>
        <v>90</v>
      </c>
      <c r="G49" s="19"/>
      <c r="H49" s="19">
        <f t="shared" si="11"/>
        <v>75</v>
      </c>
      <c r="I49" s="19"/>
      <c r="J49" s="19">
        <f t="shared" si="8"/>
        <v>15</v>
      </c>
      <c r="K49" s="3"/>
      <c r="L49" s="19">
        <f t="shared" si="1"/>
        <v>90</v>
      </c>
    </row>
    <row r="50" spans="1:12" x14ac:dyDescent="0.2">
      <c r="A50" s="1"/>
      <c r="B50" s="1" t="s">
        <v>40</v>
      </c>
      <c r="C50" s="1"/>
      <c r="D50" s="27">
        <v>5</v>
      </c>
      <c r="E50" s="15">
        <f>SUMPRODUCT((B4=[1]travail!A4:A62)*([1]travail!DC3:DU3="main")*([1]travail!DC4:DU62)+(B5=[1]travail!A4:A62)*([1]travail!DC3:DU3="main")*([1]travail!DC4:DU62)+(B6=[1]travail!A4:A62)*([1]travail!DC3:DU3="main")*([1]travail!DC4:DU62))</f>
        <v>0</v>
      </c>
      <c r="F50" s="17">
        <f t="shared" si="10"/>
        <v>0</v>
      </c>
      <c r="G50" s="19"/>
      <c r="H50" s="19">
        <f t="shared" si="11"/>
        <v>0</v>
      </c>
      <c r="I50" s="19"/>
      <c r="J50" s="19">
        <f t="shared" si="8"/>
        <v>0</v>
      </c>
      <c r="L50" s="19">
        <f t="shared" si="1"/>
        <v>0</v>
      </c>
    </row>
    <row r="51" spans="1:12" x14ac:dyDescent="0.2">
      <c r="A51" s="1"/>
      <c r="B51" s="28"/>
      <c r="C51" s="28"/>
      <c r="D51" s="27"/>
      <c r="E51" s="18"/>
      <c r="F51" s="27">
        <f t="shared" si="10"/>
        <v>0</v>
      </c>
      <c r="G51" s="19"/>
      <c r="H51" s="19">
        <f t="shared" si="11"/>
        <v>0</v>
      </c>
      <c r="I51" s="19"/>
      <c r="J51" s="19">
        <f t="shared" si="8"/>
        <v>0</v>
      </c>
      <c r="L51" s="19">
        <f t="shared" si="1"/>
        <v>0</v>
      </c>
    </row>
    <row r="52" spans="1:12" x14ac:dyDescent="0.2">
      <c r="A52" s="1"/>
      <c r="B52" s="1"/>
      <c r="C52" s="1"/>
      <c r="D52" s="1"/>
      <c r="E52" s="4" t="s">
        <v>41</v>
      </c>
      <c r="F52" s="29">
        <f>SUM(F7:F51)</f>
        <v>1335.4</v>
      </c>
      <c r="G52" s="19">
        <f>SUM(G9:G51)</f>
        <v>18</v>
      </c>
      <c r="H52" s="19">
        <f>SUM(H9:H51)</f>
        <v>441.9799999999999</v>
      </c>
      <c r="I52" s="19">
        <f>SUM(I9:I51)</f>
        <v>1</v>
      </c>
      <c r="J52" s="19">
        <f>SUM(J9:J51)</f>
        <v>88.412000000000006</v>
      </c>
      <c r="K52" s="19">
        <f>SUM(K9:K51)</f>
        <v>72</v>
      </c>
      <c r="L52" s="3" t="s">
        <v>42</v>
      </c>
    </row>
    <row r="53" spans="1:12" x14ac:dyDescent="0.2">
      <c r="A53" s="1"/>
      <c r="B53" s="1"/>
      <c r="C53" s="1"/>
      <c r="D53" s="1"/>
      <c r="E53" s="13" t="s">
        <v>43</v>
      </c>
      <c r="F53" s="30">
        <f>F52</f>
        <v>1335.4</v>
      </c>
      <c r="G53" s="31"/>
      <c r="H53" s="19"/>
      <c r="I53" s="32">
        <f>I7+I52</f>
        <v>35.65</v>
      </c>
      <c r="J53" s="32">
        <f>J7+J52</f>
        <v>96.64200000000001</v>
      </c>
      <c r="L53" s="33" t="s">
        <v>12</v>
      </c>
    </row>
    <row r="54" spans="1:12" x14ac:dyDescent="0.2">
      <c r="E54" s="34"/>
      <c r="F54" s="28"/>
      <c r="G54" s="35"/>
      <c r="I54" s="19">
        <f>F86*5.5%</f>
        <v>35.64</v>
      </c>
      <c r="J54" s="19">
        <f>F88*20%</f>
        <v>96.61999999999999</v>
      </c>
      <c r="L54" s="3" t="s">
        <v>44</v>
      </c>
    </row>
    <row r="55" spans="1:12" s="101" customFormat="1" x14ac:dyDescent="0.2">
      <c r="E55" s="102"/>
      <c r="F55" s="103" t="s">
        <v>69</v>
      </c>
      <c r="G55" s="104"/>
      <c r="I55" s="95">
        <f>I53-I54</f>
        <v>9.9999999999980105E-3</v>
      </c>
      <c r="J55" s="95">
        <f>J53-J54</f>
        <v>2.2000000000019782E-2</v>
      </c>
      <c r="L55" s="101" t="s">
        <v>45</v>
      </c>
    </row>
    <row r="59" spans="1:12" x14ac:dyDescent="0.2">
      <c r="A59" s="37"/>
      <c r="B59" s="37"/>
    </row>
    <row r="60" spans="1:12" x14ac:dyDescent="0.2">
      <c r="A60" s="37"/>
      <c r="B60" s="37"/>
      <c r="D60" s="38" t="s">
        <v>46</v>
      </c>
      <c r="E60" s="39" t="s">
        <v>47</v>
      </c>
      <c r="F60" s="40" t="s">
        <v>79</v>
      </c>
    </row>
    <row r="61" spans="1:12" x14ac:dyDescent="0.2">
      <c r="A61" s="37"/>
      <c r="B61" s="37"/>
    </row>
    <row r="62" spans="1:12" x14ac:dyDescent="0.2">
      <c r="A62" s="37"/>
      <c r="B62" s="37"/>
      <c r="D62" s="41" t="s">
        <v>49</v>
      </c>
      <c r="E62" s="110">
        <f>DATE(2016,3,1)</f>
        <v>42430</v>
      </c>
      <c r="F62" s="110"/>
    </row>
    <row r="63" spans="1:12" x14ac:dyDescent="0.2">
      <c r="A63" s="37"/>
      <c r="B63" s="37"/>
    </row>
    <row r="64" spans="1:12" x14ac:dyDescent="0.2">
      <c r="A64" s="37"/>
      <c r="B64" s="37"/>
    </row>
    <row r="65" spans="1:6" x14ac:dyDescent="0.2">
      <c r="A65" s="37"/>
      <c r="B65" s="37"/>
    </row>
    <row r="66" spans="1:6" x14ac:dyDescent="0.2">
      <c r="A66" s="37"/>
      <c r="B66" s="37"/>
    </row>
    <row r="67" spans="1:6" x14ac:dyDescent="0.2">
      <c r="A67" s="37"/>
      <c r="B67" s="37"/>
    </row>
    <row r="68" spans="1:6" x14ac:dyDescent="0.2">
      <c r="A68" s="37"/>
      <c r="B68" s="37"/>
    </row>
    <row r="69" spans="1:6" ht="24" x14ac:dyDescent="0.35">
      <c r="A69" s="42" t="s">
        <v>50</v>
      </c>
      <c r="B69" s="37"/>
      <c r="D69" s="3" t="str">
        <f>E4</f>
        <v>eeeee</v>
      </c>
    </row>
    <row r="70" spans="1:6" ht="17" x14ac:dyDescent="0.25">
      <c r="A70" s="43" t="s">
        <v>81</v>
      </c>
      <c r="D70" s="3">
        <f>A53</f>
        <v>0</v>
      </c>
    </row>
    <row r="71" spans="1:6" ht="17" x14ac:dyDescent="0.25">
      <c r="A71" s="43"/>
      <c r="D71" s="3">
        <f>A54</f>
        <v>0</v>
      </c>
    </row>
    <row r="72" spans="1:6" ht="17" x14ac:dyDescent="0.25">
      <c r="A72" s="43" t="s">
        <v>82</v>
      </c>
    </row>
    <row r="74" spans="1:6" x14ac:dyDescent="0.2">
      <c r="A74" s="44" t="s">
        <v>51</v>
      </c>
      <c r="B74" s="45"/>
      <c r="C74" s="45"/>
      <c r="D74" s="46" t="s">
        <v>5</v>
      </c>
      <c r="E74" s="46" t="s">
        <v>52</v>
      </c>
      <c r="F74" s="46" t="s">
        <v>53</v>
      </c>
    </row>
    <row r="75" spans="1:6" x14ac:dyDescent="0.2">
      <c r="A75" s="47" t="s">
        <v>54</v>
      </c>
      <c r="B75" s="48"/>
      <c r="D75" s="49">
        <v>1</v>
      </c>
      <c r="E75" s="50">
        <v>5.5E-2</v>
      </c>
      <c r="F75" s="51">
        <f>G7+G8</f>
        <v>630</v>
      </c>
    </row>
    <row r="76" spans="1:6" x14ac:dyDescent="0.2">
      <c r="A76" s="47" t="s">
        <v>55</v>
      </c>
      <c r="B76" s="52" t="s">
        <v>56</v>
      </c>
      <c r="D76" s="53">
        <v>1</v>
      </c>
      <c r="E76" s="54">
        <v>0.2</v>
      </c>
      <c r="F76" s="55">
        <f>H7+H8</f>
        <v>41.12</v>
      </c>
    </row>
    <row r="77" spans="1:6" x14ac:dyDescent="0.2">
      <c r="A77" s="47" t="s">
        <v>54</v>
      </c>
      <c r="D77" s="56">
        <v>1</v>
      </c>
      <c r="E77" s="54">
        <v>5.5E-2</v>
      </c>
      <c r="F77" s="55">
        <f>G52</f>
        <v>18</v>
      </c>
    </row>
    <row r="78" spans="1:6" x14ac:dyDescent="0.2">
      <c r="A78" s="47" t="s">
        <v>57</v>
      </c>
      <c r="B78" s="52" t="s">
        <v>56</v>
      </c>
      <c r="D78" s="56">
        <v>1</v>
      </c>
      <c r="E78" s="54">
        <v>0.2</v>
      </c>
      <c r="F78" s="55">
        <f>H52</f>
        <v>441.9799999999999</v>
      </c>
    </row>
    <row r="79" spans="1:6" x14ac:dyDescent="0.2">
      <c r="A79" s="47" t="str">
        <f>IF(F79=0," ",("ENGAGEMENT CONCOURS"))</f>
        <v>ENGAGEMENT CONCOURS</v>
      </c>
      <c r="D79" s="56"/>
      <c r="E79" s="56"/>
      <c r="F79" s="57">
        <f>SUM(K28:K32)+L43</f>
        <v>72</v>
      </c>
    </row>
    <row r="80" spans="1:6" x14ac:dyDescent="0.2">
      <c r="A80" s="47">
        <f ca="1">IF(F80=0,A80="",A80=("BOXES"))</f>
        <v>0</v>
      </c>
      <c r="D80" s="56"/>
      <c r="E80" s="56"/>
      <c r="F80" s="58"/>
    </row>
    <row r="81" spans="1:6" x14ac:dyDescent="0.2">
      <c r="A81" s="59"/>
      <c r="D81" s="60"/>
      <c r="E81" s="58"/>
      <c r="F81" s="55"/>
    </row>
    <row r="82" spans="1:6" x14ac:dyDescent="0.2">
      <c r="A82" s="59"/>
      <c r="D82" s="60"/>
      <c r="E82" s="58"/>
      <c r="F82" s="55"/>
    </row>
    <row r="83" spans="1:6" x14ac:dyDescent="0.2">
      <c r="A83" s="59"/>
      <c r="D83" s="60"/>
      <c r="E83" s="58"/>
      <c r="F83" s="55"/>
    </row>
    <row r="84" spans="1:6" x14ac:dyDescent="0.2">
      <c r="A84" s="59"/>
      <c r="D84" s="58"/>
      <c r="E84" s="58"/>
      <c r="F84" s="55"/>
    </row>
    <row r="85" spans="1:6" x14ac:dyDescent="0.2">
      <c r="A85" s="59"/>
      <c r="D85" s="61"/>
      <c r="E85" s="61"/>
      <c r="F85" s="62"/>
    </row>
    <row r="86" spans="1:6" x14ac:dyDescent="0.2">
      <c r="A86" s="63"/>
      <c r="B86" s="64"/>
      <c r="C86" s="65"/>
      <c r="D86" s="66" t="s">
        <v>58</v>
      </c>
      <c r="E86" s="67"/>
      <c r="F86" s="68">
        <f>F75+F77</f>
        <v>648</v>
      </c>
    </row>
    <row r="87" spans="1:6" x14ac:dyDescent="0.2">
      <c r="A87" s="59"/>
      <c r="B87" s="10"/>
      <c r="C87" s="69"/>
      <c r="D87" s="70" t="s">
        <v>59</v>
      </c>
      <c r="E87" s="71"/>
      <c r="F87" s="72">
        <f>F86*5.5%+0.02</f>
        <v>35.660000000000004</v>
      </c>
    </row>
    <row r="88" spans="1:6" x14ac:dyDescent="0.2">
      <c r="A88" s="59"/>
      <c r="B88" s="10"/>
      <c r="C88" s="69"/>
      <c r="D88" s="73" t="s">
        <v>60</v>
      </c>
      <c r="E88" s="70"/>
      <c r="F88" s="72">
        <f>F76+F78</f>
        <v>483.09999999999991</v>
      </c>
    </row>
    <row r="89" spans="1:6" x14ac:dyDescent="0.2">
      <c r="A89" s="59"/>
      <c r="B89" s="10"/>
      <c r="C89" s="69"/>
      <c r="D89" s="74" t="s">
        <v>61</v>
      </c>
      <c r="E89" s="71"/>
      <c r="F89" s="72">
        <f>F88*20%+0.02</f>
        <v>96.639999999999986</v>
      </c>
    </row>
    <row r="90" spans="1:6" x14ac:dyDescent="0.2">
      <c r="A90" s="59"/>
      <c r="B90" s="10"/>
      <c r="C90" s="69"/>
      <c r="D90" s="75" t="s">
        <v>62</v>
      </c>
      <c r="E90" s="71"/>
      <c r="F90" s="72">
        <f>F79</f>
        <v>72</v>
      </c>
    </row>
    <row r="91" spans="1:6" x14ac:dyDescent="0.2">
      <c r="A91" s="59"/>
      <c r="B91" s="10"/>
      <c r="C91" s="69"/>
      <c r="D91" s="76"/>
      <c r="E91" s="77"/>
      <c r="F91" s="78"/>
    </row>
    <row r="92" spans="1:6" x14ac:dyDescent="0.2">
      <c r="A92" s="79"/>
      <c r="B92" s="80"/>
      <c r="C92" s="81"/>
      <c r="D92" s="82" t="s">
        <v>63</v>
      </c>
      <c r="E92" s="83"/>
      <c r="F92" s="84">
        <f>SUM(F86:F91)</f>
        <v>1335.3999999999996</v>
      </c>
    </row>
    <row r="93" spans="1:6" x14ac:dyDescent="0.2">
      <c r="A93" s="85" t="s">
        <v>64</v>
      </c>
      <c r="B93" s="85"/>
      <c r="C93" s="85"/>
      <c r="D93" s="85"/>
      <c r="E93" s="85"/>
      <c r="F93" s="85"/>
    </row>
    <row r="94" spans="1:6" x14ac:dyDescent="0.2">
      <c r="A94" s="85" t="s">
        <v>65</v>
      </c>
      <c r="B94" s="85"/>
      <c r="C94" s="85"/>
      <c r="D94" s="85"/>
      <c r="E94" s="85"/>
      <c r="F94" s="85"/>
    </row>
    <row r="95" spans="1:6" x14ac:dyDescent="0.2">
      <c r="A95" s="85"/>
      <c r="B95" s="85"/>
      <c r="C95" s="85"/>
      <c r="D95" s="85"/>
      <c r="E95" s="85"/>
      <c r="F95" s="85"/>
    </row>
    <row r="96" spans="1:6" x14ac:dyDescent="0.2">
      <c r="A96" s="86" t="s">
        <v>66</v>
      </c>
      <c r="B96" s="85"/>
      <c r="C96" s="85"/>
      <c r="D96" s="85"/>
      <c r="E96" s="85"/>
      <c r="F96" s="85"/>
    </row>
    <row r="97" spans="1:6" x14ac:dyDescent="0.2">
      <c r="A97" s="86" t="s">
        <v>67</v>
      </c>
      <c r="B97" s="85"/>
      <c r="C97" s="85"/>
      <c r="D97" s="85"/>
      <c r="E97" s="85"/>
      <c r="F97" s="85"/>
    </row>
    <row r="98" spans="1:6" x14ac:dyDescent="0.2">
      <c r="A98" s="86" t="s">
        <v>68</v>
      </c>
      <c r="B98" s="85"/>
      <c r="C98" s="85"/>
      <c r="E98" s="3"/>
      <c r="F98" s="36"/>
    </row>
    <row r="99" spans="1:6" x14ac:dyDescent="0.2">
      <c r="E99" s="3"/>
      <c r="F99" s="36"/>
    </row>
    <row r="100" spans="1:6" x14ac:dyDescent="0.2">
      <c r="F100" s="87" t="s">
        <v>69</v>
      </c>
    </row>
    <row r="104" spans="1:6" x14ac:dyDescent="0.2">
      <c r="A104" s="86"/>
    </row>
  </sheetData>
  <sheetProtection selectLockedCells="1"/>
  <mergeCells count="4">
    <mergeCell ref="C1:D1"/>
    <mergeCell ref="E1:F1"/>
    <mergeCell ref="E4:F4"/>
    <mergeCell ref="E62:F62"/>
  </mergeCells>
  <hyperlinks>
    <hyperlink ref="D4" location="recap!A1" display=" CAVALIER"/>
    <hyperlink ref="A4" location="travail!A1" display="NOM DU CHEVAL"/>
    <hyperlink ref="F55" location="recap!A1" display="*****"/>
    <hyperlink ref="F100" location="recap!A1" display="*****"/>
    <hyperlink ref="A22" location="concours!A1" display="CSO"/>
  </hyperlinks>
  <pageMargins left="0.25" right="0.25" top="0.17" bottom="0.28000000000000003" header="0.18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aaaaa</vt:lpstr>
      <vt:lpstr>bbbbb</vt:lpstr>
      <vt:lpstr>ccccc</vt:lpstr>
      <vt:lpstr>ddddd</vt:lpstr>
      <vt:lpstr>eeeee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2016-03-25T11:33:28Z</dcterms:created>
  <dcterms:modified xsi:type="dcterms:W3CDTF">2016-03-25T14:15:53Z</dcterms:modified>
</cp:coreProperties>
</file>