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 yWindow="-15" windowWidth="20550" windowHeight="8010" tabRatio="952" activeTab="6"/>
  </bookViews>
  <sheets>
    <sheet name="BD" sheetId="117" r:id="rId1"/>
    <sheet name="BD_Client" sheetId="116" r:id="rId2"/>
    <sheet name="Matrice" sheetId="11" r:id="rId3"/>
    <sheet name="Bon_Commande" sheetId="34" r:id="rId4"/>
    <sheet name="BD_ET_PR" sheetId="17" r:id="rId5"/>
    <sheet name="BD_Prod" sheetId="114" r:id="rId6"/>
    <sheet name="ET_PRIX" sheetId="115" r:id="rId7"/>
    <sheet name="DEVIS Estimatif" sheetId="118" r:id="rId8"/>
    <sheet name="Feuil5" sheetId="119" r:id="rId9"/>
    <sheet name="Feuil6" sheetId="120" r:id="rId10"/>
  </sheets>
  <externalReferences>
    <externalReference r:id="rId11"/>
    <externalReference r:id="rId12"/>
    <externalReference r:id="rId13"/>
    <externalReference r:id="rId14"/>
    <externalReference r:id="rId15"/>
    <externalReference r:id="rId16"/>
    <externalReference r:id="rId17"/>
  </externalReferences>
  <definedNames>
    <definedName name="_xlnm._FilterDatabase" localSheetId="7" hidden="1">'DEVIS Estimatif'!$A$10:$G$120</definedName>
    <definedName name="_xlnm._FilterDatabase" localSheetId="6" hidden="1">ET_PRIX!$B$2:$I$411</definedName>
    <definedName name="Adresse_Client" localSheetId="0">'[1]Devis (2)'!$E$6</definedName>
    <definedName name="Adresse_Client" localSheetId="1">'[1]Devis (2)'!$E$6</definedName>
    <definedName name="Adresse_Client">#REF!</definedName>
    <definedName name="AGL">Matrice!$I$5</definedName>
    <definedName name="AGM" localSheetId="0">[3]Matrice!$H$5</definedName>
    <definedName name="AGM" localSheetId="1">[2]Matrice!$H$5</definedName>
    <definedName name="AGM">Matrice!$H$5</definedName>
    <definedName name="ALEA" localSheetId="0">[3]Matrice!$F$5</definedName>
    <definedName name="ALEA" localSheetId="1">[2]Matrice!$F$5</definedName>
    <definedName name="ALEA">Matrice!$F$5</definedName>
    <definedName name="Alerte" localSheetId="0">BD!#REF!</definedName>
    <definedName name="Alerte">#REF!</definedName>
    <definedName name="Base_Clients" localSheetId="0">#REF!</definedName>
    <definedName name="Base_Clients" localSheetId="1">#REF!</definedName>
    <definedName name="Base_Clients">#REF!</definedName>
    <definedName name="BENEF">Matrice!$J$5</definedName>
    <definedName name="Bville" localSheetId="0">BD!$B$2:$B$40</definedName>
    <definedName name="Bville">#REF!</definedName>
    <definedName name="c_h_p" localSheetId="0">#REF!</definedName>
    <definedName name="c_h_p" localSheetId="1">#REF!</definedName>
    <definedName name="c_h_p">#REF!</definedName>
    <definedName name="Chercher" localSheetId="0">#REF!</definedName>
    <definedName name="Chercher" localSheetId="1">#REF!</definedName>
    <definedName name="Chercher" localSheetId="7">'[5]REHAUSSE MUR'!$B$4:$B$4</definedName>
    <definedName name="Chercher">#REF!</definedName>
    <definedName name="CODEPO" localSheetId="0">BD!$A$2:$B$40</definedName>
    <definedName name="CODEPO">#REF!</definedName>
    <definedName name="CP_Ville_Client" localSheetId="0">'[1]Devis (2)'!$E$7</definedName>
    <definedName name="CP_Ville_Client" localSheetId="1">'[1]Devis (2)'!$E$7</definedName>
    <definedName name="CP_Ville_Client">#REF!</definedName>
    <definedName name="DataBase0" localSheetId="0" hidden="1">#REF!</definedName>
    <definedName name="DataBase0" localSheetId="1" hidden="1">#REF!</definedName>
    <definedName name="DataBase0" localSheetId="3" hidden="1">#REF!</definedName>
    <definedName name="DataBase0" hidden="1">#REF!</definedName>
    <definedName name="DataBase1" localSheetId="0" hidden="1">#REF!</definedName>
    <definedName name="DataBase1" localSheetId="1" hidden="1">#REF!</definedName>
    <definedName name="DataBase1" localSheetId="3" hidden="1">#REF!</definedName>
    <definedName name="DataBase1" hidden="1">#REF!</definedName>
    <definedName name="DataBase2" localSheetId="0" hidden="1">#REF!</definedName>
    <definedName name="DataBase2" localSheetId="1" hidden="1">#REF!</definedName>
    <definedName name="DataBase2" localSheetId="3" hidden="1">#REF!</definedName>
    <definedName name="DataBase2" hidden="1">#REF!</definedName>
    <definedName name="DataBase3" localSheetId="0" hidden="1">#REF!</definedName>
    <definedName name="DataBase3" localSheetId="1" hidden="1">#REF!</definedName>
    <definedName name="DataBase3" localSheetId="3" hidden="1">#REF!</definedName>
    <definedName name="DataBase3" hidden="1">#REF!</definedName>
    <definedName name="DateFin1" localSheetId="0" hidden="1">#REF!</definedName>
    <definedName name="DateFin1" localSheetId="1" hidden="1">#REF!</definedName>
    <definedName name="DateFin1" localSheetId="3" hidden="1">#REF!</definedName>
    <definedName name="DateFin1" hidden="1">#REF!</definedName>
    <definedName name="Débourse" localSheetId="3" hidden="1">Bon_Commande!#REF!</definedName>
    <definedName name="Devis" localSheetId="0">#REF!</definedName>
    <definedName name="Devis">#REF!</definedName>
    <definedName name="Ech_Fac" localSheetId="0">BD!#REF!</definedName>
    <definedName name="ECHEAN" localSheetId="0">BD!$J$2:$J$6</definedName>
    <definedName name="Echéancier" localSheetId="0">BD!$J$2:$J$6</definedName>
    <definedName name="Echéancier">#REF!</definedName>
    <definedName name="Etape" localSheetId="0">BD!$O$2:$O$10</definedName>
    <definedName name="Etape">#REF!</definedName>
    <definedName name="FDF">Matrice!$G$5</definedName>
    <definedName name="Fournisseurs" localSheetId="0">BD!$D$2:$E$7</definedName>
    <definedName name="Fournisseurs">#REF!</definedName>
    <definedName name="HOLCIM" localSheetId="0">#REF!</definedName>
    <definedName name="HOLCIM" localSheetId="1">#REF!</definedName>
    <definedName name="HOLCIM">#REF!</definedName>
    <definedName name="incre" localSheetId="0">BD!$I$2</definedName>
    <definedName name="incre">#REF!</definedName>
    <definedName name="incref" localSheetId="0">BD!$K$2</definedName>
    <definedName name="incref">#REF!</definedName>
    <definedName name="JourFerie1" localSheetId="0" hidden="1">#REF!</definedName>
    <definedName name="JourFerie1" localSheetId="1" hidden="1">#REF!</definedName>
    <definedName name="JourFerie1" localSheetId="3" hidden="1">#REF!</definedName>
    <definedName name="JourFerie1" hidden="1">#REF!</definedName>
    <definedName name="Matrice" localSheetId="0">BD!$F$2:$G$13</definedName>
    <definedName name="Matrice">#REF!</definedName>
    <definedName name="MEG">Matrice!$I$5</definedName>
    <definedName name="MOA">Matrice!$E$5</definedName>
    <definedName name="MOGAMAT" localSheetId="0">#REF!</definedName>
    <definedName name="MOGAMAT" localSheetId="1">#REF!</definedName>
    <definedName name="MOGAMAT">#REF!</definedName>
    <definedName name="mois" localSheetId="0">BD!$J$2:$J$13</definedName>
    <definedName name="Mois">#REF!</definedName>
    <definedName name="MontantTVA">[4]Devis!$O$25</definedName>
    <definedName name="Nbr_Ech" localSheetId="0">BD!$J$8</definedName>
    <definedName name="Nom_Client" localSheetId="0">'[1]Devis (2)'!$E$5</definedName>
    <definedName name="Nom_Client" localSheetId="1">'[1]Devis (2)'!$E$5</definedName>
    <definedName name="Nom_Client">#REF!</definedName>
    <definedName name="Numero_Client" localSheetId="0">'[1]Devis (2)'!$E$3</definedName>
    <definedName name="Numero_Client" localSheetId="1">'[1]Devis (2)'!$E$3</definedName>
    <definedName name="Numero_Client">#REF!</definedName>
    <definedName name="Ouvrage" localSheetId="0">'[1]Devis (2)'!$C$12</definedName>
    <definedName name="Ouvrage" localSheetId="1">'[1]Devis (2)'!$C$12</definedName>
    <definedName name="Ouvrage">#REF!</definedName>
    <definedName name="P_Vente" localSheetId="0">#REF!</definedName>
    <definedName name="P_Vente" localSheetId="1">[2]DEVIS_Estimatif!$O$127</definedName>
    <definedName name="P_Vente">#REF!</definedName>
    <definedName name="PHT">[3]Devis!$O$32</definedName>
    <definedName name="pourcentage" localSheetId="0">BD!#REF!</definedName>
    <definedName name="pourcentage">#REF!</definedName>
    <definedName name="PREFABETON" localSheetId="0">#REF!</definedName>
    <definedName name="PREFABETON" localSheetId="1">#REF!</definedName>
    <definedName name="PREFABETON">#REF!</definedName>
    <definedName name="Prix_RV" localSheetId="0">'[1]Devis (2)'!$M$58</definedName>
    <definedName name="Prix_RV" localSheetId="1">'[1]Devis (2)'!$M$58</definedName>
    <definedName name="Prix_RV">#REF!</definedName>
    <definedName name="Prix_VHT" localSheetId="0">'[1]Devis (2)'!$P$58</definedName>
    <definedName name="Prix_VHT" localSheetId="1">'[1]Devis (2)'!$P$58</definedName>
    <definedName name="Prix_VHT" localSheetId="7">'DEVIS Estimatif'!$F$122</definedName>
    <definedName name="Prix_VHT">#REF!</definedName>
    <definedName name="PrixVHT" localSheetId="0">#REF!</definedName>
    <definedName name="PrixVHT" localSheetId="1">[2]DEVIS_Estimatif!$O$122</definedName>
    <definedName name="PrixVHT">#REF!</definedName>
    <definedName name="PTTC">[3]Devis!$O$36</definedName>
    <definedName name="PTVA">[3]Devis!$O$34</definedName>
    <definedName name="PVente" localSheetId="0">'[1]Devis (2)'!$P$63</definedName>
    <definedName name="PVente" localSheetId="1">'[1]Devis (2)'!$P$63</definedName>
    <definedName name="PVente" localSheetId="7">'DEVIS Estimatif'!$F$127</definedName>
    <definedName name="PVente">#REF!</definedName>
    <definedName name="PVHT">[3]Devis!$O$31</definedName>
    <definedName name="PVTTC">[4]Devis!$O$28</definedName>
    <definedName name="remise" localSheetId="0">'[1]Devis (2)'!$O$62</definedName>
    <definedName name="remise" localSheetId="1">'[1]Devis (2)'!$O$62</definedName>
    <definedName name="remise">#REF!</definedName>
    <definedName name="SEIGNERIE" localSheetId="0">#REF!</definedName>
    <definedName name="SEIGNERIE" localSheetId="1">#REF!</definedName>
    <definedName name="SEIGNERIE">#REF!</definedName>
    <definedName name="Total" localSheetId="3" hidden="1">Bon_Commande!#REF!</definedName>
    <definedName name="TotalFacturé" localSheetId="0">BD!$L$2:$M$6</definedName>
    <definedName name="TotalFacturé">#REF!</definedName>
    <definedName name="TotalFO" localSheetId="0">'[1]Devis (2)'!$H$58</definedName>
    <definedName name="TotalFO" localSheetId="1">'[1]Devis (2)'!$H$58</definedName>
    <definedName name="TotalFO">#REF!</definedName>
    <definedName name="TotalMO" localSheetId="0">'[1]Devis (2)'!$L$58</definedName>
    <definedName name="TotalMO" localSheetId="1">'[1]Devis (2)'!$L$58</definedName>
    <definedName name="TotalMO">#REF!</definedName>
    <definedName name="TVA">[3]Devis!$N$34</definedName>
    <definedName name="ValeurMarges" localSheetId="0" hidden="1">#REF!</definedName>
    <definedName name="ValeurMarges" localSheetId="1" hidden="1">#REF!</definedName>
    <definedName name="ValeurMarges" localSheetId="3" hidden="1">#REF!</definedName>
    <definedName name="ValeurMarges" hidden="1">#REF!</definedName>
    <definedName name="_xlnm.Print_Area" localSheetId="3">Bon_Commande!$A$1:$I$61</definedName>
    <definedName name="_xlnm.Print_Area" localSheetId="7">'DEVIS Estimatif'!$A$1:$F$197</definedName>
  </definedNames>
  <calcPr calcId="125725"/>
  <fileRecoveryPr repairLoad="1"/>
</workbook>
</file>

<file path=xl/calcChain.xml><?xml version="1.0" encoding="utf-8"?>
<calcChain xmlns="http://schemas.openxmlformats.org/spreadsheetml/2006/main">
  <c r="G190" i="115"/>
  <c r="G186"/>
  <c r="G183"/>
  <c r="G179"/>
  <c r="G112"/>
  <c r="G105"/>
  <c r="G86"/>
  <c r="G79"/>
  <c r="G72"/>
  <c r="G68"/>
  <c r="G65"/>
  <c r="G61"/>
  <c r="G58"/>
  <c r="G55"/>
  <c r="G49"/>
  <c r="G37"/>
  <c r="G34"/>
  <c r="G31"/>
  <c r="G24"/>
  <c r="G19"/>
  <c r="G20"/>
  <c r="F39" i="120"/>
  <c r="H39" s="1"/>
  <c r="G38"/>
  <c r="H38" s="1"/>
  <c r="G37"/>
  <c r="H37" s="1"/>
  <c r="G36"/>
  <c r="H36" s="1"/>
  <c r="G35"/>
  <c r="H35" s="1"/>
  <c r="G34"/>
  <c r="H34" s="1"/>
  <c r="F33"/>
  <c r="E33"/>
  <c r="H32"/>
  <c r="F32"/>
  <c r="H31"/>
  <c r="H30" s="1"/>
  <c r="I30" s="1"/>
  <c r="G31"/>
  <c r="G30"/>
  <c r="F30"/>
  <c r="E30"/>
  <c r="F29"/>
  <c r="H29" s="1"/>
  <c r="G28"/>
  <c r="H28" s="1"/>
  <c r="G27"/>
  <c r="H27" s="1"/>
  <c r="G26"/>
  <c r="H26" s="1"/>
  <c r="G25"/>
  <c r="H25" s="1"/>
  <c r="G24"/>
  <c r="H24" s="1"/>
  <c r="F23"/>
  <c r="E23"/>
  <c r="H22"/>
  <c r="F22"/>
  <c r="H21"/>
  <c r="G21"/>
  <c r="H20"/>
  <c r="G20"/>
  <c r="H19"/>
  <c r="H18" s="1"/>
  <c r="I18" s="1"/>
  <c r="G19"/>
  <c r="G18"/>
  <c r="F18"/>
  <c r="E18"/>
  <c r="F17"/>
  <c r="H17" s="1"/>
  <c r="G16"/>
  <c r="H16" s="1"/>
  <c r="F15"/>
  <c r="E15"/>
  <c r="H14"/>
  <c r="G13" s="1"/>
  <c r="G14"/>
  <c r="H13"/>
  <c r="I13" s="1"/>
  <c r="F13"/>
  <c r="E13"/>
  <c r="F12"/>
  <c r="H12" s="1"/>
  <c r="G11"/>
  <c r="H11" s="1"/>
  <c r="G10"/>
  <c r="H10" s="1"/>
  <c r="G9"/>
  <c r="H9" s="1"/>
  <c r="E8"/>
  <c r="F7"/>
  <c r="H7" s="1"/>
  <c r="G6"/>
  <c r="H6" s="1"/>
  <c r="G5"/>
  <c r="H5" s="1"/>
  <c r="G4"/>
  <c r="H4" s="1"/>
  <c r="F3"/>
  <c r="E3"/>
  <c r="G212" i="115"/>
  <c r="H212" s="1"/>
  <c r="G211"/>
  <c r="H211" s="1"/>
  <c r="F201"/>
  <c r="G205"/>
  <c r="H205" s="1"/>
  <c r="G204"/>
  <c r="H204" s="1"/>
  <c r="G203"/>
  <c r="H203" s="1"/>
  <c r="G202"/>
  <c r="H202" s="1"/>
  <c r="H201" s="1"/>
  <c r="G23" i="120" l="1"/>
  <c r="H23"/>
  <c r="I23" s="1"/>
  <c r="G15"/>
  <c r="H15"/>
  <c r="I15" s="1"/>
  <c r="G33"/>
  <c r="H33"/>
  <c r="I33" s="1"/>
  <c r="H8"/>
  <c r="I8" s="1"/>
  <c r="G8"/>
  <c r="F8"/>
  <c r="G3"/>
  <c r="H3"/>
  <c r="I3" s="1"/>
  <c r="G210" i="115"/>
  <c r="H210"/>
  <c r="G201"/>
  <c r="G133"/>
  <c r="G124"/>
  <c r="G100"/>
  <c r="G149"/>
  <c r="G161"/>
  <c r="G174"/>
  <c r="G221"/>
  <c r="G231"/>
  <c r="G244"/>
  <c r="F344"/>
  <c r="F339"/>
  <c r="F335"/>
  <c r="F331"/>
  <c r="F326"/>
  <c r="F320"/>
  <c r="F314"/>
  <c r="F309"/>
  <c r="F304"/>
  <c r="F297"/>
  <c r="F290"/>
  <c r="F283"/>
  <c r="F276"/>
  <c r="F269"/>
  <c r="F262"/>
  <c r="F255"/>
  <c r="F250"/>
  <c r="F245"/>
  <c r="F237"/>
  <c r="F232"/>
  <c r="F227"/>
  <c r="F222"/>
  <c r="F217"/>
  <c r="F209"/>
  <c r="F200"/>
  <c r="F194"/>
  <c r="F181"/>
  <c r="F188"/>
  <c r="F184"/>
  <c r="F180"/>
  <c r="F177"/>
  <c r="F171"/>
  <c r="F164"/>
  <c r="F158"/>
  <c r="F152"/>
  <c r="F146"/>
  <c r="F140"/>
  <c r="F135"/>
  <c r="F117"/>
  <c r="F130"/>
  <c r="F125"/>
  <c r="F121"/>
  <c r="F116"/>
  <c r="F108"/>
  <c r="F109"/>
  <c r="F110"/>
  <c r="F107"/>
  <c r="F101"/>
  <c r="F94"/>
  <c r="F91"/>
  <c r="F84"/>
  <c r="F77"/>
  <c r="F70"/>
  <c r="F63"/>
  <c r="F56"/>
  <c r="F53"/>
  <c r="F47"/>
  <c r="F43"/>
  <c r="F39"/>
  <c r="F32"/>
  <c r="F29"/>
  <c r="F22"/>
  <c r="F17"/>
  <c r="F12"/>
  <c r="F7"/>
  <c r="E15" i="17"/>
  <c r="E22"/>
  <c r="E17"/>
  <c r="E12"/>
  <c r="E7"/>
  <c r="E2"/>
  <c r="K2" i="114"/>
  <c r="J2"/>
  <c r="L2" s="1"/>
  <c r="E2"/>
  <c r="G2" s="1"/>
  <c r="D2"/>
  <c r="F2" s="1"/>
  <c r="P2" s="1"/>
  <c r="H87"/>
  <c r="L87" s="1"/>
  <c r="N87" s="1"/>
  <c r="O87" s="1"/>
  <c r="G113" i="115" s="1"/>
  <c r="H85" i="114"/>
  <c r="L85"/>
  <c r="N85" s="1"/>
  <c r="O85" s="1"/>
  <c r="P85"/>
  <c r="H86"/>
  <c r="L86" s="1"/>
  <c r="N86" s="1"/>
  <c r="O86" s="1"/>
  <c r="G143" i="115" s="1"/>
  <c r="G106"/>
  <c r="H84" i="114"/>
  <c r="L84" s="1"/>
  <c r="N84" s="1"/>
  <c r="O84" s="1"/>
  <c r="G114" i="115" s="1"/>
  <c r="H83" i="114"/>
  <c r="E2" i="119"/>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1"/>
  <c r="E192" i="118"/>
  <c r="B192"/>
  <c r="B191"/>
  <c r="B190"/>
  <c r="B189"/>
  <c r="G50" i="115" l="1"/>
  <c r="E5" i="17"/>
  <c r="E20"/>
  <c r="E10"/>
  <c r="G254" i="115"/>
  <c r="G236"/>
  <c r="G226"/>
  <c r="G216"/>
  <c r="G167"/>
  <c r="G155"/>
  <c r="G120"/>
  <c r="G128"/>
  <c r="G138"/>
  <c r="G46"/>
  <c r="G14"/>
  <c r="G28"/>
  <c r="M2" i="114"/>
  <c r="N2" s="1"/>
  <c r="O2" s="1"/>
  <c r="G82" i="115"/>
  <c r="G192"/>
  <c r="G75"/>
  <c r="G89"/>
  <c r="P87" i="114"/>
  <c r="M87" s="1"/>
  <c r="M85"/>
  <c r="P86"/>
  <c r="M86" s="1"/>
  <c r="P84"/>
  <c r="M84" s="1"/>
  <c r="P83"/>
  <c r="L83"/>
  <c r="N83" s="1"/>
  <c r="O83" s="1"/>
  <c r="B188" i="118"/>
  <c r="G179"/>
  <c r="G178"/>
  <c r="G177"/>
  <c r="G176"/>
  <c r="G175"/>
  <c r="G174"/>
  <c r="G169"/>
  <c r="G165"/>
  <c r="G164"/>
  <c r="G163"/>
  <c r="G162"/>
  <c r="G161"/>
  <c r="G160"/>
  <c r="G159"/>
  <c r="G158"/>
  <c r="G157"/>
  <c r="B131"/>
  <c r="G191" i="115" l="1"/>
  <c r="G88"/>
  <c r="G9"/>
  <c r="G74"/>
  <c r="G81"/>
  <c r="G4"/>
  <c r="M83" i="114"/>
  <c r="D127" i="118"/>
  <c r="B127"/>
  <c r="B187" s="1"/>
  <c r="E124"/>
  <c r="D124"/>
  <c r="D123"/>
  <c r="B122"/>
  <c r="G120"/>
  <c r="F120"/>
  <c r="E120"/>
  <c r="G119"/>
  <c r="E119"/>
  <c r="D119"/>
  <c r="F119" s="1"/>
  <c r="G118"/>
  <c r="E118"/>
  <c r="D118"/>
  <c r="F118" s="1"/>
  <c r="G117"/>
  <c r="G116"/>
  <c r="G115"/>
  <c r="F115"/>
  <c r="E115"/>
  <c r="G114"/>
  <c r="E114"/>
  <c r="F114" s="1"/>
  <c r="G113"/>
  <c r="F113"/>
  <c r="E113"/>
  <c r="G112"/>
  <c r="E112"/>
  <c r="F112" s="1"/>
  <c r="G111"/>
  <c r="F111"/>
  <c r="E111"/>
  <c r="G110"/>
  <c r="E110"/>
  <c r="F110" s="1"/>
  <c r="G109"/>
  <c r="F109"/>
  <c r="E109"/>
  <c r="G108"/>
  <c r="E108"/>
  <c r="F108" s="1"/>
  <c r="G107"/>
  <c r="F107"/>
  <c r="E107"/>
  <c r="G106"/>
  <c r="E106"/>
  <c r="F106" s="1"/>
  <c r="G105"/>
  <c r="E105"/>
  <c r="F105" s="1"/>
  <c r="G104"/>
  <c r="E104"/>
  <c r="F104" s="1"/>
  <c r="G103"/>
  <c r="E103"/>
  <c r="F103" s="1"/>
  <c r="G102"/>
  <c r="F102"/>
  <c r="E102"/>
  <c r="G101"/>
  <c r="E101"/>
  <c r="F101" s="1"/>
  <c r="G100"/>
  <c r="E100"/>
  <c r="F100" s="1"/>
  <c r="G99"/>
  <c r="F99"/>
  <c r="G98"/>
  <c r="G97"/>
  <c r="G96"/>
  <c r="F96"/>
  <c r="F169" s="1"/>
  <c r="G95"/>
  <c r="G94"/>
  <c r="G93"/>
  <c r="E93"/>
  <c r="D93"/>
  <c r="F93" s="1"/>
  <c r="F178" s="1"/>
  <c r="G92"/>
  <c r="G91"/>
  <c r="G90"/>
  <c r="E90"/>
  <c r="D90"/>
  <c r="F90" s="1"/>
  <c r="F174" s="1"/>
  <c r="G89"/>
  <c r="G88"/>
  <c r="G87"/>
  <c r="G86"/>
  <c r="E86"/>
  <c r="F86" s="1"/>
  <c r="G85"/>
  <c r="F85"/>
  <c r="E85"/>
  <c r="G84"/>
  <c r="E84"/>
  <c r="F84" s="1"/>
  <c r="G83"/>
  <c r="F83"/>
  <c r="E83"/>
  <c r="G82"/>
  <c r="E82"/>
  <c r="F82" s="1"/>
  <c r="G81"/>
  <c r="F81"/>
  <c r="E81"/>
  <c r="G80"/>
  <c r="E80"/>
  <c r="F80" s="1"/>
  <c r="G79"/>
  <c r="F79"/>
  <c r="E79"/>
  <c r="G78"/>
  <c r="E78"/>
  <c r="F78" s="1"/>
  <c r="G77"/>
  <c r="F77"/>
  <c r="E77"/>
  <c r="G76"/>
  <c r="G75"/>
  <c r="G74"/>
  <c r="E74"/>
  <c r="F74" s="1"/>
  <c r="G73"/>
  <c r="E73"/>
  <c r="D73"/>
  <c r="F73" s="1"/>
  <c r="G72"/>
  <c r="E72"/>
  <c r="D72"/>
  <c r="F72" s="1"/>
  <c r="G71"/>
  <c r="E71"/>
  <c r="D71"/>
  <c r="F71" s="1"/>
  <c r="G70"/>
  <c r="E70"/>
  <c r="D70"/>
  <c r="F70" s="1"/>
  <c r="G69"/>
  <c r="E69"/>
  <c r="D69"/>
  <c r="F69" s="1"/>
  <c r="G68"/>
  <c r="E68"/>
  <c r="D68"/>
  <c r="F68" s="1"/>
  <c r="G67"/>
  <c r="E67"/>
  <c r="D67"/>
  <c r="F67" s="1"/>
  <c r="G66"/>
  <c r="F66"/>
  <c r="E66"/>
  <c r="G65"/>
  <c r="G64"/>
  <c r="G63"/>
  <c r="E63"/>
  <c r="D63"/>
  <c r="F63" s="1"/>
  <c r="G62"/>
  <c r="E62"/>
  <c r="D62"/>
  <c r="F62" s="1"/>
  <c r="G61"/>
  <c r="E61"/>
  <c r="D61"/>
  <c r="F61" s="1"/>
  <c r="G60"/>
  <c r="E60"/>
  <c r="D60"/>
  <c r="F60" s="1"/>
  <c r="G59"/>
  <c r="G58"/>
  <c r="G57"/>
  <c r="E57"/>
  <c r="D57"/>
  <c r="F57" s="1"/>
  <c r="G56"/>
  <c r="E56"/>
  <c r="D56"/>
  <c r="F56" s="1"/>
  <c r="G55"/>
  <c r="G54"/>
  <c r="G53"/>
  <c r="E53"/>
  <c r="D53"/>
  <c r="F53" s="1"/>
  <c r="G52"/>
  <c r="E52"/>
  <c r="D52"/>
  <c r="F52" s="1"/>
  <c r="G51"/>
  <c r="G50"/>
  <c r="G49"/>
  <c r="E49"/>
  <c r="F49" s="1"/>
  <c r="G48"/>
  <c r="E48"/>
  <c r="D48"/>
  <c r="F48" s="1"/>
  <c r="G47"/>
  <c r="F47"/>
  <c r="E47"/>
  <c r="G46"/>
  <c r="E46"/>
  <c r="D46"/>
  <c r="F46" s="1"/>
  <c r="G45"/>
  <c r="G44"/>
  <c r="G43"/>
  <c r="E43"/>
  <c r="F43" s="1"/>
  <c r="G42"/>
  <c r="E42"/>
  <c r="D42"/>
  <c r="F42" s="1"/>
  <c r="G41"/>
  <c r="E41"/>
  <c r="D41"/>
  <c r="F41" s="1"/>
  <c r="G40"/>
  <c r="E40"/>
  <c r="D40"/>
  <c r="F40" s="1"/>
  <c r="G39"/>
  <c r="G38"/>
  <c r="G37"/>
  <c r="E37"/>
  <c r="D37"/>
  <c r="F37" s="1"/>
  <c r="F160" s="1"/>
  <c r="G36"/>
  <c r="G35"/>
  <c r="G34"/>
  <c r="F34"/>
  <c r="E34"/>
  <c r="G33"/>
  <c r="E33"/>
  <c r="D33"/>
  <c r="F33" s="1"/>
  <c r="G32"/>
  <c r="E32"/>
  <c r="D32"/>
  <c r="F32" s="1"/>
  <c r="G31"/>
  <c r="E31"/>
  <c r="D31"/>
  <c r="F31" s="1"/>
  <c r="G30"/>
  <c r="E30"/>
  <c r="D30"/>
  <c r="F30" s="1"/>
  <c r="G29"/>
  <c r="G28"/>
  <c r="G27"/>
  <c r="B27"/>
  <c r="G26"/>
  <c r="E26"/>
  <c r="D26"/>
  <c r="F26" s="1"/>
  <c r="G25"/>
  <c r="E25"/>
  <c r="D25"/>
  <c r="F25" s="1"/>
  <c r="G24"/>
  <c r="E24"/>
  <c r="D24"/>
  <c r="F24" s="1"/>
  <c r="G23"/>
  <c r="E23"/>
  <c r="D23"/>
  <c r="F23" s="1"/>
  <c r="G22"/>
  <c r="E22"/>
  <c r="D22"/>
  <c r="F22" s="1"/>
  <c r="G21"/>
  <c r="E21"/>
  <c r="D21"/>
  <c r="F21" s="1"/>
  <c r="G20"/>
  <c r="E20"/>
  <c r="D20"/>
  <c r="F20" s="1"/>
  <c r="G19"/>
  <c r="E19"/>
  <c r="D19"/>
  <c r="F19" s="1"/>
  <c r="G18"/>
  <c r="G17"/>
  <c r="G16"/>
  <c r="F16"/>
  <c r="E16"/>
  <c r="G15"/>
  <c r="E15"/>
  <c r="E122" s="1"/>
  <c r="G14"/>
  <c r="F1"/>
  <c r="E1"/>
  <c r="B1"/>
  <c r="F158" l="1"/>
  <c r="F159"/>
  <c r="F161"/>
  <c r="F162"/>
  <c r="F175"/>
  <c r="F176"/>
  <c r="F180" s="1"/>
  <c r="F179"/>
  <c r="F177"/>
  <c r="F164"/>
  <c r="F15"/>
  <c r="F163"/>
  <c r="F165"/>
  <c r="F157" l="1"/>
  <c r="F122"/>
  <c r="I159" l="1"/>
  <c r="F167"/>
  <c r="I2"/>
  <c r="F123"/>
  <c r="F126" l="1"/>
  <c r="F124"/>
  <c r="F125" s="1"/>
  <c r="F127" s="1"/>
  <c r="G3"/>
  <c r="F171"/>
  <c r="F137" l="1"/>
  <c r="F135"/>
  <c r="F138"/>
  <c r="F136"/>
  <c r="F134"/>
  <c r="F184"/>
  <c r="F186"/>
  <c r="I3" s="1"/>
  <c r="H3"/>
  <c r="E3" i="115" l="1"/>
  <c r="H82" i="114"/>
  <c r="L82" s="1"/>
  <c r="N82" s="1"/>
  <c r="O82" s="1"/>
  <c r="G253" i="115" s="1"/>
  <c r="E340"/>
  <c r="E336"/>
  <c r="E332"/>
  <c r="E327"/>
  <c r="E321"/>
  <c r="E315"/>
  <c r="E310"/>
  <c r="E305"/>
  <c r="E298"/>
  <c r="E291"/>
  <c r="E284"/>
  <c r="E277"/>
  <c r="E270"/>
  <c r="E263"/>
  <c r="E256"/>
  <c r="E251"/>
  <c r="E248"/>
  <c r="F246"/>
  <c r="E246"/>
  <c r="E238"/>
  <c r="E233"/>
  <c r="E228"/>
  <c r="E223"/>
  <c r="E218"/>
  <c r="E213"/>
  <c r="E206"/>
  <c r="E195"/>
  <c r="E189"/>
  <c r="E185"/>
  <c r="E182"/>
  <c r="E178"/>
  <c r="E172"/>
  <c r="E165"/>
  <c r="E159"/>
  <c r="E153"/>
  <c r="E147"/>
  <c r="E141"/>
  <c r="E136"/>
  <c r="E131"/>
  <c r="E126"/>
  <c r="E122"/>
  <c r="E118"/>
  <c r="E111"/>
  <c r="E102"/>
  <c r="E95"/>
  <c r="E92"/>
  <c r="E85"/>
  <c r="E78"/>
  <c r="E71"/>
  <c r="E64"/>
  <c r="E57"/>
  <c r="E54"/>
  <c r="E48"/>
  <c r="E44"/>
  <c r="E40"/>
  <c r="E33"/>
  <c r="E30"/>
  <c r="E23"/>
  <c r="P82" i="114" l="1"/>
  <c r="M82"/>
  <c r="E18" i="115" l="1"/>
  <c r="E15"/>
  <c r="F13"/>
  <c r="E13"/>
  <c r="H254"/>
  <c r="H9"/>
  <c r="H253"/>
  <c r="H244"/>
  <c r="H226"/>
  <c r="H216"/>
  <c r="H174"/>
  <c r="H161"/>
  <c r="H149"/>
  <c r="H138"/>
  <c r="H128"/>
  <c r="H120"/>
  <c r="H88"/>
  <c r="H74"/>
  <c r="E8"/>
  <c r="H4" l="1"/>
  <c r="H81"/>
  <c r="H100"/>
  <c r="H124"/>
  <c r="H133"/>
  <c r="H143"/>
  <c r="H155"/>
  <c r="H167"/>
  <c r="H191"/>
  <c r="H221"/>
  <c r="H231"/>
  <c r="H236"/>
  <c r="H113"/>
  <c r="H46"/>
  <c r="H14"/>
  <c r="H13" s="1"/>
  <c r="I13" s="1"/>
  <c r="F20" i="17"/>
  <c r="F15"/>
  <c r="F10"/>
  <c r="F5"/>
  <c r="G13" i="115" l="1"/>
  <c r="H81" i="114"/>
  <c r="P81" s="1"/>
  <c r="H21"/>
  <c r="H20"/>
  <c r="H22"/>
  <c r="H23"/>
  <c r="H80"/>
  <c r="L80" s="1"/>
  <c r="N80" s="1"/>
  <c r="O80" s="1"/>
  <c r="G38" i="115" l="1"/>
  <c r="H38" s="1"/>
  <c r="G10"/>
  <c r="H10" s="1"/>
  <c r="G62"/>
  <c r="H62" s="1"/>
  <c r="G69"/>
  <c r="H69" s="1"/>
  <c r="P80" i="114"/>
  <c r="L81"/>
  <c r="N81" s="1"/>
  <c r="O81" s="1"/>
  <c r="G173" i="115" s="1"/>
  <c r="H173" s="1"/>
  <c r="M80" i="114"/>
  <c r="M81" l="1"/>
  <c r="H114" i="115" l="1"/>
  <c r="H82"/>
  <c r="H28"/>
  <c r="H192"/>
  <c r="H106"/>
  <c r="H89"/>
  <c r="H75"/>
  <c r="H50"/>
  <c r="F17" i="17" l="1"/>
  <c r="F7"/>
  <c r="F22"/>
  <c r="F12"/>
  <c r="F2"/>
  <c r="H116" i="115"/>
  <c r="H107"/>
  <c r="H180"/>
  <c r="H109"/>
  <c r="H108"/>
  <c r="E5" i="11"/>
  <c r="H7" i="114"/>
  <c r="L7" s="1"/>
  <c r="N7" s="1"/>
  <c r="O7" s="1"/>
  <c r="H8"/>
  <c r="P8" s="1"/>
  <c r="H9"/>
  <c r="H10"/>
  <c r="P10" s="1"/>
  <c r="H11"/>
  <c r="L11" s="1"/>
  <c r="N11" s="1"/>
  <c r="O11" s="1"/>
  <c r="H12"/>
  <c r="P12" s="1"/>
  <c r="H13"/>
  <c r="L13" s="1"/>
  <c r="N13" s="1"/>
  <c r="O13" s="1"/>
  <c r="G66" i="115" s="1"/>
  <c r="H14" i="114"/>
  <c r="P14" s="1"/>
  <c r="H15"/>
  <c r="L15" s="1"/>
  <c r="N15" s="1"/>
  <c r="O15" s="1"/>
  <c r="H16"/>
  <c r="P16" s="1"/>
  <c r="H17"/>
  <c r="L17" s="1"/>
  <c r="N17" s="1"/>
  <c r="O17" s="1"/>
  <c r="H18"/>
  <c r="P18" s="1"/>
  <c r="H19"/>
  <c r="L19" s="1"/>
  <c r="N19" s="1"/>
  <c r="O19" s="1"/>
  <c r="P20"/>
  <c r="L21"/>
  <c r="N21" s="1"/>
  <c r="O21" s="1"/>
  <c r="G123" i="115" s="1"/>
  <c r="H123" s="1"/>
  <c r="G122" s="1"/>
  <c r="P22" i="114"/>
  <c r="L23"/>
  <c r="N23" s="1"/>
  <c r="O23" s="1"/>
  <c r="G87" i="115" s="1"/>
  <c r="H87" s="1"/>
  <c r="H24" i="114"/>
  <c r="P24" s="1"/>
  <c r="H25"/>
  <c r="L25" s="1"/>
  <c r="N25" s="1"/>
  <c r="O25" s="1"/>
  <c r="G41" i="115" s="1"/>
  <c r="H41" s="1"/>
  <c r="H26" i="114"/>
  <c r="P26" s="1"/>
  <c r="H27"/>
  <c r="L27" s="1"/>
  <c r="N27" s="1"/>
  <c r="O27" s="1"/>
  <c r="G93" i="115" s="1"/>
  <c r="H93" s="1"/>
  <c r="G92" s="1"/>
  <c r="H28" i="114"/>
  <c r="P28" s="1"/>
  <c r="H29"/>
  <c r="L29" s="1"/>
  <c r="N29" s="1"/>
  <c r="O29" s="1"/>
  <c r="G160" i="115" s="1"/>
  <c r="H160" s="1"/>
  <c r="H30" i="114"/>
  <c r="P30" s="1"/>
  <c r="H31"/>
  <c r="L31" s="1"/>
  <c r="N31" s="1"/>
  <c r="O31" s="1"/>
  <c r="G154" i="115" s="1"/>
  <c r="H154" s="1"/>
  <c r="H32" i="114"/>
  <c r="P32" s="1"/>
  <c r="H33"/>
  <c r="L33" s="1"/>
  <c r="N33" s="1"/>
  <c r="O33" s="1"/>
  <c r="G142" i="115" s="1"/>
  <c r="H142" s="1"/>
  <c r="H34" i="114"/>
  <c r="P34" s="1"/>
  <c r="H35"/>
  <c r="L35" s="1"/>
  <c r="N35" s="1"/>
  <c r="O35" s="1"/>
  <c r="G132" i="115" s="1"/>
  <c r="H132" s="1"/>
  <c r="H36" i="114"/>
  <c r="P36" s="1"/>
  <c r="H37"/>
  <c r="L37" s="1"/>
  <c r="N37" s="1"/>
  <c r="O37" s="1"/>
  <c r="G214" i="115" s="1"/>
  <c r="H214" s="1"/>
  <c r="H38" i="114"/>
  <c r="P38" s="1"/>
  <c r="H39"/>
  <c r="L39" s="1"/>
  <c r="N39" s="1"/>
  <c r="O39" s="1"/>
  <c r="G229" i="115" s="1"/>
  <c r="H229" s="1"/>
  <c r="H40" i="114"/>
  <c r="P40" s="1"/>
  <c r="H41"/>
  <c r="L41" s="1"/>
  <c r="N41" s="1"/>
  <c r="O41" s="1"/>
  <c r="H42"/>
  <c r="P42" s="1"/>
  <c r="H43"/>
  <c r="L43" s="1"/>
  <c r="N43" s="1"/>
  <c r="O43" s="1"/>
  <c r="G187" i="115" s="1"/>
  <c r="H187" s="1"/>
  <c r="H44" i="114"/>
  <c r="P44" s="1"/>
  <c r="H45"/>
  <c r="L45" s="1"/>
  <c r="N45" s="1"/>
  <c r="O45" s="1"/>
  <c r="G207" i="115" s="1"/>
  <c r="H207" s="1"/>
  <c r="H46" i="114"/>
  <c r="P46" s="1"/>
  <c r="H47"/>
  <c r="L47" s="1"/>
  <c r="N47" s="1"/>
  <c r="O47" s="1"/>
  <c r="H48"/>
  <c r="P48" s="1"/>
  <c r="H49"/>
  <c r="L49" s="1"/>
  <c r="N49" s="1"/>
  <c r="O49" s="1"/>
  <c r="G243" i="115" s="1"/>
  <c r="H243" s="1"/>
  <c r="H50" i="114"/>
  <c r="P50" s="1"/>
  <c r="H51"/>
  <c r="L51" s="1"/>
  <c r="N51" s="1"/>
  <c r="O51" s="1"/>
  <c r="H52"/>
  <c r="P52" s="1"/>
  <c r="H53"/>
  <c r="L53" s="1"/>
  <c r="N53" s="1"/>
  <c r="O53" s="1"/>
  <c r="H54"/>
  <c r="P54" s="1"/>
  <c r="H55"/>
  <c r="L55" s="1"/>
  <c r="N55" s="1"/>
  <c r="O55" s="1"/>
  <c r="H56"/>
  <c r="P56" s="1"/>
  <c r="H57"/>
  <c r="L57" s="1"/>
  <c r="N57" s="1"/>
  <c r="O57" s="1"/>
  <c r="G103" i="115" s="1"/>
  <c r="H103" s="1"/>
  <c r="H58" i="114"/>
  <c r="P58" s="1"/>
  <c r="H59"/>
  <c r="L59" s="1"/>
  <c r="N59" s="1"/>
  <c r="O59" s="1"/>
  <c r="G257" i="115" s="1"/>
  <c r="H257" s="1"/>
  <c r="H60" i="114"/>
  <c r="P60" s="1"/>
  <c r="H61"/>
  <c r="L61" s="1"/>
  <c r="N61" s="1"/>
  <c r="O61" s="1"/>
  <c r="G292" i="115" s="1"/>
  <c r="H292" s="1"/>
  <c r="H62" i="114"/>
  <c r="P62" s="1"/>
  <c r="H63"/>
  <c r="L63" s="1"/>
  <c r="N63" s="1"/>
  <c r="O63" s="1"/>
  <c r="G271" i="115" s="1"/>
  <c r="H271" s="1"/>
  <c r="H64" i="114"/>
  <c r="P64" s="1"/>
  <c r="H65"/>
  <c r="L65" s="1"/>
  <c r="N65" s="1"/>
  <c r="O65" s="1"/>
  <c r="H66"/>
  <c r="P66" s="1"/>
  <c r="H67"/>
  <c r="L67" s="1"/>
  <c r="N67" s="1"/>
  <c r="O67" s="1"/>
  <c r="H68"/>
  <c r="P68" s="1"/>
  <c r="H69"/>
  <c r="L69" s="1"/>
  <c r="N69" s="1"/>
  <c r="O69" s="1"/>
  <c r="H70"/>
  <c r="P70" s="1"/>
  <c r="H71"/>
  <c r="L71" s="1"/>
  <c r="N71" s="1"/>
  <c r="O71" s="1"/>
  <c r="G322" i="115" s="1"/>
  <c r="H322" s="1"/>
  <c r="H72" i="114"/>
  <c r="P72" s="1"/>
  <c r="H73"/>
  <c r="L73" s="1"/>
  <c r="N73" s="1"/>
  <c r="O73" s="1"/>
  <c r="G299" i="115" s="1"/>
  <c r="H299" s="1"/>
  <c r="H74" i="114"/>
  <c r="P74" s="1"/>
  <c r="H75"/>
  <c r="L75" s="1"/>
  <c r="N75" s="1"/>
  <c r="O75" s="1"/>
  <c r="H76"/>
  <c r="P76" s="1"/>
  <c r="H77"/>
  <c r="L77" s="1"/>
  <c r="N77" s="1"/>
  <c r="O77" s="1"/>
  <c r="H78"/>
  <c r="P78" s="1"/>
  <c r="H79"/>
  <c r="L79" s="1"/>
  <c r="N79" s="1"/>
  <c r="O79" s="1"/>
  <c r="G208" i="115" s="1"/>
  <c r="H208" s="1"/>
  <c r="H6" i="114"/>
  <c r="L6" s="1"/>
  <c r="E9" i="17" l="1"/>
  <c r="E14"/>
  <c r="G239" i="115"/>
  <c r="H239" s="1"/>
  <c r="G97"/>
  <c r="H97" s="1"/>
  <c r="G219"/>
  <c r="H219" s="1"/>
  <c r="G224"/>
  <c r="H224" s="1"/>
  <c r="G199"/>
  <c r="H199" s="1"/>
  <c r="G198"/>
  <c r="H198" s="1"/>
  <c r="G296"/>
  <c r="H296" s="1"/>
  <c r="G303"/>
  <c r="H303" s="1"/>
  <c r="G308"/>
  <c r="H308" s="1"/>
  <c r="G313"/>
  <c r="H313" s="1"/>
  <c r="G325"/>
  <c r="H325" s="1"/>
  <c r="G330"/>
  <c r="H330" s="1"/>
  <c r="G338"/>
  <c r="H338" s="1"/>
  <c r="G343"/>
  <c r="H343" s="1"/>
  <c r="G261"/>
  <c r="H261" s="1"/>
  <c r="G268"/>
  <c r="H268" s="1"/>
  <c r="G275"/>
  <c r="H275" s="1"/>
  <c r="G282"/>
  <c r="H282" s="1"/>
  <c r="G289"/>
  <c r="H289" s="1"/>
  <c r="G319"/>
  <c r="H319" s="1"/>
  <c r="G334"/>
  <c r="H334" s="1"/>
  <c r="G267"/>
  <c r="H267" s="1"/>
  <c r="G274"/>
  <c r="H274" s="1"/>
  <c r="G281"/>
  <c r="H281" s="1"/>
  <c r="G288"/>
  <c r="H288" s="1"/>
  <c r="G301"/>
  <c r="H301" s="1"/>
  <c r="G295"/>
  <c r="H295" s="1"/>
  <c r="G337"/>
  <c r="H337" s="1"/>
  <c r="G324"/>
  <c r="H324" s="1"/>
  <c r="G258"/>
  <c r="H258" s="1"/>
  <c r="G306"/>
  <c r="H306" s="1"/>
  <c r="G265"/>
  <c r="H265" s="1"/>
  <c r="G272"/>
  <c r="H272" s="1"/>
  <c r="G76"/>
  <c r="H76" s="1"/>
  <c r="G83"/>
  <c r="H83" s="1"/>
  <c r="G27"/>
  <c r="H27" s="1"/>
  <c r="G90"/>
  <c r="H90" s="1"/>
  <c r="G115"/>
  <c r="H115" s="1"/>
  <c r="G11"/>
  <c r="H11" s="1"/>
  <c r="G8" s="1"/>
  <c r="G6"/>
  <c r="H6" s="1"/>
  <c r="G170"/>
  <c r="H170" s="1"/>
  <c r="G176"/>
  <c r="H176" s="1"/>
  <c r="G145"/>
  <c r="H145" s="1"/>
  <c r="G151"/>
  <c r="H151" s="1"/>
  <c r="G157"/>
  <c r="H157" s="1"/>
  <c r="G163"/>
  <c r="H163" s="1"/>
  <c r="I210"/>
  <c r="G206"/>
  <c r="G51"/>
  <c r="H51" s="1"/>
  <c r="G104"/>
  <c r="H104" s="1"/>
  <c r="G26"/>
  <c r="H26" s="1"/>
  <c r="G21"/>
  <c r="H21" s="1"/>
  <c r="G60"/>
  <c r="H60" s="1"/>
  <c r="G67"/>
  <c r="H67" s="1"/>
  <c r="G193"/>
  <c r="H193" s="1"/>
  <c r="G36"/>
  <c r="H36" s="1"/>
  <c r="G73"/>
  <c r="H73" s="1"/>
  <c r="H22"/>
  <c r="F18"/>
  <c r="F40"/>
  <c r="H43"/>
  <c r="F57"/>
  <c r="H63"/>
  <c r="F85"/>
  <c r="H91"/>
  <c r="F118"/>
  <c r="H121"/>
  <c r="F131"/>
  <c r="H135"/>
  <c r="F153"/>
  <c r="H158"/>
  <c r="F189"/>
  <c r="H194"/>
  <c r="F218"/>
  <c r="H222"/>
  <c r="F238"/>
  <c r="H245"/>
  <c r="F263"/>
  <c r="H269"/>
  <c r="F291"/>
  <c r="H297"/>
  <c r="F315"/>
  <c r="H320"/>
  <c r="F336"/>
  <c r="H339"/>
  <c r="F23"/>
  <c r="H29"/>
  <c r="F44"/>
  <c r="H47"/>
  <c r="F64"/>
  <c r="H70"/>
  <c r="F92"/>
  <c r="H94"/>
  <c r="H92" s="1"/>
  <c r="I92" s="1"/>
  <c r="F102"/>
  <c r="H110"/>
  <c r="F111"/>
  <c r="H117"/>
  <c r="F136"/>
  <c r="H140"/>
  <c r="F159"/>
  <c r="H164"/>
  <c r="F178"/>
  <c r="H181"/>
  <c r="F195"/>
  <c r="H200"/>
  <c r="F223"/>
  <c r="H227"/>
  <c r="F248"/>
  <c r="H250"/>
  <c r="F270"/>
  <c r="H276"/>
  <c r="F298"/>
  <c r="H304"/>
  <c r="F321"/>
  <c r="H326"/>
  <c r="F340"/>
  <c r="H344"/>
  <c r="F3"/>
  <c r="H7"/>
  <c r="F30"/>
  <c r="H32"/>
  <c r="F48"/>
  <c r="H53"/>
  <c r="F71"/>
  <c r="H77"/>
  <c r="F95"/>
  <c r="H101"/>
  <c r="F122"/>
  <c r="H125"/>
  <c r="H122" s="1"/>
  <c r="I122" s="1"/>
  <c r="F141"/>
  <c r="H146"/>
  <c r="F165"/>
  <c r="H171"/>
  <c r="F182"/>
  <c r="H184"/>
  <c r="F206"/>
  <c r="H209"/>
  <c r="H206" s="1"/>
  <c r="I206" s="1"/>
  <c r="F228"/>
  <c r="H232"/>
  <c r="F251"/>
  <c r="H255"/>
  <c r="F277"/>
  <c r="H283"/>
  <c r="F305"/>
  <c r="H309"/>
  <c r="F327"/>
  <c r="H331"/>
  <c r="F8"/>
  <c r="H12"/>
  <c r="H8" s="1"/>
  <c r="I8" s="1"/>
  <c r="F33"/>
  <c r="H39"/>
  <c r="F54"/>
  <c r="H56"/>
  <c r="F78"/>
  <c r="H84"/>
  <c r="F126"/>
  <c r="H130"/>
  <c r="F147"/>
  <c r="H152"/>
  <c r="F172"/>
  <c r="H177"/>
  <c r="F185"/>
  <c r="H188"/>
  <c r="F213"/>
  <c r="H217"/>
  <c r="F233"/>
  <c r="H237"/>
  <c r="F256"/>
  <c r="H262"/>
  <c r="F284"/>
  <c r="H290"/>
  <c r="F310"/>
  <c r="H314"/>
  <c r="F332"/>
  <c r="H335"/>
  <c r="F15"/>
  <c r="H17"/>
  <c r="L9" i="114"/>
  <c r="N9" s="1"/>
  <c r="O9" s="1"/>
  <c r="G197" i="115" s="1"/>
  <c r="H197" s="1"/>
  <c r="H66"/>
  <c r="P6" i="114"/>
  <c r="L58"/>
  <c r="N58" s="1"/>
  <c r="O58" s="1"/>
  <c r="G278" i="115" s="1"/>
  <c r="H278" s="1"/>
  <c r="L56" i="114"/>
  <c r="N56" s="1"/>
  <c r="O56" s="1"/>
  <c r="G235" i="115" s="1"/>
  <c r="H235" s="1"/>
  <c r="L54" i="114"/>
  <c r="N54" s="1"/>
  <c r="O54" s="1"/>
  <c r="G249" i="115" s="1"/>
  <c r="H249" s="1"/>
  <c r="G248" s="1"/>
  <c r="L52" i="114"/>
  <c r="N52" s="1"/>
  <c r="O52" s="1"/>
  <c r="L50"/>
  <c r="N50" s="1"/>
  <c r="O50" s="1"/>
  <c r="G242" i="115" s="1"/>
  <c r="H242" s="1"/>
  <c r="L48" i="114"/>
  <c r="N48" s="1"/>
  <c r="O48" s="1"/>
  <c r="L46"/>
  <c r="N46" s="1"/>
  <c r="O46" s="1"/>
  <c r="L44"/>
  <c r="N44" s="1"/>
  <c r="O44" s="1"/>
  <c r="G196" i="115" s="1"/>
  <c r="H196" s="1"/>
  <c r="L42" i="114"/>
  <c r="N42" s="1"/>
  <c r="O42" s="1"/>
  <c r="L40"/>
  <c r="N40" s="1"/>
  <c r="O40" s="1"/>
  <c r="G99" i="115" s="1"/>
  <c r="H99" s="1"/>
  <c r="L38" i="114"/>
  <c r="N38" s="1"/>
  <c r="O38" s="1"/>
  <c r="L36"/>
  <c r="N36" s="1"/>
  <c r="O36" s="1"/>
  <c r="G139" i="115" s="1"/>
  <c r="H139" s="1"/>
  <c r="L34" i="114"/>
  <c r="N34" s="1"/>
  <c r="O34" s="1"/>
  <c r="G148" i="115" s="1"/>
  <c r="H148" s="1"/>
  <c r="L32" i="114"/>
  <c r="N32" s="1"/>
  <c r="O32" s="1"/>
  <c r="G168" i="115" s="1"/>
  <c r="H168" s="1"/>
  <c r="L30" i="114"/>
  <c r="N30" s="1"/>
  <c r="O30" s="1"/>
  <c r="G166" i="115" s="1"/>
  <c r="H166" s="1"/>
  <c r="L28" i="114"/>
  <c r="N28" s="1"/>
  <c r="O28" s="1"/>
  <c r="G137" i="115" s="1"/>
  <c r="H137" s="1"/>
  <c r="G136" s="1"/>
  <c r="L26" i="114"/>
  <c r="N26" s="1"/>
  <c r="O26" s="1"/>
  <c r="L24"/>
  <c r="N24" s="1"/>
  <c r="O24" s="1"/>
  <c r="L22"/>
  <c r="N22" s="1"/>
  <c r="O22" s="1"/>
  <c r="G119" i="115" s="1"/>
  <c r="H119" s="1"/>
  <c r="G118" s="1"/>
  <c r="L20" i="114"/>
  <c r="N20" s="1"/>
  <c r="O20" s="1"/>
  <c r="G80" i="115" s="1"/>
  <c r="H80" s="1"/>
  <c r="L18" i="114"/>
  <c r="N18" s="1"/>
  <c r="O18" s="1"/>
  <c r="L16"/>
  <c r="N16" s="1"/>
  <c r="L14"/>
  <c r="N14" s="1"/>
  <c r="L12"/>
  <c r="N12" s="1"/>
  <c r="O12" s="1"/>
  <c r="L10"/>
  <c r="N10" s="1"/>
  <c r="L8"/>
  <c r="N8" s="1"/>
  <c r="P79"/>
  <c r="M79" s="1"/>
  <c r="P57"/>
  <c r="P55"/>
  <c r="M55" s="1"/>
  <c r="P53"/>
  <c r="M53" s="1"/>
  <c r="P51"/>
  <c r="M51" s="1"/>
  <c r="P49"/>
  <c r="M49" s="1"/>
  <c r="P47"/>
  <c r="M47" s="1"/>
  <c r="P45"/>
  <c r="P43"/>
  <c r="M43" s="1"/>
  <c r="P41"/>
  <c r="M41" s="1"/>
  <c r="P39"/>
  <c r="M39" s="1"/>
  <c r="P37"/>
  <c r="P35"/>
  <c r="M35" s="1"/>
  <c r="P33"/>
  <c r="M33" s="1"/>
  <c r="P31"/>
  <c r="M31" s="1"/>
  <c r="P29"/>
  <c r="P27"/>
  <c r="M27" s="1"/>
  <c r="P25"/>
  <c r="M25" s="1"/>
  <c r="P23"/>
  <c r="M23" s="1"/>
  <c r="P21"/>
  <c r="P19"/>
  <c r="M19" s="1"/>
  <c r="P17"/>
  <c r="M17" s="1"/>
  <c r="P15"/>
  <c r="M15" s="1"/>
  <c r="P13"/>
  <c r="M13" s="1"/>
  <c r="P11"/>
  <c r="M11" s="1"/>
  <c r="P9"/>
  <c r="M9" s="1"/>
  <c r="P7"/>
  <c r="M7" s="1"/>
  <c r="M56"/>
  <c r="M40"/>
  <c r="M28"/>
  <c r="L78"/>
  <c r="N78" s="1"/>
  <c r="O78" s="1"/>
  <c r="G316" i="115" s="1"/>
  <c r="H316" s="1"/>
  <c r="L76" i="114"/>
  <c r="N76" s="1"/>
  <c r="O76" s="1"/>
  <c r="L74"/>
  <c r="N74" s="1"/>
  <c r="O74" s="1"/>
  <c r="L72"/>
  <c r="N72" s="1"/>
  <c r="O72" s="1"/>
  <c r="L70"/>
  <c r="N70" s="1"/>
  <c r="O70" s="1"/>
  <c r="L68"/>
  <c r="N68" s="1"/>
  <c r="O68" s="1"/>
  <c r="G311" i="115" s="1"/>
  <c r="H311" s="1"/>
  <c r="L66" i="114"/>
  <c r="N66" s="1"/>
  <c r="O66" s="1"/>
  <c r="L64"/>
  <c r="N64" s="1"/>
  <c r="O64" s="1"/>
  <c r="G293" i="115" s="1"/>
  <c r="H293" s="1"/>
  <c r="L62" i="114"/>
  <c r="N62" s="1"/>
  <c r="O62" s="1"/>
  <c r="G285" i="115" s="1"/>
  <c r="H285" s="1"/>
  <c r="L60" i="114"/>
  <c r="N60" s="1"/>
  <c r="O60" s="1"/>
  <c r="G264" i="115" s="1"/>
  <c r="H264" s="1"/>
  <c r="P77" i="114"/>
  <c r="M77" s="1"/>
  <c r="P75"/>
  <c r="P73"/>
  <c r="M73" s="1"/>
  <c r="P71"/>
  <c r="M71" s="1"/>
  <c r="P69"/>
  <c r="M69" s="1"/>
  <c r="P67"/>
  <c r="M67" s="1"/>
  <c r="P65"/>
  <c r="M65" s="1"/>
  <c r="P63"/>
  <c r="M63" s="1"/>
  <c r="P61"/>
  <c r="M61" s="1"/>
  <c r="P59"/>
  <c r="M59" s="1"/>
  <c r="M78"/>
  <c r="M76"/>
  <c r="M74"/>
  <c r="M72"/>
  <c r="M70"/>
  <c r="M68"/>
  <c r="M66"/>
  <c r="M64"/>
  <c r="M62"/>
  <c r="M60"/>
  <c r="M75"/>
  <c r="M57"/>
  <c r="M45"/>
  <c r="M37"/>
  <c r="M29"/>
  <c r="M21"/>
  <c r="N6"/>
  <c r="O6" s="1"/>
  <c r="H336" i="115" l="1"/>
  <c r="I336" s="1"/>
  <c r="G336"/>
  <c r="E23" i="17"/>
  <c r="F23" s="1"/>
  <c r="E8"/>
  <c r="F8" s="1"/>
  <c r="E18"/>
  <c r="F18" s="1"/>
  <c r="E3"/>
  <c r="F3" s="1"/>
  <c r="E13"/>
  <c r="F13" s="1"/>
  <c r="G42" i="115"/>
  <c r="H42" s="1"/>
  <c r="G40" s="1"/>
  <c r="E25" i="17"/>
  <c r="F25" s="1"/>
  <c r="G279" i="115"/>
  <c r="H279" s="1"/>
  <c r="G286"/>
  <c r="H286" s="1"/>
  <c r="G294"/>
  <c r="H294" s="1"/>
  <c r="G291" s="1"/>
  <c r="G323"/>
  <c r="H323" s="1"/>
  <c r="G321" s="1"/>
  <c r="G328"/>
  <c r="H328" s="1"/>
  <c r="G259"/>
  <c r="H259" s="1"/>
  <c r="G266"/>
  <c r="H266" s="1"/>
  <c r="G273"/>
  <c r="H273" s="1"/>
  <c r="G270" s="1"/>
  <c r="G280"/>
  <c r="H280" s="1"/>
  <c r="G287"/>
  <c r="H287" s="1"/>
  <c r="G300"/>
  <c r="H300" s="1"/>
  <c r="G307"/>
  <c r="H307" s="1"/>
  <c r="G312"/>
  <c r="H312" s="1"/>
  <c r="G317"/>
  <c r="H317" s="1"/>
  <c r="G341"/>
  <c r="H341" s="1"/>
  <c r="G260"/>
  <c r="H260" s="1"/>
  <c r="G318"/>
  <c r="H318" s="1"/>
  <c r="G342"/>
  <c r="H342" s="1"/>
  <c r="G333"/>
  <c r="H333" s="1"/>
  <c r="G332" s="1"/>
  <c r="G329"/>
  <c r="H329" s="1"/>
  <c r="H327" s="1"/>
  <c r="I327" s="1"/>
  <c r="G127"/>
  <c r="H127" s="1"/>
  <c r="G5"/>
  <c r="H5" s="1"/>
  <c r="G3" s="1"/>
  <c r="G215"/>
  <c r="H215" s="1"/>
  <c r="G213" s="1"/>
  <c r="G225"/>
  <c r="H225" s="1"/>
  <c r="H223" s="1"/>
  <c r="I223" s="1"/>
  <c r="G220"/>
  <c r="H220" s="1"/>
  <c r="G230"/>
  <c r="H230" s="1"/>
  <c r="G228" s="1"/>
  <c r="G302"/>
  <c r="H302" s="1"/>
  <c r="H298" s="1"/>
  <c r="I298" s="1"/>
  <c r="G234"/>
  <c r="H234" s="1"/>
  <c r="G233" s="1"/>
  <c r="G252"/>
  <c r="H252" s="1"/>
  <c r="G251" s="1"/>
  <c r="G98"/>
  <c r="H98" s="1"/>
  <c r="G241"/>
  <c r="H241" s="1"/>
  <c r="G284"/>
  <c r="G277"/>
  <c r="H332"/>
  <c r="I332" s="1"/>
  <c r="H310"/>
  <c r="I310" s="1"/>
  <c r="H256"/>
  <c r="I256" s="1"/>
  <c r="H213"/>
  <c r="I213" s="1"/>
  <c r="H305"/>
  <c r="I305" s="1"/>
  <c r="H277"/>
  <c r="I277" s="1"/>
  <c r="H340"/>
  <c r="I340" s="1"/>
  <c r="H270"/>
  <c r="I270" s="1"/>
  <c r="H248"/>
  <c r="I248" s="1"/>
  <c r="H195"/>
  <c r="I195" s="1"/>
  <c r="H136"/>
  <c r="I136" s="1"/>
  <c r="H315"/>
  <c r="I315" s="1"/>
  <c r="H291"/>
  <c r="I291" s="1"/>
  <c r="H263"/>
  <c r="I263" s="1"/>
  <c r="H218"/>
  <c r="I218" s="1"/>
  <c r="H118"/>
  <c r="I118" s="1"/>
  <c r="H40"/>
  <c r="I40" s="1"/>
  <c r="G305"/>
  <c r="G218"/>
  <c r="G59"/>
  <c r="H59" s="1"/>
  <c r="G35"/>
  <c r="H35" s="1"/>
  <c r="G134"/>
  <c r="H134" s="1"/>
  <c r="G131" s="1"/>
  <c r="G144"/>
  <c r="H144" s="1"/>
  <c r="G141" s="1"/>
  <c r="G150"/>
  <c r="H150" s="1"/>
  <c r="G147" s="1"/>
  <c r="G156"/>
  <c r="H156" s="1"/>
  <c r="G153" s="1"/>
  <c r="G162"/>
  <c r="H162" s="1"/>
  <c r="G159" s="1"/>
  <c r="G129"/>
  <c r="H129" s="1"/>
  <c r="H126" s="1"/>
  <c r="I126" s="1"/>
  <c r="G169"/>
  <c r="H169" s="1"/>
  <c r="H165" s="1"/>
  <c r="I165" s="1"/>
  <c r="G175"/>
  <c r="H175" s="1"/>
  <c r="G172" s="1"/>
  <c r="G195"/>
  <c r="I201"/>
  <c r="G96"/>
  <c r="H96" s="1"/>
  <c r="G95" s="1"/>
  <c r="G240"/>
  <c r="H240" s="1"/>
  <c r="H238" s="1"/>
  <c r="I238" s="1"/>
  <c r="G263"/>
  <c r="G310"/>
  <c r="G223"/>
  <c r="M8" i="114"/>
  <c r="O8"/>
  <c r="M16"/>
  <c r="O16"/>
  <c r="O14"/>
  <c r="G247" i="115" s="1"/>
  <c r="H247" s="1"/>
  <c r="G246" s="1"/>
  <c r="M10" i="114"/>
  <c r="O10"/>
  <c r="F14" i="17"/>
  <c r="F9"/>
  <c r="M14" i="114"/>
  <c r="M24"/>
  <c r="M32"/>
  <c r="M44"/>
  <c r="M48"/>
  <c r="M20"/>
  <c r="M36"/>
  <c r="M52"/>
  <c r="M22"/>
  <c r="M26"/>
  <c r="M30"/>
  <c r="M34"/>
  <c r="M38"/>
  <c r="M42"/>
  <c r="M46"/>
  <c r="M50"/>
  <c r="M54"/>
  <c r="M58"/>
  <c r="M18"/>
  <c r="M12"/>
  <c r="M6"/>
  <c r="G315" i="115" l="1"/>
  <c r="H284"/>
  <c r="I284" s="1"/>
  <c r="H321"/>
  <c r="I321" s="1"/>
  <c r="E19" i="17"/>
  <c r="E24"/>
  <c r="G45" i="115"/>
  <c r="E4" i="17"/>
  <c r="H251" i="115"/>
  <c r="I251" s="1"/>
  <c r="H147"/>
  <c r="I147" s="1"/>
  <c r="H131"/>
  <c r="I131" s="1"/>
  <c r="H159"/>
  <c r="I159" s="1"/>
  <c r="H172"/>
  <c r="I172" s="1"/>
  <c r="G165"/>
  <c r="G126"/>
  <c r="H153"/>
  <c r="I153" s="1"/>
  <c r="H141"/>
  <c r="I141" s="1"/>
  <c r="H3"/>
  <c r="I3" s="1"/>
  <c r="H228"/>
  <c r="I228" s="1"/>
  <c r="H233"/>
  <c r="I233" s="1"/>
  <c r="G256"/>
  <c r="G25"/>
  <c r="H25" s="1"/>
  <c r="G52"/>
  <c r="H52" s="1"/>
  <c r="H20"/>
  <c r="G16"/>
  <c r="H16" s="1"/>
  <c r="H95"/>
  <c r="I95" s="1"/>
  <c r="G238"/>
  <c r="G340"/>
  <c r="G298"/>
  <c r="G327"/>
  <c r="H246"/>
  <c r="I246" s="1"/>
  <c r="F4" i="17"/>
  <c r="H45" i="115"/>
  <c r="G16" i="17"/>
  <c r="F16"/>
  <c r="G11"/>
  <c r="F11"/>
  <c r="F24"/>
  <c r="F19"/>
  <c r="H52" i="34"/>
  <c r="H50" s="1"/>
  <c r="L49" s="1"/>
  <c r="K49" s="1"/>
  <c r="H49" s="1"/>
  <c r="G15" i="115" l="1"/>
  <c r="H15"/>
  <c r="I15" s="1"/>
  <c r="G44"/>
  <c r="H44"/>
  <c r="I44" s="1"/>
  <c r="G6" i="17"/>
  <c r="F6"/>
  <c r="F26"/>
  <c r="G26"/>
  <c r="G21"/>
  <c r="F21"/>
  <c r="L48" i="34"/>
  <c r="K48" l="1"/>
  <c r="H48"/>
  <c r="L47"/>
  <c r="K47" s="1"/>
  <c r="H47"/>
  <c r="L46"/>
  <c r="K46" s="1"/>
  <c r="H46"/>
  <c r="L45"/>
  <c r="K45" s="1"/>
  <c r="H45"/>
  <c r="L44"/>
  <c r="K44" s="1"/>
  <c r="H44"/>
  <c r="L43"/>
  <c r="K43" s="1"/>
  <c r="H43"/>
  <c r="L42"/>
  <c r="K42" s="1"/>
  <c r="H42"/>
  <c r="L41"/>
  <c r="K41" s="1"/>
  <c r="H41"/>
  <c r="L40"/>
  <c r="K40" s="1"/>
  <c r="H40"/>
  <c r="L39"/>
  <c r="K39" s="1"/>
  <c r="H39"/>
  <c r="L38"/>
  <c r="K38" s="1"/>
  <c r="H38"/>
  <c r="L37"/>
  <c r="K37" s="1"/>
  <c r="H37"/>
  <c r="L36"/>
  <c r="K36" s="1"/>
  <c r="H36"/>
  <c r="L35"/>
  <c r="K35" s="1"/>
  <c r="H35"/>
  <c r="L34"/>
  <c r="K34" s="1"/>
  <c r="H34"/>
  <c r="L33"/>
  <c r="K33" s="1"/>
  <c r="H33"/>
  <c r="L32"/>
  <c r="K32" s="1"/>
  <c r="H32"/>
  <c r="L31"/>
  <c r="K31" s="1"/>
  <c r="H31"/>
  <c r="L30"/>
  <c r="K30" s="1"/>
  <c r="H30"/>
  <c r="L29"/>
  <c r="K29" s="1"/>
  <c r="H29"/>
  <c r="L28"/>
  <c r="K28" s="1"/>
  <c r="H28"/>
  <c r="L27"/>
  <c r="K27" s="1"/>
  <c r="H27"/>
  <c r="L26"/>
  <c r="K26" s="1"/>
  <c r="H26"/>
  <c r="L25"/>
  <c r="K25" s="1"/>
  <c r="H25"/>
  <c r="L24"/>
  <c r="K24" s="1"/>
  <c r="H24"/>
  <c r="L23" l="1"/>
  <c r="K23" s="1"/>
  <c r="H23"/>
  <c r="L22"/>
  <c r="K22" s="1"/>
  <c r="H22"/>
  <c r="G2"/>
  <c r="H68" i="115" l="1"/>
  <c r="H179"/>
  <c r="H31"/>
  <c r="H186"/>
  <c r="H55"/>
  <c r="H183"/>
  <c r="H61"/>
  <c r="H37"/>
  <c r="H24"/>
  <c r="H19"/>
  <c r="H65"/>
  <c r="H58"/>
  <c r="H49"/>
  <c r="H34"/>
  <c r="H105"/>
  <c r="H86"/>
  <c r="H79"/>
  <c r="H72"/>
  <c r="H190"/>
  <c r="H112"/>
  <c r="G30" l="1"/>
  <c r="H30"/>
  <c r="I30" s="1"/>
  <c r="G54"/>
  <c r="H54"/>
  <c r="I54" s="1"/>
  <c r="G185"/>
  <c r="H185"/>
  <c r="I185" s="1"/>
  <c r="G182"/>
  <c r="H182"/>
  <c r="I182" s="1"/>
  <c r="G178"/>
  <c r="H178"/>
  <c r="I178" s="1"/>
  <c r="G57"/>
  <c r="H57"/>
  <c r="I57" s="1"/>
  <c r="H18"/>
  <c r="I18" s="1"/>
  <c r="G18"/>
  <c r="G48"/>
  <c r="H48"/>
  <c r="I48" s="1"/>
  <c r="G64"/>
  <c r="H64"/>
  <c r="I64" s="1"/>
  <c r="H23"/>
  <c r="I23" s="1"/>
  <c r="G23"/>
  <c r="G33"/>
  <c r="H33"/>
  <c r="I33" s="1"/>
  <c r="H111"/>
  <c r="I111" s="1"/>
  <c r="G111"/>
  <c r="H71"/>
  <c r="I71" s="1"/>
  <c r="G71"/>
  <c r="H85"/>
  <c r="I85" s="1"/>
  <c r="G85"/>
  <c r="H189"/>
  <c r="I189" s="1"/>
  <c r="G189"/>
  <c r="H78"/>
  <c r="I78" s="1"/>
  <c r="G78"/>
  <c r="H102"/>
  <c r="I102" s="1"/>
  <c r="G102"/>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E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<sst xmlns="http://schemas.openxmlformats.org/spreadsheetml/2006/main" count="2637" uniqueCount="850">
  <si>
    <t>Unité</t>
  </si>
  <si>
    <t>Main d'œuvre</t>
  </si>
  <si>
    <t>Taux horaire moyen</t>
  </si>
  <si>
    <t>Coefficient frais généraux matériaux</t>
  </si>
  <si>
    <t>Coefficient vente</t>
  </si>
  <si>
    <t>H</t>
  </si>
  <si>
    <t>U</t>
  </si>
  <si>
    <t>Mainœvre</t>
  </si>
  <si>
    <t>Maçon</t>
  </si>
  <si>
    <t>Salaire de base</t>
  </si>
  <si>
    <t xml:space="preserve">Charge sociale    (Ch.S) = 22% (SB + PI) </t>
  </si>
  <si>
    <t xml:space="preserve">Charge patronales    (Ch.P) = 42% (SB + PI) </t>
  </si>
  <si>
    <t>Coût horaire Charge Patronales</t>
  </si>
  <si>
    <t>P : Prix horaire globale de debourses 
sec de main d'œuvre</t>
  </si>
  <si>
    <t xml:space="preserve">Coût Moyen de l'Heure = P/N </t>
  </si>
  <si>
    <t>Ciment CPJ45</t>
  </si>
  <si>
    <t>Ciment CPJ35</t>
  </si>
  <si>
    <t>Sable 0,01</t>
  </si>
  <si>
    <t>m³</t>
  </si>
  <si>
    <t>Blocs US 40</t>
  </si>
  <si>
    <t>Bois de coffrage</t>
  </si>
  <si>
    <t>Moellon</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</si>
  <si>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</si>
  <si>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</si>
  <si>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</si>
  <si>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</si>
  <si>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</si>
  <si>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</si>
  <si>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</si>
  <si>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</si>
  <si>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</si>
  <si>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</si>
  <si>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</si>
  <si>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</si>
  <si>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</si>
  <si>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</si>
  <si>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</si>
  <si>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</si>
  <si>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</si>
  <si>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</si>
  <si>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</si>
  <si>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</si>
  <si>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</si>
  <si>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</si>
  <si>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</si>
  <si>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</si>
  <si>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</si>
  <si>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</si>
  <si>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</si>
  <si>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cheneaux T</t>
  </si>
  <si>
    <t>rive tole</t>
  </si>
  <si>
    <t>carrelage</t>
  </si>
  <si>
    <t>failliance</t>
  </si>
  <si>
    <t>ciment cole</t>
  </si>
  <si>
    <t>BA13</t>
  </si>
  <si>
    <t>consomable</t>
  </si>
  <si>
    <t>DESIGNATION</t>
  </si>
  <si>
    <t>Ressources</t>
  </si>
  <si>
    <t>Quantité</t>
  </si>
  <si>
    <t>Prix unitaire</t>
  </si>
  <si>
    <t>Prix fabrication</t>
  </si>
  <si>
    <t xml:space="preserve">MO </t>
  </si>
  <si>
    <t>Ciment 4.5</t>
  </si>
  <si>
    <t>grav 0.30</t>
  </si>
  <si>
    <t>M3</t>
  </si>
  <si>
    <t>divers consomable</t>
  </si>
  <si>
    <t>ens</t>
  </si>
  <si>
    <t>total</t>
  </si>
  <si>
    <t>Sable 0.01</t>
  </si>
  <si>
    <t>Total (DH)</t>
  </si>
  <si>
    <t>Bois</t>
  </si>
  <si>
    <t>Tole</t>
  </si>
  <si>
    <t>Pointe Acier</t>
  </si>
  <si>
    <t>03.00</t>
  </si>
  <si>
    <t>Implantation d'un pavillon de 6 axes</t>
  </si>
  <si>
    <t>Fils</t>
  </si>
  <si>
    <t>Tracto - pelle</t>
  </si>
  <si>
    <t>H/m³</t>
  </si>
  <si>
    <t>04.00</t>
  </si>
  <si>
    <t>Terrassement mécanique ,sans BRH, fouille en rigole, terre enlevéé sans cout de décharge, avec régalage</t>
  </si>
  <si>
    <t>Matériel</t>
  </si>
  <si>
    <t>Béton n° 1</t>
  </si>
  <si>
    <t>SUPERSTRUCTURE RDC</t>
  </si>
  <si>
    <t xml:space="preserve">Main d'œuvre  </t>
  </si>
  <si>
    <t>Béton n° 2</t>
  </si>
  <si>
    <t>Cheneaux en métal galvanisée</t>
  </si>
  <si>
    <t>Faitage pour tôle ondulée avec étanchéité</t>
  </si>
  <si>
    <t>Kg</t>
  </si>
  <si>
    <t>BETON ARMEE</t>
  </si>
  <si>
    <t>PEINTURE</t>
  </si>
  <si>
    <t>peinture mur exterieur plastifier</t>
  </si>
  <si>
    <t xml:space="preserve">peinture plafond </t>
  </si>
  <si>
    <t>peinture interieur</t>
  </si>
  <si>
    <t>peinture porte et huisserie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</si>
  <si>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</si>
  <si>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</si>
  <si>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</si>
  <si>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</si>
  <si>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</si>
  <si>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</si>
  <si>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</si>
  <si>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Béton n° 3</t>
  </si>
  <si>
    <t>Hourdis 15+5 y/c poutrelle</t>
  </si>
  <si>
    <t>Treillis soudés</t>
  </si>
  <si>
    <t>Pose trellis soudé</t>
  </si>
  <si>
    <t>Pose des hourdis et poutrelle</t>
  </si>
  <si>
    <t>Main d'œuvre de béton</t>
  </si>
  <si>
    <t>Polystyréne pour coffrage de joints de 4cm</t>
  </si>
  <si>
    <t>Mortier n° 2A (Corps d'enduit)</t>
  </si>
  <si>
    <t>M,O d'installation d'Echaffaudage</t>
  </si>
  <si>
    <t xml:space="preserve">Coefficient frais généraux </t>
  </si>
  <si>
    <t>aléas</t>
  </si>
  <si>
    <t>frais de fonctionnent</t>
  </si>
  <si>
    <t>materiaux / transport</t>
  </si>
  <si>
    <t>materiel de location</t>
  </si>
  <si>
    <t>augmentation</t>
  </si>
  <si>
    <t>semmelle filante en béton armé dosé en C 25 coulée à la main dosé 350kg de 25 H X 45 L /M3</t>
  </si>
  <si>
    <t>06.00</t>
  </si>
  <si>
    <t>béton 1 ( dosé 400kg)</t>
  </si>
  <si>
    <t>béton 2 (dosé 350 kg)</t>
  </si>
  <si>
    <t>béton 3 (dosé 250 kg)</t>
  </si>
  <si>
    <t>mortier 1  (dosé 400 kg)</t>
  </si>
  <si>
    <t>mortier 2  (joint etanche)</t>
  </si>
  <si>
    <t>treilli dalle</t>
  </si>
  <si>
    <t>05.00</t>
  </si>
  <si>
    <t>Quote part coffrage 0,06/6 M3/M2</t>
  </si>
  <si>
    <t>06.01</t>
  </si>
  <si>
    <t>Mur blocs usf de soubasment remplit de béton armé dosé à 300kg /M²</t>
  </si>
  <si>
    <t>Blocs US 20/40</t>
  </si>
  <si>
    <t>Fer béton HA12</t>
  </si>
  <si>
    <t>Mortier n°1</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</si>
  <si>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</si>
  <si>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</si>
  <si>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</si>
  <si>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</si>
  <si>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</si>
  <si>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</si>
  <si>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</si>
  <si>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</si>
  <si>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Acier treilli</t>
  </si>
  <si>
    <t>Coupure capillaire 1er joint en mortier hydrofuge dosé à 450kg /ML</t>
  </si>
  <si>
    <t>mortier n° 2</t>
  </si>
  <si>
    <t>Mur élévation en blocs américain USF 20x20x40 posé à bain de mortier dosé à 400kg avec du sable 0/1 compris</t>
  </si>
  <si>
    <t>Mur cloison en blocs américain USF 10x20x40 posé à bain de mortier dosé à 400kg avec du sable 0/1 compris</t>
  </si>
  <si>
    <t>Blocs US 10/40</t>
  </si>
  <si>
    <t xml:space="preserve">Poteau béton  coulée à la main dosé 350kg  </t>
  </si>
  <si>
    <t>chainage</t>
  </si>
  <si>
    <t>poûtre</t>
  </si>
  <si>
    <t>05.01</t>
  </si>
  <si>
    <t>Poutre 10/25</t>
  </si>
  <si>
    <t>05.02</t>
  </si>
  <si>
    <t>Réservation des ventilations 10/10</t>
  </si>
  <si>
    <t>F</t>
  </si>
  <si>
    <t xml:space="preserve"> Plancher poutrelle béton précontraint et hourdis entrevous béton ep 12+7 béton dosé C 25 /M²</t>
  </si>
  <si>
    <t>Fondation</t>
  </si>
  <si>
    <t xml:space="preserve">Dalle de compression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</si>
  <si>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</si>
  <si>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</si>
  <si>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</si>
  <si>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</si>
  <si>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</si>
  <si>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</si>
  <si>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</si>
  <si>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Charpente ferme métal IPE  au ml</t>
  </si>
  <si>
    <t>f</t>
  </si>
  <si>
    <t>Conso</t>
  </si>
  <si>
    <t>Charpente métal panne C 100   2,5 /ML</t>
  </si>
  <si>
    <t>Panne C 100</t>
  </si>
  <si>
    <t>IPE 100</t>
  </si>
  <si>
    <t xml:space="preserve">panne C 100 </t>
  </si>
  <si>
    <t>Tôle Ondulée 75/100 pré-laquée</t>
  </si>
  <si>
    <t>Tôle ondulée</t>
  </si>
  <si>
    <t>7,5kg/m² util</t>
  </si>
  <si>
    <t>Vice tole</t>
  </si>
  <si>
    <t>1 sac</t>
  </si>
  <si>
    <t>palette</t>
  </si>
  <si>
    <t>bar 6m</t>
  </si>
  <si>
    <t>camion</t>
  </si>
  <si>
    <t>designation</t>
  </si>
  <si>
    <t>ref</t>
  </si>
  <si>
    <t>unité</t>
  </si>
  <si>
    <t>2x30x12x18</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</si>
  <si>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</si>
  <si>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</si>
  <si>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</si>
  <si>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</si>
  <si>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</si>
  <si>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</si>
  <si>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</si>
  <si>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</si>
  <si>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</si>
  <si>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</si>
  <si>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</si>
  <si>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</si>
  <si>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</si>
  <si>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</si>
  <si>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</si>
  <si>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</si>
  <si>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</si>
  <si>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</si>
  <si>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raille placo</t>
  </si>
  <si>
    <t>Montan placo</t>
  </si>
  <si>
    <t>2,6m</t>
  </si>
  <si>
    <t xml:space="preserve">3m </t>
  </si>
  <si>
    <t xml:space="preserve">25x25 </t>
  </si>
  <si>
    <t xml:space="preserve">10x25 </t>
  </si>
  <si>
    <t>20x20x10x25(l)</t>
  </si>
  <si>
    <t>2x12x15x2 (l)</t>
  </si>
  <si>
    <t>Hydrofuge</t>
  </si>
  <si>
    <t>2% / ciment (5l)</t>
  </si>
  <si>
    <t xml:space="preserve">Caisson de rive </t>
  </si>
  <si>
    <t>Caisson sous-rive pré-laquée</t>
  </si>
  <si>
    <t>Cheneaux Tôle pré-laquée</t>
  </si>
  <si>
    <t>Arrêtier pour tôle ondulée avec étanchéité</t>
  </si>
  <si>
    <t>sous Arrêtier</t>
  </si>
  <si>
    <t>Arrêtier Tôle pré-laquée</t>
  </si>
  <si>
    <t>Façon de noue avec étanchéité</t>
  </si>
  <si>
    <t>Appui de fenêtre béton préfa posé à bain de mortier  /ML</t>
  </si>
  <si>
    <t>appui fenêtre</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</si>
  <si>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</si>
  <si>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</si>
  <si>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</si>
  <si>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</si>
  <si>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</si>
  <si>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</si>
  <si>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</si>
  <si>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</si>
  <si>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</si>
  <si>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</si>
  <si>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</si>
  <si>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Sable 0,6</t>
  </si>
  <si>
    <t>Pose Carrelage avec pleinte escalier y compris sans fourniture carrelage</t>
  </si>
  <si>
    <t>50m x 20cm(5m/m²)</t>
  </si>
  <si>
    <t>sable cylice</t>
  </si>
  <si>
    <t>0,5kg/ml 25kg</t>
  </si>
  <si>
    <t>4g/u</t>
  </si>
  <si>
    <t>1,2x1</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</si>
  <si>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</si>
  <si>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</si>
  <si>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</si>
  <si>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</si>
  <si>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</si>
  <si>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</si>
  <si>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</si>
  <si>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</si>
  <si>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</si>
  <si>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Enduit intérieur sur murs et plafonds type plâtre ou tradi</t>
  </si>
  <si>
    <t xml:space="preserve">Enduit tradi extérieur sur Façade </t>
  </si>
  <si>
    <t>12.10</t>
  </si>
  <si>
    <t>12.20</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</si>
  <si>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</si>
  <si>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</si>
  <si>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</si>
  <si>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</si>
  <si>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</si>
  <si>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</si>
  <si>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</si>
  <si>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</si>
  <si>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</si>
  <si>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</si>
  <si>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</si>
  <si>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</si>
  <si>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</si>
  <si>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</si>
  <si>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</si>
  <si>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</si>
  <si>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</si>
  <si>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</si>
  <si>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</si>
  <si>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</si>
  <si>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</si>
  <si>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</si>
  <si>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</si>
  <si>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</si>
  <si>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</si>
  <si>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</si>
  <si>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</si>
  <si>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</si>
  <si>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</si>
  <si>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</si>
  <si>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</si>
  <si>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</si>
  <si>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</si>
  <si>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</si>
  <si>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</si>
  <si>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</si>
  <si>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</si>
  <si>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</si>
  <si>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</si>
  <si>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</si>
  <si>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</si>
  <si>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</si>
  <si>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</si>
  <si>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</si>
  <si>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</si>
  <si>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</si>
  <si>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</si>
  <si>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</si>
  <si>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</si>
  <si>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</si>
  <si>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</si>
  <si>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</si>
  <si>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</si>
  <si>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</si>
  <si>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</si>
  <si>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Echéancier facturation</t>
  </si>
  <si>
    <t>Nom</t>
  </si>
  <si>
    <t>Prénom</t>
  </si>
  <si>
    <t>Ville</t>
  </si>
  <si>
    <t>Code Postal</t>
  </si>
  <si>
    <t>Superficie</t>
  </si>
  <si>
    <t>Nom Notaire</t>
  </si>
  <si>
    <t>Facturation</t>
  </si>
  <si>
    <t>FAUX PLAFOND</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</si>
  <si>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</si>
  <si>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</si>
  <si>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</si>
  <si>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</si>
  <si>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</si>
  <si>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</si>
  <si>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</si>
  <si>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</si>
  <si>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</si>
  <si>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</si>
  <si>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</si>
  <si>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</si>
  <si>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</si>
  <si>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</si>
  <si>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</si>
  <si>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</si>
  <si>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</si>
  <si>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</si>
  <si>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</si>
  <si>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</si>
  <si>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</si>
  <si>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</si>
  <si>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</si>
  <si>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</si>
  <si>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</si>
  <si>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</si>
  <si>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</si>
  <si>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</si>
  <si>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</si>
  <si>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</si>
  <si>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</si>
  <si>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</si>
  <si>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</si>
  <si>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</si>
  <si>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</si>
  <si>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</si>
  <si>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</si>
  <si>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</si>
  <si>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</si>
  <si>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</si>
  <si>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</si>
  <si>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</si>
  <si>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</si>
  <si>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</si>
  <si>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</si>
  <si>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</si>
  <si>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Plomberie</t>
  </si>
  <si>
    <t>Divers</t>
  </si>
  <si>
    <t>FONDATION</t>
  </si>
  <si>
    <t>Canalisation PVC</t>
  </si>
  <si>
    <t xml:space="preserve"> Tuyau PER</t>
  </si>
  <si>
    <t>forfait</t>
  </si>
  <si>
    <t>mur moellon</t>
  </si>
  <si>
    <t>Mur moellons ( jointé 1 face ) y compris fondations à la base</t>
  </si>
  <si>
    <t>Siret: 83026631800013 APE 4399C</t>
  </si>
  <si>
    <t>Mail:sorec.construcion@gmail.com</t>
  </si>
  <si>
    <t>Etanchéïté Sur murs enterrés</t>
  </si>
  <si>
    <t xml:space="preserve">fourniture et pause Carrelage (17e) avec pleinte escalier y compris </t>
  </si>
  <si>
    <t>fourniture et pause faillance (10e) sur mur avec ciment en cole</t>
  </si>
  <si>
    <t>TRAVAUX COMPLEMENTAIRES</t>
  </si>
  <si>
    <t>APPAREILLAGE SANITAIRE</t>
  </si>
  <si>
    <t>TVA</t>
  </si>
  <si>
    <t>TTC</t>
  </si>
  <si>
    <t>Mur cloison en BA13 double face sans isolation</t>
  </si>
  <si>
    <t xml:space="preserve"> Plancher dalle pleines confectionnées a partir de prédalle préfabriquées béton en œuvre</t>
  </si>
  <si>
    <t>Saint André le</t>
  </si>
  <si>
    <t>ADRESSE DE FACTURATION</t>
  </si>
  <si>
    <t xml:space="preserve">Adresse </t>
  </si>
  <si>
    <t>MONTANT HT</t>
  </si>
  <si>
    <t>Virement</t>
  </si>
  <si>
    <t>Entreprise:</t>
  </si>
  <si>
    <t>Chéque</t>
  </si>
  <si>
    <t>BON DE COMMANDE</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</si>
  <si>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</si>
  <si>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</si>
  <si>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</si>
  <si>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</si>
  <si>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</si>
  <si>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</si>
  <si>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</si>
  <si>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</si>
  <si>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</si>
  <si>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</si>
  <si>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</si>
  <si>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</si>
  <si>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</si>
  <si>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Appel de Fond</t>
  </si>
  <si>
    <t>Télephone</t>
  </si>
  <si>
    <t>Email</t>
  </si>
  <si>
    <t>CAD</t>
  </si>
  <si>
    <t>Date Compro</t>
  </si>
  <si>
    <t>Commentaire</t>
  </si>
  <si>
    <t>Prospect</t>
  </si>
  <si>
    <t>Contact</t>
  </si>
  <si>
    <t>Devis</t>
  </si>
  <si>
    <t>Portefeuille</t>
  </si>
  <si>
    <t>Abandon</t>
  </si>
  <si>
    <t>Relance</t>
  </si>
  <si>
    <t>O.S / MAP</t>
  </si>
  <si>
    <t>Réceptionné</t>
  </si>
  <si>
    <t>Montant facturé</t>
  </si>
  <si>
    <t>Incrémenté D</t>
  </si>
  <si>
    <t>Incrémenté F</t>
  </si>
  <si>
    <t xml:space="preserve">RAMSAMY </t>
  </si>
  <si>
    <t>2157 chemin lefaguyes</t>
  </si>
  <si>
    <t>VIRASSAMY</t>
  </si>
  <si>
    <t>EDDY</t>
  </si>
  <si>
    <t>eddy@orange.fr</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</si>
  <si>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</si>
  <si>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</si>
  <si>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</si>
  <si>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</si>
  <si>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</si>
  <si>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</si>
  <si>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</si>
  <si>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</si>
  <si>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</si>
  <si>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</si>
  <si>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</si>
  <si>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</si>
  <si>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</si>
  <si>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</si>
  <si>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</si>
  <si>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RAAN00007</t>
  </si>
  <si>
    <t>VIRAPOULE PAUL</t>
  </si>
  <si>
    <t>21 chemin belle vue terre</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</si>
  <si>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</si>
  <si>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</si>
  <si>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</si>
  <si>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</si>
  <si>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</si>
  <si>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</si>
  <si>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</si>
  <si>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</si>
  <si>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</si>
  <si>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</si>
  <si>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</si>
  <si>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</si>
  <si>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</si>
  <si>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</si>
  <si>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</si>
  <si>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</si>
  <si>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</si>
  <si>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</si>
  <si>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</si>
  <si>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</si>
  <si>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</si>
  <si>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</si>
  <si>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</si>
  <si>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</si>
  <si>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</si>
  <si>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</si>
  <si>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</si>
  <si>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</si>
  <si>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LAEL00024</t>
  </si>
  <si>
    <t>VOIR LA MAIRIE LE 22/06/2018</t>
  </si>
  <si>
    <t>BOSA00024</t>
  </si>
  <si>
    <t>DILO00024</t>
  </si>
  <si>
    <t>MOGAMAT</t>
  </si>
  <si>
    <t>PREFABETON</t>
  </si>
  <si>
    <t>HOLCIM</t>
  </si>
  <si>
    <t>Fournisseurs</t>
  </si>
  <si>
    <t>SEIGNERIE</t>
  </si>
  <si>
    <t>Incrémenté BD</t>
  </si>
  <si>
    <t>4 Rue lafayette</t>
  </si>
  <si>
    <t>97470  Saint- Benoit</t>
  </si>
  <si>
    <t>N° Devis :</t>
  </si>
  <si>
    <t>prendre rdv le 22/07/2018</t>
  </si>
  <si>
    <t>permis a faire avant le 2/07/2018</t>
  </si>
  <si>
    <t>Tableau2</t>
  </si>
  <si>
    <t>Tableau4</t>
  </si>
  <si>
    <t>Tableau5</t>
  </si>
  <si>
    <t>Tableau6</t>
  </si>
  <si>
    <t>TVA 8,5%</t>
  </si>
  <si>
    <t>TVA NP 8,5%</t>
  </si>
  <si>
    <t>CT</t>
  </si>
  <si>
    <t>TVA/NP</t>
  </si>
  <si>
    <t>Tel : 0693 82 63 82</t>
  </si>
  <si>
    <t>Tableau9</t>
  </si>
  <si>
    <t>Tableau10</t>
  </si>
  <si>
    <t>Tableau11</t>
  </si>
  <si>
    <t>Tableau12</t>
  </si>
  <si>
    <t>Tableau13</t>
  </si>
  <si>
    <t>Tableau14</t>
  </si>
  <si>
    <t>Tableau15</t>
  </si>
  <si>
    <t>Tableau16</t>
  </si>
  <si>
    <t>Tableau17</t>
  </si>
  <si>
    <t>Tableau18</t>
  </si>
  <si>
    <t>Tableau19</t>
  </si>
  <si>
    <t>Tableau20</t>
  </si>
  <si>
    <t>02.00</t>
  </si>
  <si>
    <t>Février</t>
  </si>
  <si>
    <t>Janvier</t>
  </si>
  <si>
    <t>Mars</t>
  </si>
  <si>
    <t>Avril</t>
  </si>
  <si>
    <t>Mai</t>
  </si>
  <si>
    <t>Juin</t>
  </si>
  <si>
    <t>Juillet</t>
  </si>
  <si>
    <t>Août</t>
  </si>
  <si>
    <t>Septembre</t>
  </si>
  <si>
    <t>Octobre</t>
  </si>
  <si>
    <t>Novembre</t>
  </si>
  <si>
    <t>Décembre</t>
  </si>
  <si>
    <t>BDC00046</t>
  </si>
  <si>
    <t>N° :</t>
  </si>
  <si>
    <t>gravier 0,3</t>
  </si>
  <si>
    <t>gravier 0,2</t>
  </si>
  <si>
    <t>l</t>
  </si>
  <si>
    <t>50m²</t>
  </si>
  <si>
    <t>standar</t>
  </si>
  <si>
    <t>unité d'achat</t>
  </si>
  <si>
    <t>Qté</t>
  </si>
  <si>
    <t>01.00</t>
  </si>
  <si>
    <t>01.01</t>
  </si>
  <si>
    <t>01.02</t>
  </si>
  <si>
    <t>01.03</t>
  </si>
  <si>
    <t>01.04</t>
  </si>
  <si>
    <t>01.05</t>
  </si>
  <si>
    <t>01.06</t>
  </si>
  <si>
    <t>01.07</t>
  </si>
  <si>
    <t>01.09</t>
  </si>
  <si>
    <t>01.10</t>
  </si>
  <si>
    <t>01.11</t>
  </si>
  <si>
    <t>01.12</t>
  </si>
  <si>
    <t>01.13</t>
  </si>
  <si>
    <t>01.14</t>
  </si>
  <si>
    <t>01.15</t>
  </si>
  <si>
    <t>01.16</t>
  </si>
  <si>
    <t>01.17</t>
  </si>
  <si>
    <t>01.18</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</si>
  <si>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</si>
  <si>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</si>
  <si>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</si>
  <si>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</si>
  <si>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</si>
  <si>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</si>
  <si>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</si>
  <si>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</si>
  <si>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</si>
  <si>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</si>
  <si>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</si>
  <si>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</si>
  <si>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</si>
  <si>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</si>
  <si>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</si>
  <si>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</si>
  <si>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</si>
  <si>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</si>
  <si>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</si>
  <si>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</si>
  <si>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</si>
  <si>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</si>
  <si>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01.43</t>
  </si>
  <si>
    <t>01.44</t>
  </si>
  <si>
    <t>01.45</t>
  </si>
  <si>
    <t>01.46</t>
  </si>
  <si>
    <t>01.47</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</si>
  <si>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</si>
  <si>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</si>
  <si>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</si>
  <si>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</si>
  <si>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</si>
  <si>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</si>
  <si>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</si>
  <si>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</si>
  <si>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</si>
  <si>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</si>
  <si>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</si>
  <si>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</si>
  <si>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</si>
  <si>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</si>
  <si>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</si>
  <si>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</si>
  <si>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</si>
  <si>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</si>
  <si>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</si>
  <si>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</si>
  <si>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</si>
  <si>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</si>
  <si>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</si>
  <si>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</si>
  <si>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</si>
  <si>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</si>
  <si>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</si>
  <si>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</si>
  <si>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</si>
  <si>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Qté Achat</t>
  </si>
  <si>
    <t>Transport</t>
  </si>
  <si>
    <t>Manutention</t>
  </si>
  <si>
    <t>Prix U. Achat</t>
  </si>
  <si>
    <t>Qté.Convertie</t>
  </si>
  <si>
    <t>Prix.Fournisseur</t>
  </si>
  <si>
    <t>Prx.U.Reviens</t>
  </si>
  <si>
    <t>Prx.reviens TO</t>
  </si>
  <si>
    <t>Prx.Vente</t>
  </si>
  <si>
    <t>Indice</t>
  </si>
  <si>
    <t>Caracteristique.Conv</t>
  </si>
  <si>
    <t>ALDEBARAN</t>
  </si>
  <si>
    <t>CATENAT</t>
  </si>
  <si>
    <t>OUESTCARRELAGE</t>
  </si>
  <si>
    <t>(=E/D)</t>
  </si>
  <si>
    <r>
      <t>(=(H*I)+(</t>
    </r>
    <r>
      <rPr>
        <b/>
        <sz val="11"/>
        <color theme="1"/>
        <rFont val="Calibri"/>
        <family val="2"/>
      </rPr>
      <t>∑ J:K))</t>
    </r>
  </si>
  <si>
    <t>(=H*Q/O)</t>
  </si>
  <si>
    <t>(=L / I)</t>
  </si>
  <si>
    <t>(= O * AGM * ALEA)</t>
  </si>
  <si>
    <t>(=( I +(∑ J:K)/ H)/ I)</t>
  </si>
  <si>
    <t>liée au tableau de bord</t>
  </si>
  <si>
    <t>(AGM) liée au tableau de bord</t>
  </si>
  <si>
    <t>(ALEA) liée au tableau de bord</t>
  </si>
  <si>
    <t>Ref</t>
  </si>
  <si>
    <t xml:space="preserve"> Pose Tuyau PER</t>
  </si>
  <si>
    <t>Nourrice</t>
  </si>
  <si>
    <t>Regard EU</t>
  </si>
  <si>
    <t xml:space="preserve">Vannes d'arrêt </t>
  </si>
  <si>
    <t>07.00</t>
  </si>
  <si>
    <t>08.00</t>
  </si>
  <si>
    <t>09.00</t>
  </si>
  <si>
    <t>10.00</t>
  </si>
  <si>
    <t>11.00</t>
  </si>
  <si>
    <t>13.00</t>
  </si>
  <si>
    <t>02.01</t>
  </si>
  <si>
    <t>03.01</t>
  </si>
  <si>
    <t>03.02</t>
  </si>
  <si>
    <t>03.03</t>
  </si>
  <si>
    <t>03.04</t>
  </si>
  <si>
    <t>03.05</t>
  </si>
  <si>
    <t>03.06</t>
  </si>
  <si>
    <t>04.01</t>
  </si>
  <si>
    <t>05.04</t>
  </si>
  <si>
    <t>05.05</t>
  </si>
  <si>
    <t>05.06</t>
  </si>
  <si>
    <t>05.07</t>
  </si>
  <si>
    <t>07.01</t>
  </si>
  <si>
    <t>07.02</t>
  </si>
  <si>
    <t>07.03</t>
  </si>
  <si>
    <t>07.04</t>
  </si>
  <si>
    <t>07.05</t>
  </si>
  <si>
    <t>07.06</t>
  </si>
  <si>
    <t>07.07</t>
  </si>
  <si>
    <t>07.08</t>
  </si>
  <si>
    <t>07.09</t>
  </si>
  <si>
    <t>07.10</t>
  </si>
  <si>
    <t>08.01</t>
  </si>
  <si>
    <t>09.01</t>
  </si>
  <si>
    <t>10.01</t>
  </si>
  <si>
    <t>11.01</t>
  </si>
  <si>
    <t>11.02</t>
  </si>
  <si>
    <t>11.03</t>
  </si>
  <si>
    <t>11.04</t>
  </si>
  <si>
    <t>13.01</t>
  </si>
  <si>
    <t>13.02</t>
  </si>
  <si>
    <t>14.01</t>
  </si>
  <si>
    <t>14.02</t>
  </si>
  <si>
    <t>14.03</t>
  </si>
  <si>
    <t>14.04</t>
  </si>
  <si>
    <t>14.05</t>
  </si>
  <si>
    <t>14.06</t>
  </si>
  <si>
    <t>14.07</t>
  </si>
  <si>
    <t>14.08</t>
  </si>
  <si>
    <t>14.09</t>
  </si>
  <si>
    <t>14.10</t>
  </si>
  <si>
    <t>14.11</t>
  </si>
  <si>
    <t>14.12</t>
  </si>
  <si>
    <t>14.13</t>
  </si>
  <si>
    <t>14.14</t>
  </si>
  <si>
    <t>01.500</t>
  </si>
  <si>
    <t>01.501</t>
  </si>
  <si>
    <t>01.502</t>
  </si>
  <si>
    <t>01.503</t>
  </si>
  <si>
    <t>01.504</t>
  </si>
  <si>
    <t>01.08</t>
  </si>
  <si>
    <t>01.19</t>
  </si>
  <si>
    <t>01.42</t>
  </si>
  <si>
    <t>01.48</t>
  </si>
  <si>
    <t>01.600</t>
  </si>
  <si>
    <t>Fil montage bloc</t>
  </si>
  <si>
    <t>50mX5</t>
  </si>
  <si>
    <t>Semmelle Métallique</t>
  </si>
  <si>
    <t>semmelle Métallique</t>
  </si>
  <si>
    <t>fer béton HA12</t>
  </si>
  <si>
    <t>grave 0,30</t>
  </si>
  <si>
    <t>4,33kg/ml</t>
  </si>
  <si>
    <t>8,1kg/ml</t>
  </si>
  <si>
    <t>1,43kg/ml</t>
  </si>
  <si>
    <t>1,87kg/(4,8mx2,4m)</t>
  </si>
  <si>
    <t>2,46kg/ml</t>
  </si>
  <si>
    <t>Solin Tôle pré-laquée</t>
  </si>
  <si>
    <t>Faitage Tôle pré-laquée</t>
  </si>
  <si>
    <t>Noue Tôle pré-laquée</t>
  </si>
  <si>
    <t>Façon de Noue</t>
  </si>
  <si>
    <t>10.02</t>
  </si>
  <si>
    <t>10.03</t>
  </si>
  <si>
    <t>Vanne</t>
  </si>
  <si>
    <t>Fer Chainage</t>
  </si>
  <si>
    <t>0,87k/ml</t>
  </si>
  <si>
    <t>1,5kg/m2</t>
  </si>
  <si>
    <t>0,3kg/m²</t>
  </si>
  <si>
    <t>1kg/m²</t>
  </si>
  <si>
    <t xml:space="preserve"> (8m²/kg)</t>
  </si>
  <si>
    <t xml:space="preserve"> 25kg 16l (8m²/l)/2</t>
  </si>
  <si>
    <t>25kg (0,15l/m²)</t>
  </si>
  <si>
    <t>25kg(1,4k/m²)</t>
  </si>
  <si>
    <t>25kg 0,5kg/m²</t>
  </si>
  <si>
    <t>2kg/m²</t>
  </si>
  <si>
    <t>0,26kg/m²</t>
  </si>
  <si>
    <t xml:space="preserve"> 25kg (2,4/m²)</t>
  </si>
  <si>
    <t>peinture prim etan.</t>
  </si>
  <si>
    <t xml:space="preserve">Unité </t>
  </si>
  <si>
    <t>(=D*F)</t>
  </si>
  <si>
    <t>(=Rech.prix in BD_Prod &amp; BD_ET_PR)</t>
  </si>
  <si>
    <t>Total + Coef</t>
  </si>
  <si>
    <t>coef</t>
  </si>
  <si>
    <t>FDF</t>
  </si>
  <si>
    <t>N° Dossier</t>
  </si>
  <si>
    <t>Adrésse</t>
  </si>
  <si>
    <t>Adrésse Terrain</t>
  </si>
  <si>
    <t>Ville2</t>
  </si>
  <si>
    <t>Etapes</t>
  </si>
  <si>
    <t>Date d'écheance</t>
  </si>
  <si>
    <t>RAPA00008</t>
  </si>
  <si>
    <t>PATRICK</t>
  </si>
  <si>
    <t>65 bis chemin lafaillette</t>
  </si>
  <si>
    <t>pat@gmail.fr</t>
  </si>
  <si>
    <t>CD 5692</t>
  </si>
  <si>
    <t>VIRAPIN HARI</t>
  </si>
  <si>
    <t xml:space="preserve">rappeler le client </t>
  </si>
  <si>
    <t>VIED00003</t>
  </si>
  <si>
    <t>45 bis chemin des fleurs</t>
  </si>
  <si>
    <t>Liste Etapes</t>
  </si>
  <si>
    <t>Coef</t>
  </si>
  <si>
    <t>prix MO</t>
  </si>
  <si>
    <t>Quantité(TU)</t>
  </si>
  <si>
    <t>membrane à excroissances imperméable</t>
  </si>
  <si>
    <t>membrane  imperméable DELTA</t>
  </si>
  <si>
    <t>25x26</t>
  </si>
  <si>
    <t>Instalation de chantier barraquement sans cloture</t>
  </si>
  <si>
    <t>grav 0.20</t>
  </si>
  <si>
    <t>com</t>
  </si>
  <si>
    <t>Marge Réel</t>
  </si>
  <si>
    <t>DEVIS</t>
  </si>
  <si>
    <t>Devis à</t>
  </si>
  <si>
    <t>TTC GO</t>
  </si>
  <si>
    <t>TTC PAF</t>
  </si>
  <si>
    <t>TTC CEM</t>
  </si>
  <si>
    <t>NOM      LECHAT</t>
  </si>
  <si>
    <t>Tel : 0692694965</t>
  </si>
  <si>
    <t>ADRESSE : RAVINE DES CABRIS</t>
  </si>
  <si>
    <t>VILLE  97432 ST PIERRE</t>
  </si>
  <si>
    <r>
      <t>Objet du devis</t>
    </r>
    <r>
      <rPr>
        <b/>
        <sz val="12"/>
        <rFont val="Arial"/>
        <family val="2"/>
      </rPr>
      <t>: Travaux de Maçonnerie, Charpente Couverture, Gros Œuvre,  Finition</t>
    </r>
  </si>
  <si>
    <t>x</t>
  </si>
  <si>
    <t>Ref.</t>
  </si>
  <si>
    <t>Désignation des ouvrages</t>
  </si>
  <si>
    <t>Prix de vente H.T</t>
  </si>
  <si>
    <t>OUVRAGES</t>
  </si>
  <si>
    <t>Unitaire</t>
  </si>
  <si>
    <t>Total</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</si>
  <si>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</si>
  <si>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</si>
  <si>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</si>
  <si>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</si>
  <si>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12+7 béton +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</si>
  <si>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</si>
  <si>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</si>
  <si>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</si>
  <si>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</si>
  <si>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</si>
  <si>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</si>
  <si>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</si>
  <si>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</si>
  <si>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</si>
  <si>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</si>
  <si>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</si>
  <si>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</si>
  <si>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</si>
  <si>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</si>
  <si>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</si>
  <si>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</si>
  <si>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</si>
  <si>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</si>
  <si>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</si>
  <si>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</si>
  <si>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</si>
  <si>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</si>
  <si>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</si>
  <si>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</si>
  <si>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</si>
  <si>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</si>
  <si>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</si>
  <si>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</si>
  <si>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</si>
  <si>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</si>
  <si>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</si>
  <si>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</si>
  <si>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</si>
  <si>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et filtre à sable verticale non drainé</t>
  </si>
  <si>
    <t>TOTAL T.T.C</t>
  </si>
  <si>
    <t>Remise</t>
  </si>
  <si>
    <t>Arrêté le présent devis à la somme de :</t>
  </si>
  <si>
    <t>ECHEANCIER</t>
  </si>
  <si>
    <t>Montant T.T.C</t>
  </si>
  <si>
    <t>OUVERTURE DE CHANTIER</t>
  </si>
  <si>
    <t>ACHEVEMENT DES FONDATIONS</t>
  </si>
  <si>
    <t>ACHEVEMENT DES MURS ELEVATION ET DES ENDUITS</t>
  </si>
  <si>
    <t>ACHEVEMENT DE LA CHARPENTE COUVERTURE</t>
  </si>
  <si>
    <t>A LA RECEPTION</t>
  </si>
  <si>
    <t>Le présent devis est valable 2mois. Toutes demandes non comprises au présent devis seront calculées et feront l'objet d'un</t>
  </si>
  <si>
    <t>devis de travaux supplémentaires et sera validé par les 2 parties avant tout interavention sur le chantier.</t>
  </si>
  <si>
    <t xml:space="preserve">Signature client           </t>
  </si>
  <si>
    <t xml:space="preserve">  Signature entrepreneur</t>
  </si>
  <si>
    <t>RECAPITULATIF DEVIS ESTIMATIF</t>
  </si>
  <si>
    <t>DETAIL DES PRESTATIONS</t>
  </si>
  <si>
    <t xml:space="preserve">RESEAUX DE PLOMBERIE </t>
  </si>
  <si>
    <t>TOTAL  ( TTC  )</t>
  </si>
  <si>
    <t>MENUISERIE EXTERIEUR ALUMINIUM ( TTC )</t>
  </si>
  <si>
    <t>TOTAL   ( TTC ) en  PRÊT A FINIR  (Avec Menuiseries)</t>
  </si>
  <si>
    <t>PEINTURE / ETANCHEITE</t>
  </si>
  <si>
    <t>RACCORDEMENT RESEAUX (y compris fosse séptique)</t>
  </si>
  <si>
    <t>TOTAL  TTC</t>
  </si>
  <si>
    <t>TOTAL TTC  Avec les COMPLEMENTS</t>
  </si>
  <si>
    <t>TOTAL TTC  Avec les COMPLEMENTS + OPTION</t>
  </si>
  <si>
    <t xml:space="preserve">                                           </t>
  </si>
  <si>
    <t>(=∑</t>
  </si>
  <si>
    <t>Coût hors taxe avec coeff 1,42 de majr</t>
  </si>
  <si>
    <t>rendement 0,06</t>
  </si>
  <si>
    <t>01.78</t>
  </si>
  <si>
    <t>planche 4m</t>
  </si>
  <si>
    <t>coef de perte seche</t>
  </si>
  <si>
    <t>mini pelle</t>
  </si>
  <si>
    <t>01.79</t>
  </si>
  <si>
    <t>01.80</t>
  </si>
  <si>
    <t>rendement 30/j</t>
  </si>
  <si>
    <t>01.81</t>
  </si>
  <si>
    <t>grille</t>
  </si>
  <si>
    <t>ALEA</t>
  </si>
  <si>
    <t>AGM</t>
  </si>
  <si>
    <t>indice</t>
  </si>
</sst>
</file>

<file path=xl/styles.xml><?xml version="1.0" encoding="utf-8"?>
<styleSheet xmlns="http://schemas.openxmlformats.org/spreadsheetml/2006/main">
  <numFmts count="20">
    <numFmt numFmtId="7" formatCode="#,##0.00\ &quot;€&quot;;\-#,##0.00\ &quot;€&quot;"/>
    <numFmt numFmtId="164" formatCode="_(&quot;€&quot;* #,##0.00_);_(&quot;€&quot;* \(#,##0.00\);_(&quot;€&quot;* &quot;-&quot;??_);_(@_)"/>
    <numFmt numFmtId="165" formatCode="&quot;€&quot;#,##0.00_);[Red]\(&quot;€&quot;#,##0.00\)"/>
    <numFmt numFmtId="166" formatCode="_(* #,##0.00_);_(* \(#,##0.00\);_(* &quot;-&quot;??_);_(@_)"/>
    <numFmt numFmtId="167" formatCode="0.000"/>
    <numFmt numFmtId="169" formatCode="0;[Red]0"/>
    <numFmt numFmtId="170" formatCode="#,##0.00\ &quot;€&quot;"/>
    <numFmt numFmtId="173" formatCode="d\ mmmm\ yyyy"/>
    <numFmt numFmtId="174" formatCode="[$-F800]dddd\,\ mmmm\ dd\,\ yyyy"/>
    <numFmt numFmtId="175" formatCode="_-* #,##0.00\ [$€]_-;\-* #,##0.00\ [$€]_-;_-* &quot;-&quot;??\ [$€]_-;_-@_-"/>
    <numFmt numFmtId="176" formatCode="_-* #,##0.00\ [$€-81D]_-;\-* #,##0.00\ [$€-81D]_-;_-* &quot;-&quot;??\ [$€-81D]_-;_-@_-"/>
    <numFmt numFmtId="177" formatCode="00"/>
    <numFmt numFmtId="178" formatCode="0.00;[Red]0.00"/>
    <numFmt numFmtId="179" formatCode="#,##0.0\ &quot;€&quot;"/>
    <numFmt numFmtId="180" formatCode="dd/mm/yy"/>
    <numFmt numFmtId="182" formatCode="0.0"/>
    <numFmt numFmtId="186" formatCode="#,##0.00\ _€"/>
    <numFmt numFmtId="187" formatCode="#\ ###\ ##0.00[$ €-409];[Blue]\-#\ ###\ ##0.00[$ €-409]"/>
    <numFmt numFmtId="188" formatCode="0.0%"/>
    <numFmt numFmtId="189" formatCode="0.00\%"/>
  </numFmts>
  <fonts count="90">
    <font>
      <sz val="11"/>
      <color theme="1"/>
      <name val="Calibri"/>
      <family val="2"/>
      <scheme val="minor"/>
    </font>
    <font>
      <sz val="8"/>
      <name val="Calibri"/>
      <family val="2"/>
    </font>
    <font>
      <sz val="10"/>
      <name val="Arial"/>
      <family val="2"/>
    </font>
    <font>
      <sz val="10"/>
      <name val="Arial Narrow"/>
      <family val="2"/>
    </font>
    <font>
      <b/>
      <sz val="12"/>
      <name val="Arial Narrow"/>
      <family val="2"/>
    </font>
    <font>
      <sz val="10"/>
      <color theme="1"/>
      <name val="Arial Narrow"/>
      <family val="2"/>
    </font>
    <font>
      <sz val="11"/>
      <color theme="1"/>
      <name val="Arial Narrow"/>
      <family val="2"/>
    </font>
    <font>
      <b/>
      <sz val="10"/>
      <color theme="1"/>
      <name val="Arial Narrow"/>
      <family val="2"/>
    </font>
    <font>
      <b/>
      <i/>
      <sz val="10"/>
      <name val="Arial Narrow"/>
      <family val="2"/>
    </font>
    <font>
      <b/>
      <sz val="14"/>
      <name val="Arial Narrow"/>
      <family val="2"/>
    </font>
    <font>
      <sz val="8"/>
      <name val="Arial Narrow"/>
      <family val="2"/>
    </font>
    <font>
      <b/>
      <sz val="10"/>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i/>
      <sz val="10"/>
      <name val="Arial Narrow"/>
      <family val="2"/>
    </font>
    <font>
      <u/>
      <sz val="10"/>
      <name val="Arial Narrow"/>
      <family val="2"/>
    </font>
    <font>
      <sz val="11"/>
      <color theme="1"/>
      <name val="Calibri"/>
      <family val="2"/>
      <scheme val="minor"/>
    </font>
    <font>
      <sz val="11"/>
      <name val="Calibri"/>
      <family val="2"/>
    </font>
    <font>
      <b/>
      <sz val="11"/>
      <color theme="1"/>
      <name val="Calibri"/>
      <family val="2"/>
      <scheme val="minor"/>
    </font>
    <font>
      <sz val="10"/>
      <color theme="1"/>
      <name val="Calibri"/>
      <family val="2"/>
      <scheme val="minor"/>
    </font>
    <font>
      <sz val="10"/>
      <color rgb="FF0070C0"/>
      <name val="Calibri"/>
      <family val="2"/>
      <scheme val="minor"/>
    </font>
    <font>
      <sz val="10"/>
      <name val="Calibri"/>
      <family val="2"/>
      <scheme val="minor"/>
    </font>
    <font>
      <b/>
      <sz val="10"/>
      <color theme="1"/>
      <name val="Calibri"/>
      <family val="2"/>
      <scheme val="minor"/>
    </font>
    <font>
      <b/>
      <sz val="11"/>
      <color theme="1"/>
      <name val="Calibri"/>
      <family val="2"/>
    </font>
    <font>
      <sz val="10"/>
      <color rgb="FF990000"/>
      <name val="Calibri"/>
      <family val="2"/>
      <scheme val="minor"/>
    </font>
    <font>
      <b/>
      <sz val="10"/>
      <name val="Calibri"/>
      <family val="2"/>
      <scheme val="minor"/>
    </font>
    <font>
      <b/>
      <sz val="9"/>
      <name val="Calibri"/>
      <family val="2"/>
      <scheme val="minor"/>
    </font>
    <font>
      <sz val="9"/>
      <color theme="1"/>
      <name val="Calibri"/>
      <family val="2"/>
      <scheme val="minor"/>
    </font>
    <font>
      <b/>
      <sz val="9"/>
      <color theme="1"/>
      <name val="Calibri"/>
      <family val="2"/>
      <scheme val="minor"/>
    </font>
    <font>
      <b/>
      <sz val="11"/>
      <name val="Calibri"/>
      <family val="2"/>
      <scheme val="minor"/>
    </font>
    <font>
      <sz val="9"/>
      <color rgb="FF000000"/>
      <name val="Arial"/>
      <family val="2"/>
    </font>
    <font>
      <sz val="9"/>
      <color indexed="18"/>
      <name val="Arial"/>
      <family val="2"/>
    </font>
    <font>
      <b/>
      <sz val="9"/>
      <name val="Arial"/>
      <family val="2"/>
    </font>
    <font>
      <b/>
      <i/>
      <sz val="10"/>
      <name val="Arial"/>
      <family val="2"/>
    </font>
    <font>
      <b/>
      <sz val="16"/>
      <name val="Arial"/>
      <family val="2"/>
    </font>
    <font>
      <b/>
      <sz val="20"/>
      <name val="Arial"/>
      <family val="2"/>
    </font>
    <font>
      <b/>
      <sz val="18"/>
      <name val="Arial"/>
      <family val="2"/>
    </font>
    <font>
      <b/>
      <sz val="12"/>
      <name val="Arial"/>
      <family val="2"/>
    </font>
    <font>
      <b/>
      <sz val="9"/>
      <color indexed="61"/>
      <name val="Arial"/>
      <family val="2"/>
    </font>
    <font>
      <sz val="9"/>
      <color theme="1"/>
      <name val="Arial"/>
      <family val="2"/>
    </font>
    <font>
      <sz val="9"/>
      <name val="Arial"/>
      <family val="2"/>
    </font>
    <font>
      <b/>
      <sz val="10"/>
      <name val="Arial"/>
      <family val="2"/>
    </font>
    <font>
      <u/>
      <sz val="9"/>
      <name val="Arial"/>
      <family val="2"/>
    </font>
    <font>
      <b/>
      <i/>
      <u/>
      <sz val="9"/>
      <name val="Arial"/>
      <family val="2"/>
    </font>
    <font>
      <sz val="9"/>
      <color rgb="FF002060"/>
      <name val="Arial"/>
      <family val="2"/>
    </font>
    <font>
      <b/>
      <sz val="8"/>
      <color rgb="FF002060"/>
      <name val="Cambria"/>
      <family val="1"/>
      <scheme val="major"/>
    </font>
    <font>
      <sz val="9"/>
      <color rgb="FF002060"/>
      <name val="Cambria"/>
      <family val="1"/>
      <scheme val="major"/>
    </font>
    <font>
      <sz val="10"/>
      <name val="Times New Roman"/>
      <family val="1"/>
    </font>
    <font>
      <b/>
      <u/>
      <sz val="12"/>
      <name val="Arial"/>
      <family val="2"/>
    </font>
    <font>
      <b/>
      <sz val="9"/>
      <color indexed="8"/>
      <name val="Calibri"/>
      <family val="2"/>
    </font>
    <font>
      <sz val="9"/>
      <color indexed="9"/>
      <name val="Calibri"/>
      <family val="2"/>
    </font>
    <font>
      <sz val="9"/>
      <color theme="1"/>
      <name val="Calibri"/>
      <family val="2"/>
    </font>
    <font>
      <sz val="9"/>
      <name val="Calibri"/>
      <family val="2"/>
    </font>
    <font>
      <b/>
      <sz val="9"/>
      <name val="Calibri"/>
      <family val="2"/>
    </font>
    <font>
      <b/>
      <i/>
      <u/>
      <sz val="9"/>
      <name val="Calibri"/>
      <family val="2"/>
    </font>
    <font>
      <sz val="9"/>
      <color theme="0"/>
      <name val="Calibri"/>
      <family val="2"/>
    </font>
    <font>
      <i/>
      <sz val="9"/>
      <name val="Calibri"/>
      <family val="2"/>
    </font>
    <font>
      <b/>
      <sz val="12"/>
      <name val="Calibri"/>
      <family val="2"/>
    </font>
    <font>
      <b/>
      <sz val="9"/>
      <color theme="1"/>
      <name val="Calibri"/>
      <family val="2"/>
    </font>
    <font>
      <b/>
      <i/>
      <sz val="14"/>
      <color theme="1"/>
      <name val="Calibri"/>
      <family val="2"/>
    </font>
    <font>
      <i/>
      <sz val="10"/>
      <color theme="1"/>
      <name val="Calibri"/>
      <family val="2"/>
      <scheme val="minor"/>
    </font>
    <font>
      <sz val="11"/>
      <color theme="1"/>
      <name val="Calibri"/>
      <family val="2"/>
    </font>
    <font>
      <sz val="11"/>
      <name val="Calibri"/>
      <family val="2"/>
      <scheme val="minor"/>
    </font>
    <font>
      <b/>
      <i/>
      <sz val="12"/>
      <name val="Calibri"/>
      <family val="2"/>
    </font>
    <font>
      <b/>
      <sz val="12"/>
      <color theme="1"/>
      <name val="Calibri"/>
      <family val="2"/>
    </font>
    <font>
      <b/>
      <i/>
      <sz val="12"/>
      <color theme="1"/>
      <name val="Calibri"/>
      <family val="2"/>
    </font>
    <font>
      <i/>
      <sz val="10"/>
      <color theme="1"/>
      <name val="Calibri"/>
      <family val="2"/>
    </font>
    <font>
      <sz val="10"/>
      <color theme="1"/>
      <name val="Calibri"/>
      <family val="2"/>
    </font>
    <font>
      <i/>
      <sz val="9"/>
      <color theme="1"/>
      <name val="Calibri"/>
      <family val="2"/>
    </font>
    <font>
      <b/>
      <sz val="10"/>
      <color theme="1"/>
      <name val="Calibri"/>
      <family val="2"/>
    </font>
    <font>
      <b/>
      <i/>
      <sz val="11"/>
      <color theme="1"/>
      <name val="Calibri"/>
      <family val="2"/>
    </font>
    <font>
      <sz val="11"/>
      <color theme="0"/>
      <name val="Calibri"/>
      <family val="2"/>
    </font>
    <font>
      <sz val="12"/>
      <color theme="1"/>
      <name val="Calibri"/>
      <family val="2"/>
    </font>
    <font>
      <b/>
      <u/>
      <sz val="12"/>
      <color theme="1"/>
      <name val="Calibri"/>
      <family val="2"/>
    </font>
    <font>
      <b/>
      <u/>
      <sz val="12"/>
      <name val="Calibri"/>
      <family val="2"/>
    </font>
    <font>
      <b/>
      <u/>
      <sz val="10"/>
      <name val="Calibri"/>
      <family val="2"/>
    </font>
    <font>
      <b/>
      <i/>
      <sz val="14"/>
      <name val="Calibri"/>
      <family val="2"/>
      <scheme val="minor"/>
    </font>
    <font>
      <i/>
      <sz val="9"/>
      <name val="Calibri"/>
      <family val="2"/>
      <scheme val="minor"/>
    </font>
    <font>
      <b/>
      <sz val="11"/>
      <name val="Calibri"/>
      <family val="2"/>
    </font>
    <font>
      <sz val="9"/>
      <color indexed="18"/>
      <name val="Calibri"/>
      <family val="2"/>
    </font>
    <font>
      <b/>
      <sz val="9"/>
      <color indexed="18"/>
      <name val="Calibri"/>
      <family val="2"/>
    </font>
    <font>
      <sz val="10"/>
      <color indexed="81"/>
      <name val="Tahoma"/>
      <family val="2"/>
    </font>
    <font>
      <sz val="12"/>
      <color indexed="81"/>
      <name val="Tahoma"/>
      <family val="2"/>
    </font>
  </fonts>
  <fills count="24">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FFFF00"/>
        <bgColor indexed="64"/>
      </patternFill>
    </fill>
    <fill>
      <patternFill patternType="solid">
        <fgColor rgb="FFFF0000"/>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C00000"/>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rgb="FF92D050"/>
        <bgColor indexed="64"/>
      </patternFill>
    </fill>
    <fill>
      <patternFill patternType="solid">
        <fgColor theme="9"/>
        <bgColor indexed="64"/>
      </patternFill>
    </fill>
    <fill>
      <patternFill patternType="solid">
        <fgColor rgb="FFFFFFE5"/>
        <bgColor indexed="64"/>
      </patternFill>
    </fill>
    <fill>
      <patternFill patternType="solid">
        <fgColor indexed="9"/>
        <bgColor indexed="64"/>
      </patternFill>
    </fill>
    <fill>
      <patternFill patternType="solid">
        <fgColor rgb="FFFFCC99"/>
        <bgColor indexed="64"/>
      </patternFill>
    </fill>
    <fill>
      <patternFill patternType="solid">
        <fgColor theme="0"/>
        <bgColor rgb="FF2E389A"/>
      </patternFill>
    </fill>
    <fill>
      <patternFill patternType="solid">
        <fgColor rgb="FFFFFFCC"/>
        <bgColor rgb="FF2E389A"/>
      </patternFill>
    </fill>
    <fill>
      <patternFill patternType="solid">
        <fgColor theme="0" tint="-4.9989318521683403E-2"/>
        <bgColor rgb="FF2E389A"/>
      </patternFill>
    </fill>
    <fill>
      <patternFill patternType="solid">
        <fgColor indexed="65"/>
        <bgColor rgb="FF2E389A"/>
      </patternFill>
    </fill>
    <fill>
      <patternFill patternType="solid">
        <fgColor theme="2" tint="-0.249977111117893"/>
        <bgColor indexed="64"/>
      </patternFill>
    </fill>
  </fills>
  <borders count="1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hair">
        <color auto="1"/>
      </left>
      <right style="hair">
        <color auto="1"/>
      </right>
      <top/>
      <bottom style="hair">
        <color auto="1"/>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style="hair">
        <color indexed="64"/>
      </left>
      <right style="thin">
        <color indexed="64"/>
      </right>
      <top/>
      <bottom/>
      <diagonal/>
    </border>
    <border>
      <left/>
      <right style="hair">
        <color indexed="64"/>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hair">
        <color indexed="64"/>
      </left>
      <right style="thin">
        <color indexed="64"/>
      </right>
      <top style="thin">
        <color indexed="64"/>
      </top>
      <bottom style="thin">
        <color indexed="64"/>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style="thin">
        <color theme="3"/>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thin">
        <color theme="3"/>
      </left>
      <right style="hair">
        <color theme="3"/>
      </right>
      <top style="hair">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indexed="64"/>
      </left>
      <right style="thin">
        <color theme="3"/>
      </right>
      <top style="hair">
        <color indexed="64"/>
      </top>
      <bottom style="hair">
        <color indexed="64"/>
      </bottom>
      <diagonal/>
    </border>
    <border>
      <left style="thin">
        <color theme="3"/>
      </left>
      <right style="hair">
        <color theme="3"/>
      </right>
      <top style="hair">
        <color theme="3"/>
      </top>
      <bottom style="thin">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hair">
        <color rgb="FF7030A0"/>
      </right>
      <top style="thin">
        <color theme="4" tint="-0.24994659260841701"/>
      </top>
      <bottom style="thin">
        <color theme="4" tint="-0.24994659260841701"/>
      </bottom>
      <diagonal/>
    </border>
    <border>
      <left style="hair">
        <color rgb="FF7030A0"/>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s>
  <cellStyleXfs count="9">
    <xf numFmtId="0" fontId="0" fillId="0" borderId="0" applyNumberFormat="0" applyBorder="0" applyAlignment="0" applyProtection="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75" fontId="2" fillId="0" borderId="0" applyFont="0" applyFill="0" applyBorder="0" applyAlignment="0" applyProtection="0"/>
    <xf numFmtId="0" fontId="23" fillId="0" borderId="0"/>
    <xf numFmtId="0" fontId="23" fillId="0" borderId="0"/>
  </cellStyleXfs>
  <cellXfs count="590">
    <xf numFmtId="0" fontId="0" fillId="0" borderId="0" xfId="0"/>
    <xf numFmtId="0" fontId="3" fillId="0" borderId="0" xfId="2" applyFont="1" applyBorder="1" applyProtection="1"/>
    <xf numFmtId="0" fontId="3" fillId="0" borderId="0" xfId="2" applyFont="1" applyProtection="1"/>
    <xf numFmtId="0" fontId="5" fillId="0" borderId="0" xfId="0" applyFont="1"/>
    <xf numFmtId="0" fontId="7" fillId="2" borderId="0" xfId="0" applyFont="1" applyFill="1"/>
    <xf numFmtId="0" fontId="5" fillId="2" borderId="0" xfId="0" applyFont="1" applyFill="1"/>
    <xf numFmtId="0" fontId="5" fillId="0" borderId="0" xfId="0" applyFont="1" applyAlignment="1">
      <alignment horizontal="center" vertical="center"/>
    </xf>
    <xf numFmtId="0" fontId="5" fillId="0" borderId="0" xfId="0" applyFont="1" applyFill="1"/>
    <xf numFmtId="0" fontId="3" fillId="0" borderId="9" xfId="2" applyFont="1" applyBorder="1" applyProtection="1"/>
    <xf numFmtId="0" fontId="3" fillId="0" borderId="3" xfId="2" applyFont="1" applyBorder="1" applyProtection="1"/>
    <xf numFmtId="0" fontId="3" fillId="0" borderId="6" xfId="2" applyFont="1" applyBorder="1" applyProtection="1"/>
    <xf numFmtId="0" fontId="3" fillId="0" borderId="24" xfId="2" applyFont="1" applyBorder="1" applyProtection="1"/>
    <xf numFmtId="0" fontId="3" fillId="0" borderId="17" xfId="2" applyFont="1" applyBorder="1" applyProtection="1"/>
    <xf numFmtId="0" fontId="3" fillId="0" borderId="16" xfId="2" applyFont="1" applyBorder="1" applyProtection="1"/>
    <xf numFmtId="0" fontId="3" fillId="0" borderId="0" xfId="2" applyFont="1" applyBorder="1" applyAlignment="1" applyProtection="1"/>
    <xf numFmtId="0" fontId="18" fillId="0" borderId="0" xfId="2" applyFont="1" applyProtection="1"/>
    <xf numFmtId="0" fontId="3" fillId="0" borderId="0" xfId="2" applyFont="1" applyAlignment="1" applyProtection="1">
      <alignment horizontal="right" vertical="top"/>
    </xf>
    <xf numFmtId="0" fontId="11" fillId="0" borderId="0" xfId="2" applyFont="1" applyBorder="1" applyAlignment="1" applyProtection="1">
      <alignment horizontal="center"/>
    </xf>
    <xf numFmtId="0" fontId="22" fillId="0" borderId="0" xfId="2" applyFont="1" applyBorder="1" applyAlignment="1" applyProtection="1">
      <alignment vertical="center"/>
    </xf>
    <xf numFmtId="0" fontId="3" fillId="0" borderId="0" xfId="2" applyFont="1" applyBorder="1" applyAlignment="1" applyProtection="1">
      <alignment vertical="center"/>
    </xf>
    <xf numFmtId="49" fontId="3" fillId="0" borderId="0" xfId="2" applyNumberFormat="1" applyFont="1" applyBorder="1" applyAlignment="1" applyProtection="1"/>
    <xf numFmtId="0" fontId="11" fillId="0" borderId="18" xfId="2" applyFont="1" applyBorder="1" applyAlignment="1" applyProtection="1"/>
    <xf numFmtId="0" fontId="3" fillId="0" borderId="3" xfId="2" applyFont="1" applyBorder="1" applyAlignment="1" applyProtection="1"/>
    <xf numFmtId="170" fontId="3" fillId="0" borderId="9" xfId="2" applyNumberFormat="1" applyFont="1" applyBorder="1" applyAlignment="1" applyProtection="1"/>
    <xf numFmtId="0" fontId="3" fillId="0" borderId="22" xfId="2" applyFont="1" applyBorder="1" applyProtection="1"/>
    <xf numFmtId="176" fontId="11" fillId="0" borderId="20" xfId="2" applyNumberFormat="1" applyFont="1" applyBorder="1" applyProtection="1"/>
    <xf numFmtId="175" fontId="3" fillId="0" borderId="25" xfId="6" applyFont="1" applyBorder="1" applyProtection="1"/>
    <xf numFmtId="176" fontId="11" fillId="0" borderId="12" xfId="2" applyNumberFormat="1" applyFont="1" applyBorder="1" applyProtection="1"/>
    <xf numFmtId="0" fontId="11" fillId="0" borderId="0" xfId="2" applyFont="1" applyBorder="1" applyAlignment="1" applyProtection="1">
      <alignment horizontal="left"/>
    </xf>
    <xf numFmtId="0" fontId="3" fillId="0" borderId="1" xfId="2" applyFont="1" applyBorder="1" applyProtection="1"/>
    <xf numFmtId="0" fontId="3" fillId="0" borderId="18" xfId="2" applyFont="1" applyBorder="1" applyAlignment="1" applyProtection="1">
      <alignment horizontal="left"/>
    </xf>
    <xf numFmtId="0" fontId="3" fillId="0" borderId="3" xfId="2" applyFont="1" applyBorder="1" applyAlignment="1" applyProtection="1">
      <alignment horizontal="left"/>
    </xf>
    <xf numFmtId="0" fontId="3" fillId="0" borderId="23" xfId="2" applyFont="1" applyBorder="1" applyAlignment="1" applyProtection="1">
      <alignment horizontal="center"/>
    </xf>
    <xf numFmtId="0" fontId="3" fillId="0" borderId="0" xfId="2" applyFont="1" applyBorder="1" applyAlignment="1" applyProtection="1">
      <alignment horizontal="center"/>
    </xf>
    <xf numFmtId="0" fontId="3" fillId="0" borderId="13" xfId="2" applyFont="1" applyBorder="1" applyAlignment="1" applyProtection="1">
      <alignment horizontal="center"/>
    </xf>
    <xf numFmtId="0" fontId="11" fillId="0" borderId="8" xfId="2" applyFont="1" applyBorder="1" applyAlignment="1" applyProtection="1">
      <alignment horizontal="center"/>
    </xf>
    <xf numFmtId="0" fontId="8" fillId="0" borderId="17" xfId="2" applyFont="1" applyBorder="1" applyAlignment="1" applyProtection="1">
      <alignment horizontal="center"/>
    </xf>
    <xf numFmtId="0" fontId="11" fillId="0" borderId="19" xfId="2" applyFont="1" applyBorder="1" applyAlignment="1" applyProtection="1">
      <alignment horizontal="center"/>
    </xf>
    <xf numFmtId="0" fontId="3" fillId="0" borderId="0" xfId="2" applyFont="1" applyBorder="1" applyAlignment="1" applyProtection="1">
      <alignment horizontal="left"/>
    </xf>
    <xf numFmtId="0" fontId="3" fillId="0" borderId="10" xfId="2" applyFont="1" applyBorder="1" applyProtection="1"/>
    <xf numFmtId="0" fontId="11" fillId="0" borderId="18" xfId="2" applyFont="1" applyBorder="1" applyAlignment="1" applyProtection="1">
      <alignment horizontal="center"/>
    </xf>
    <xf numFmtId="49" fontId="8" fillId="0" borderId="0" xfId="2" applyNumberFormat="1" applyFont="1" applyBorder="1" applyAlignment="1" applyProtection="1">
      <alignment horizontal="center"/>
    </xf>
    <xf numFmtId="0" fontId="11" fillId="0" borderId="15" xfId="2" applyFont="1" applyBorder="1" applyAlignment="1" applyProtection="1">
      <alignment horizontal="center"/>
    </xf>
    <xf numFmtId="173" fontId="3" fillId="0" borderId="0" xfId="2" applyNumberFormat="1" applyFont="1" applyBorder="1" applyAlignment="1" applyProtection="1">
      <alignment horizontal="left"/>
    </xf>
    <xf numFmtId="175" fontId="11" fillId="0" borderId="11" xfId="6" applyFont="1" applyBorder="1" applyProtection="1"/>
    <xf numFmtId="49" fontId="8" fillId="0" borderId="6" xfId="2" applyNumberFormat="1" applyFont="1" applyBorder="1" applyAlignment="1" applyProtection="1">
      <alignment horizontal="center"/>
    </xf>
    <xf numFmtId="0" fontId="3" fillId="0" borderId="17" xfId="2" applyFont="1" applyBorder="1" applyProtection="1">
      <protection locked="0"/>
    </xf>
    <xf numFmtId="0" fontId="3" fillId="4" borderId="0" xfId="2" applyFont="1" applyFill="1" applyBorder="1" applyAlignment="1" applyProtection="1">
      <alignment vertical="center"/>
    </xf>
    <xf numFmtId="0" fontId="3" fillId="4" borderId="0" xfId="2" applyFont="1" applyFill="1" applyBorder="1" applyAlignment="1" applyProtection="1">
      <alignment vertical="center" readingOrder="1"/>
    </xf>
    <xf numFmtId="0" fontId="3" fillId="0" borderId="23" xfId="2" applyFont="1" applyBorder="1" applyAlignment="1" applyProtection="1"/>
    <xf numFmtId="0" fontId="3" fillId="0" borderId="21" xfId="2" applyFont="1" applyBorder="1" applyAlignment="1" applyProtection="1"/>
    <xf numFmtId="0" fontId="11" fillId="0" borderId="23" xfId="2" applyFont="1" applyBorder="1" applyAlignment="1" applyProtection="1">
      <alignment horizontal="center"/>
    </xf>
    <xf numFmtId="0" fontId="8" fillId="0" borderId="0" xfId="2" applyFont="1" applyBorder="1" applyAlignment="1" applyProtection="1">
      <alignment horizontal="center"/>
    </xf>
    <xf numFmtId="0" fontId="8" fillId="0" borderId="6" xfId="2" applyFont="1" applyBorder="1" applyAlignment="1" applyProtection="1">
      <alignment horizontal="center"/>
    </xf>
    <xf numFmtId="0" fontId="3" fillId="0" borderId="17" xfId="2" applyFont="1" applyBorder="1" applyAlignment="1" applyProtection="1">
      <alignment horizontal="right"/>
    </xf>
    <xf numFmtId="0" fontId="21" fillId="0" borderId="6" xfId="2" applyFont="1" applyBorder="1" applyAlignment="1" applyProtection="1">
      <alignment horizontal="center"/>
    </xf>
    <xf numFmtId="0" fontId="18" fillId="0" borderId="6" xfId="2" applyFont="1" applyBorder="1" applyProtection="1"/>
    <xf numFmtId="0" fontId="22" fillId="0" borderId="0" xfId="2" applyFont="1" applyBorder="1" applyProtection="1"/>
    <xf numFmtId="177" fontId="5" fillId="2" borderId="0" xfId="0" applyNumberFormat="1" applyFont="1" applyFill="1" applyAlignment="1">
      <alignment horizontal="right" vertical="center"/>
    </xf>
    <xf numFmtId="178" fontId="5" fillId="2" borderId="0" xfId="0" applyNumberFormat="1" applyFont="1" applyFill="1"/>
    <xf numFmtId="0" fontId="3" fillId="0" borderId="0" xfId="2" applyFont="1" applyBorder="1" applyAlignment="1" applyProtection="1">
      <alignment horizontal="center"/>
    </xf>
    <xf numFmtId="0" fontId="3" fillId="0" borderId="6" xfId="2" applyFont="1" applyBorder="1" applyAlignment="1" applyProtection="1">
      <alignment horizontal="center"/>
    </xf>
    <xf numFmtId="0" fontId="5" fillId="0" borderId="9" xfId="0" applyFont="1" applyFill="1" applyBorder="1"/>
    <xf numFmtId="0" fontId="8" fillId="0" borderId="3" xfId="2" applyFont="1" applyBorder="1" applyAlignment="1" applyProtection="1">
      <alignment horizontal="left"/>
    </xf>
    <xf numFmtId="0" fontId="3" fillId="0" borderId="24" xfId="2" applyFont="1" applyBorder="1" applyAlignment="1" applyProtection="1">
      <alignment horizontal="left"/>
    </xf>
    <xf numFmtId="170" fontId="3" fillId="0" borderId="9" xfId="2" applyNumberFormat="1" applyFont="1" applyBorder="1" applyAlignment="1" applyProtection="1">
      <alignment horizontal="right"/>
    </xf>
    <xf numFmtId="170" fontId="3" fillId="0" borderId="16" xfId="2" applyNumberFormat="1" applyFont="1" applyBorder="1" applyAlignment="1" applyProtection="1">
      <alignment horizontal="right"/>
    </xf>
    <xf numFmtId="0" fontId="3" fillId="0" borderId="35" xfId="2" applyFont="1" applyBorder="1" applyProtection="1"/>
    <xf numFmtId="0" fontId="3" fillId="0" borderId="16" xfId="2" applyFont="1" applyBorder="1" applyAlignment="1" applyProtection="1"/>
    <xf numFmtId="2" fontId="3" fillId="0" borderId="9" xfId="2" applyNumberFormat="1" applyFont="1" applyBorder="1" applyAlignment="1" applyProtection="1">
      <alignment horizontal="center"/>
    </xf>
    <xf numFmtId="2" fontId="3" fillId="0" borderId="15" xfId="2" applyNumberFormat="1" applyFont="1" applyBorder="1" applyAlignment="1" applyProtection="1">
      <alignment horizontal="center"/>
    </xf>
    <xf numFmtId="2" fontId="3" fillId="0" borderId="16" xfId="2" applyNumberFormat="1" applyFont="1" applyBorder="1" applyAlignment="1" applyProtection="1">
      <alignment horizontal="center"/>
    </xf>
    <xf numFmtId="0" fontId="3" fillId="0" borderId="32" xfId="2" applyFont="1" applyBorder="1" applyProtection="1"/>
    <xf numFmtId="0" fontId="11" fillId="0" borderId="3" xfId="2" applyFont="1" applyBorder="1" applyAlignment="1" applyProtection="1"/>
    <xf numFmtId="0" fontId="11" fillId="0" borderId="0" xfId="2" applyNumberFormat="1" applyFont="1" applyBorder="1" applyAlignment="1" applyProtection="1">
      <alignment horizontal="left"/>
    </xf>
    <xf numFmtId="0" fontId="11" fillId="0" borderId="0" xfId="2" applyFont="1" applyBorder="1" applyAlignment="1" applyProtection="1">
      <alignment horizontal="right"/>
    </xf>
    <xf numFmtId="49" fontId="11" fillId="0" borderId="0" xfId="2" applyNumberFormat="1" applyFont="1" applyBorder="1" applyAlignment="1" applyProtection="1">
      <alignment horizontal="left"/>
    </xf>
    <xf numFmtId="0" fontId="3" fillId="0" borderId="6" xfId="2" applyFont="1" applyBorder="1" applyAlignment="1" applyProtection="1">
      <alignment horizontal="center"/>
    </xf>
    <xf numFmtId="0" fontId="11" fillId="0" borderId="17" xfId="2" applyFont="1" applyBorder="1" applyAlignment="1" applyProtection="1">
      <alignment horizontal="left"/>
    </xf>
    <xf numFmtId="0" fontId="11" fillId="0" borderId="19" xfId="2" applyFont="1" applyBorder="1" applyAlignment="1" applyProtection="1">
      <alignment horizontal="left"/>
    </xf>
    <xf numFmtId="0" fontId="3" fillId="0" borderId="33" xfId="2" applyFont="1" applyBorder="1" applyAlignment="1" applyProtection="1">
      <alignment horizontal="center"/>
    </xf>
    <xf numFmtId="0" fontId="11" fillId="0" borderId="37" xfId="2" applyFont="1" applyBorder="1" applyAlignment="1" applyProtection="1">
      <alignment horizontal="center"/>
    </xf>
    <xf numFmtId="0" fontId="3" fillId="0" borderId="31" xfId="2" applyFont="1" applyBorder="1" applyProtection="1"/>
    <xf numFmtId="0" fontId="3" fillId="0" borderId="36" xfId="2" applyFont="1" applyBorder="1" applyAlignment="1" applyProtection="1">
      <alignment horizontal="center" vertical="center"/>
    </xf>
    <xf numFmtId="0" fontId="3" fillId="0" borderId="34" xfId="2" applyFont="1" applyBorder="1" applyAlignment="1" applyProtection="1">
      <alignment horizontal="center" vertical="center"/>
    </xf>
    <xf numFmtId="0" fontId="11" fillId="0" borderId="8" xfId="2" applyFont="1" applyBorder="1" applyAlignment="1" applyProtection="1">
      <alignment horizontal="left"/>
    </xf>
    <xf numFmtId="179" fontId="3" fillId="0" borderId="9" xfId="2" applyNumberFormat="1" applyFont="1" applyBorder="1" applyProtection="1"/>
    <xf numFmtId="179" fontId="3" fillId="0" borderId="16" xfId="2" applyNumberFormat="1" applyFont="1" applyBorder="1" applyProtection="1"/>
    <xf numFmtId="179" fontId="3" fillId="0" borderId="34" xfId="2" applyNumberFormat="1" applyFont="1" applyBorder="1" applyProtection="1"/>
    <xf numFmtId="179" fontId="3" fillId="0" borderId="0" xfId="2" applyNumberFormat="1" applyFont="1" applyProtection="1"/>
    <xf numFmtId="170" fontId="11" fillId="0" borderId="26" xfId="6" applyNumberFormat="1" applyFont="1" applyBorder="1" applyProtection="1"/>
    <xf numFmtId="170" fontId="21" fillId="0" borderId="23" xfId="2" applyNumberFormat="1" applyFont="1" applyBorder="1" applyAlignment="1" applyProtection="1"/>
    <xf numFmtId="170" fontId="3" fillId="0" borderId="0" xfId="6" applyNumberFormat="1" applyFont="1" applyBorder="1" applyAlignment="1" applyProtection="1"/>
    <xf numFmtId="170" fontId="3" fillId="0" borderId="0" xfId="2" applyNumberFormat="1" applyFont="1" applyBorder="1" applyAlignment="1" applyProtection="1"/>
    <xf numFmtId="170" fontId="3" fillId="0" borderId="16" xfId="2" applyNumberFormat="1" applyFont="1" applyBorder="1" applyAlignment="1" applyProtection="1"/>
    <xf numFmtId="0" fontId="11" fillId="0" borderId="34" xfId="2" applyFont="1" applyBorder="1" applyAlignment="1" applyProtection="1">
      <alignment horizontal="right"/>
    </xf>
    <xf numFmtId="0" fontId="11" fillId="0" borderId="29" xfId="2" applyFont="1" applyBorder="1" applyAlignment="1" applyProtection="1">
      <alignment horizontal="left" vertical="top" wrapText="1"/>
    </xf>
    <xf numFmtId="14" fontId="3" fillId="0" borderId="30" xfId="2" applyNumberFormat="1" applyFont="1" applyBorder="1" applyAlignment="1" applyProtection="1">
      <alignment horizontal="left"/>
      <protection locked="0"/>
    </xf>
    <xf numFmtId="170" fontId="3" fillId="0" borderId="30" xfId="2" applyNumberFormat="1" applyFont="1" applyBorder="1" applyAlignment="1" applyProtection="1">
      <alignment horizontal="left"/>
      <protection locked="0"/>
    </xf>
    <xf numFmtId="0" fontId="11" fillId="0" borderId="6" xfId="2" applyFont="1" applyBorder="1" applyAlignment="1" applyProtection="1">
      <alignment vertical="top" wrapText="1"/>
    </xf>
    <xf numFmtId="0" fontId="3" fillId="0" borderId="6" xfId="2" applyNumberFormat="1" applyFont="1" applyBorder="1" applyAlignment="1" applyProtection="1">
      <alignment horizontal="left"/>
      <protection locked="0"/>
    </xf>
    <xf numFmtId="170" fontId="3" fillId="0" borderId="6" xfId="2" applyNumberFormat="1" applyFont="1" applyBorder="1" applyAlignment="1" applyProtection="1">
      <alignment horizontal="left"/>
      <protection locked="0"/>
    </xf>
    <xf numFmtId="179" fontId="3" fillId="0" borderId="31" xfId="2" applyNumberFormat="1" applyFont="1" applyBorder="1" applyProtection="1"/>
    <xf numFmtId="179" fontId="3" fillId="0" borderId="3" xfId="2" applyNumberFormat="1" applyFont="1" applyBorder="1" applyProtection="1"/>
    <xf numFmtId="179" fontId="3" fillId="0" borderId="24" xfId="2" applyNumberFormat="1" applyFont="1" applyBorder="1" applyProtection="1"/>
    <xf numFmtId="0" fontId="3" fillId="0" borderId="33" xfId="2" applyFont="1" applyBorder="1" applyAlignment="1" applyProtection="1">
      <alignment horizontal="center" vertical="center"/>
    </xf>
    <xf numFmtId="179" fontId="3" fillId="0" borderId="38" xfId="2" applyNumberFormat="1" applyFont="1" applyBorder="1" applyProtection="1"/>
    <xf numFmtId="0" fontId="3" fillId="0" borderId="0" xfId="2" applyFont="1" applyBorder="1" applyAlignment="1" applyProtection="1">
      <alignment horizontal="center"/>
    </xf>
    <xf numFmtId="180" fontId="3" fillId="0" borderId="6" xfId="2" applyNumberFormat="1" applyFont="1" applyBorder="1" applyProtection="1"/>
    <xf numFmtId="0" fontId="6" fillId="10" borderId="0" xfId="0" applyFont="1" applyFill="1"/>
    <xf numFmtId="0" fontId="3" fillId="10" borderId="0" xfId="0" applyNumberFormat="1" applyFont="1" applyFill="1" applyBorder="1" applyAlignment="1" applyProtection="1">
      <alignment vertical="top"/>
    </xf>
    <xf numFmtId="0" fontId="4" fillId="10" borderId="3" xfId="0" applyNumberFormat="1" applyFont="1" applyFill="1" applyBorder="1" applyAlignment="1" applyProtection="1">
      <alignment vertical="center"/>
    </xf>
    <xf numFmtId="0" fontId="4" fillId="10" borderId="6" xfId="0" applyNumberFormat="1" applyFont="1" applyFill="1" applyBorder="1" applyAlignment="1" applyProtection="1">
      <alignment vertical="center"/>
    </xf>
    <xf numFmtId="0" fontId="4" fillId="10" borderId="3" xfId="0" applyNumberFormat="1" applyFont="1" applyFill="1" applyBorder="1" applyAlignment="1" applyProtection="1">
      <alignment horizontal="center" vertical="center"/>
    </xf>
    <xf numFmtId="0" fontId="4" fillId="10" borderId="6" xfId="0" applyNumberFormat="1" applyFont="1" applyFill="1" applyBorder="1" applyAlignment="1" applyProtection="1">
      <alignment horizontal="center" vertical="center"/>
    </xf>
    <xf numFmtId="2" fontId="9" fillId="10" borderId="7" xfId="0" applyNumberFormat="1" applyFont="1" applyFill="1" applyBorder="1" applyAlignment="1" applyProtection="1">
      <alignment horizontal="center" vertical="center"/>
    </xf>
    <xf numFmtId="0" fontId="12" fillId="10" borderId="0" xfId="0" applyNumberFormat="1" applyFont="1" applyFill="1" applyBorder="1" applyAlignment="1" applyProtection="1">
      <alignment vertical="top"/>
    </xf>
    <xf numFmtId="0" fontId="6" fillId="10" borderId="0" xfId="0" applyFont="1" applyFill="1" applyBorder="1"/>
    <xf numFmtId="0" fontId="15" fillId="10" borderId="0" xfId="0" applyNumberFormat="1" applyFont="1" applyFill="1" applyBorder="1" applyAlignment="1" applyProtection="1">
      <alignment horizontal="right" vertical="top"/>
    </xf>
    <xf numFmtId="0" fontId="15" fillId="10" borderId="0" xfId="0" applyNumberFormat="1" applyFont="1" applyFill="1" applyBorder="1" applyAlignment="1" applyProtection="1">
      <alignment horizontal="left" vertical="top"/>
    </xf>
    <xf numFmtId="0" fontId="15" fillId="10" borderId="0" xfId="0" applyNumberFormat="1" applyFont="1" applyFill="1" applyBorder="1" applyAlignment="1" applyProtection="1">
      <alignment vertical="top"/>
    </xf>
    <xf numFmtId="0" fontId="17" fillId="10" borderId="0" xfId="0" applyNumberFormat="1" applyFont="1" applyFill="1" applyBorder="1" applyAlignment="1" applyProtection="1">
      <alignment horizontal="center" vertical="center"/>
    </xf>
    <xf numFmtId="165" fontId="17" fillId="10" borderId="0" xfId="0" applyNumberFormat="1" applyFont="1" applyFill="1" applyBorder="1" applyAlignment="1" applyProtection="1">
      <alignment horizontal="center" vertical="center"/>
    </xf>
    <xf numFmtId="170" fontId="9" fillId="10" borderId="0" xfId="0" applyNumberFormat="1" applyFont="1" applyFill="1" applyBorder="1" applyAlignment="1" applyProtection="1">
      <alignment horizontal="center" vertical="center"/>
    </xf>
    <xf numFmtId="0" fontId="18" fillId="10" borderId="0" xfId="0" applyNumberFormat="1" applyFont="1" applyFill="1" applyBorder="1" applyAlignment="1" applyProtection="1">
      <alignment vertical="top"/>
    </xf>
    <xf numFmtId="0" fontId="6" fillId="10" borderId="0" xfId="0" applyFont="1" applyFill="1" applyAlignment="1"/>
    <xf numFmtId="0" fontId="19" fillId="10" borderId="0" xfId="0" applyFont="1" applyFill="1" applyBorder="1" applyAlignment="1"/>
    <xf numFmtId="167" fontId="20" fillId="10" borderId="0" xfId="0" applyNumberFormat="1" applyFont="1" applyFill="1" applyBorder="1" applyAlignment="1" applyProtection="1">
      <alignment vertical="top"/>
    </xf>
    <xf numFmtId="167" fontId="10" fillId="10" borderId="0" xfId="0" applyNumberFormat="1" applyFont="1" applyFill="1" applyBorder="1" applyAlignment="1" applyProtection="1">
      <alignment vertical="top"/>
    </xf>
    <xf numFmtId="165" fontId="10" fillId="10" borderId="0" xfId="0" applyNumberFormat="1" applyFont="1" applyFill="1" applyBorder="1" applyAlignment="1" applyProtection="1">
      <alignment vertical="top"/>
    </xf>
    <xf numFmtId="0" fontId="6" fillId="10" borderId="0" xfId="0" applyFont="1" applyFill="1" applyBorder="1" applyAlignment="1"/>
    <xf numFmtId="0" fontId="10" fillId="10" borderId="0" xfId="0" applyNumberFormat="1" applyFont="1" applyFill="1" applyBorder="1" applyAlignment="1" applyProtection="1">
      <alignment horizontal="center" vertical="top"/>
    </xf>
    <xf numFmtId="167" fontId="10" fillId="10" borderId="0" xfId="0" applyNumberFormat="1" applyFont="1" applyFill="1" applyBorder="1" applyAlignment="1" applyProtection="1">
      <alignment horizontal="center" vertical="top"/>
    </xf>
    <xf numFmtId="165" fontId="10" fillId="10" borderId="0" xfId="0" applyNumberFormat="1" applyFont="1" applyFill="1" applyBorder="1" applyAlignment="1" applyProtection="1">
      <alignment horizontal="right" vertical="top"/>
    </xf>
    <xf numFmtId="2" fontId="9" fillId="10" borderId="24" xfId="0" applyNumberFormat="1" applyFont="1" applyFill="1" applyBorder="1" applyAlignment="1" applyProtection="1">
      <alignment horizontal="center" vertical="center"/>
    </xf>
    <xf numFmtId="2" fontId="9" fillId="10" borderId="22" xfId="0" applyNumberFormat="1" applyFont="1" applyFill="1" applyBorder="1" applyAlignment="1" applyProtection="1">
      <alignment horizontal="center" vertical="center"/>
    </xf>
    <xf numFmtId="0" fontId="26" fillId="0" borderId="0" xfId="0" applyFont="1" applyFill="1" applyBorder="1" applyAlignment="1">
      <alignment horizontal="center" vertical="center"/>
    </xf>
    <xf numFmtId="2" fontId="27" fillId="0" borderId="0" xfId="0" applyNumberFormat="1" applyFont="1" applyFill="1" applyBorder="1" applyAlignment="1">
      <alignment horizontal="center" vertical="center"/>
    </xf>
    <xf numFmtId="2" fontId="26" fillId="0" borderId="0" xfId="0" applyNumberFormat="1" applyFont="1" applyFill="1" applyBorder="1" applyAlignment="1">
      <alignment horizontal="center" vertical="center"/>
    </xf>
    <xf numFmtId="169" fontId="26" fillId="0" borderId="0" xfId="0" applyNumberFormat="1" applyFont="1" applyFill="1" applyBorder="1" applyAlignment="1">
      <alignment horizontal="center" vertical="center"/>
    </xf>
    <xf numFmtId="0" fontId="26" fillId="0" borderId="0" xfId="0" applyFont="1" applyAlignment="1">
      <alignment horizontal="center" vertical="center"/>
    </xf>
    <xf numFmtId="2" fontId="26" fillId="0" borderId="0" xfId="0" applyNumberFormat="1" applyFont="1" applyAlignment="1">
      <alignment horizontal="center" vertical="center"/>
    </xf>
    <xf numFmtId="2" fontId="26" fillId="0" borderId="0" xfId="0" applyNumberFormat="1" applyFont="1" applyFill="1" applyAlignment="1">
      <alignment horizontal="center" vertical="center"/>
    </xf>
    <xf numFmtId="0" fontId="26" fillId="6" borderId="0" xfId="0" applyFont="1" applyFill="1" applyAlignment="1">
      <alignment horizontal="center" vertical="center"/>
    </xf>
    <xf numFmtId="2" fontId="26" fillId="6" borderId="0" xfId="0" applyNumberFormat="1" applyFont="1" applyFill="1" applyAlignment="1">
      <alignment horizontal="center" vertical="center"/>
    </xf>
    <xf numFmtId="0" fontId="26" fillId="0" borderId="0" xfId="0" applyFont="1" applyFill="1" applyAlignment="1">
      <alignment horizontal="center" vertical="center"/>
    </xf>
    <xf numFmtId="0" fontId="26" fillId="0" borderId="0" xfId="0" applyFont="1" applyAlignment="1">
      <alignment horizontal="left" vertical="center"/>
    </xf>
    <xf numFmtId="0" fontId="26" fillId="6" borderId="0" xfId="0" applyFont="1" applyFill="1" applyAlignment="1">
      <alignment horizontal="left" vertical="center"/>
    </xf>
    <xf numFmtId="0" fontId="26" fillId="0" borderId="0" xfId="0" applyFont="1" applyFill="1" applyBorder="1" applyAlignment="1">
      <alignment horizontal="left" vertical="center"/>
    </xf>
    <xf numFmtId="0" fontId="28" fillId="0" borderId="0" xfId="0" applyFont="1" applyFill="1" applyBorder="1" applyAlignment="1">
      <alignment horizontal="left" vertical="center"/>
    </xf>
    <xf numFmtId="169" fontId="26" fillId="0" borderId="0" xfId="0" applyNumberFormat="1" applyFont="1" applyFill="1" applyBorder="1" applyAlignment="1">
      <alignment horizontal="left" vertical="center"/>
    </xf>
    <xf numFmtId="0" fontId="26" fillId="0" borderId="0" xfId="0" applyFont="1" applyAlignment="1">
      <alignment horizontal="center" vertical="center" wrapText="1"/>
    </xf>
    <xf numFmtId="0" fontId="26" fillId="0" borderId="0" xfId="0" applyFont="1" applyAlignment="1">
      <alignment horizontal="left" vertical="center" wrapText="1"/>
    </xf>
    <xf numFmtId="2" fontId="26" fillId="0" borderId="0" xfId="0" applyNumberFormat="1" applyFont="1" applyAlignment="1">
      <alignment horizontal="center" vertical="center" wrapText="1"/>
    </xf>
    <xf numFmtId="2" fontId="25" fillId="7" borderId="0" xfId="0" applyNumberFormat="1" applyFont="1" applyFill="1" applyAlignment="1">
      <alignment horizontal="center" vertical="center" wrapText="1"/>
    </xf>
    <xf numFmtId="0" fontId="29" fillId="11" borderId="0" xfId="0" applyFont="1" applyFill="1" applyAlignment="1">
      <alignment horizontal="center" vertical="center" wrapText="1"/>
    </xf>
    <xf numFmtId="2" fontId="25" fillId="11" borderId="0" xfId="0" applyNumberFormat="1" applyFont="1" applyFill="1" applyAlignment="1">
      <alignment horizontal="center" vertical="center"/>
    </xf>
    <xf numFmtId="2" fontId="25" fillId="11" borderId="0" xfId="0" applyNumberFormat="1" applyFont="1" applyFill="1" applyAlignment="1">
      <alignment horizontal="center" vertical="center" wrapText="1"/>
    </xf>
    <xf numFmtId="2" fontId="28" fillId="6" borderId="0" xfId="0" applyNumberFormat="1" applyFont="1" applyFill="1" applyAlignment="1">
      <alignment horizontal="center" vertical="center"/>
    </xf>
    <xf numFmtId="2" fontId="31" fillId="6" borderId="0" xfId="0" applyNumberFormat="1" applyFont="1" applyFill="1" applyAlignment="1">
      <alignment horizontal="center" vertical="center"/>
    </xf>
    <xf numFmtId="167" fontId="10" fillId="10" borderId="0" xfId="0" applyNumberFormat="1" applyFont="1" applyFill="1" applyBorder="1" applyAlignment="1" applyProtection="1">
      <alignment horizontal="center" vertical="top"/>
    </xf>
    <xf numFmtId="165" fontId="10" fillId="10" borderId="0" xfId="0" applyNumberFormat="1" applyFont="1" applyFill="1" applyBorder="1" applyAlignment="1" applyProtection="1">
      <alignment horizontal="center" vertical="top"/>
    </xf>
    <xf numFmtId="0" fontId="15" fillId="10" borderId="0" xfId="0" applyNumberFormat="1" applyFont="1" applyFill="1" applyBorder="1" applyAlignment="1" applyProtection="1">
      <alignment horizontal="center" vertical="top"/>
    </xf>
    <xf numFmtId="0" fontId="15" fillId="10" borderId="0" xfId="0" applyNumberFormat="1" applyFont="1" applyFill="1" applyBorder="1" applyAlignment="1" applyProtection="1">
      <alignment horizontal="left" vertical="top"/>
    </xf>
    <xf numFmtId="0" fontId="4" fillId="10" borderId="5" xfId="0" applyNumberFormat="1" applyFont="1" applyFill="1" applyBorder="1" applyAlignment="1" applyProtection="1">
      <alignment horizontal="center" vertical="center" wrapText="1"/>
    </xf>
    <xf numFmtId="0" fontId="4" fillId="10" borderId="6" xfId="0" applyNumberFormat="1" applyFont="1" applyFill="1" applyBorder="1" applyAlignment="1" applyProtection="1">
      <alignment horizontal="center" vertical="center" wrapText="1"/>
    </xf>
    <xf numFmtId="0" fontId="9" fillId="10" borderId="0" xfId="0" applyNumberFormat="1" applyFont="1" applyFill="1" applyBorder="1" applyAlignment="1" applyProtection="1">
      <alignment horizontal="center" vertical="center"/>
    </xf>
    <xf numFmtId="0" fontId="14" fillId="10" borderId="0" xfId="0" applyNumberFormat="1" applyFont="1" applyFill="1" applyBorder="1" applyAlignment="1" applyProtection="1">
      <alignment horizontal="center" vertical="top"/>
    </xf>
    <xf numFmtId="0" fontId="16" fillId="10" borderId="0" xfId="0" applyNumberFormat="1" applyFont="1" applyFill="1" applyBorder="1" applyAlignment="1" applyProtection="1">
      <alignment horizontal="center" vertical="center" wrapText="1"/>
    </xf>
    <xf numFmtId="0" fontId="16" fillId="10" borderId="0" xfId="0" applyNumberFormat="1" applyFont="1" applyFill="1" applyBorder="1" applyAlignment="1" applyProtection="1">
      <alignment horizontal="center" vertical="center"/>
    </xf>
    <xf numFmtId="0" fontId="18" fillId="10" borderId="0" xfId="0" applyNumberFormat="1" applyFont="1" applyFill="1" applyBorder="1" applyAlignment="1" applyProtection="1">
      <alignment horizontal="center" vertical="top"/>
    </xf>
    <xf numFmtId="0" fontId="13" fillId="10" borderId="0" xfId="0" applyNumberFormat="1" applyFont="1" applyFill="1" applyBorder="1" applyAlignment="1" applyProtection="1">
      <alignment horizontal="center" vertical="top"/>
    </xf>
    <xf numFmtId="0" fontId="4" fillId="10" borderId="4" xfId="0" applyNumberFormat="1" applyFont="1" applyFill="1" applyBorder="1" applyAlignment="1" applyProtection="1">
      <alignment horizontal="center" vertical="center" wrapText="1"/>
    </xf>
    <xf numFmtId="0" fontId="4" fillId="10" borderId="3" xfId="0" applyNumberFormat="1" applyFont="1" applyFill="1" applyBorder="1" applyAlignment="1" applyProtection="1">
      <alignment horizontal="center" vertical="center" wrapText="1"/>
    </xf>
    <xf numFmtId="0" fontId="4" fillId="10" borderId="18" xfId="0" applyNumberFormat="1" applyFont="1" applyFill="1" applyBorder="1" applyAlignment="1" applyProtection="1">
      <alignment horizontal="center" vertical="center"/>
    </xf>
    <xf numFmtId="0" fontId="4" fillId="10" borderId="3" xfId="0" applyNumberFormat="1" applyFont="1" applyFill="1" applyBorder="1" applyAlignment="1" applyProtection="1">
      <alignment horizontal="center" vertical="center"/>
    </xf>
    <xf numFmtId="0" fontId="4" fillId="10" borderId="21" xfId="0" applyNumberFormat="1" applyFont="1" applyFill="1" applyBorder="1" applyAlignment="1" applyProtection="1">
      <alignment horizontal="center" vertical="center" wrapText="1"/>
    </xf>
    <xf numFmtId="0" fontId="4" fillId="10" borderId="18" xfId="0" applyNumberFormat="1" applyFont="1" applyFill="1" applyBorder="1" applyAlignment="1" applyProtection="1">
      <alignment horizontal="center" vertical="top"/>
    </xf>
    <xf numFmtId="0" fontId="4" fillId="10" borderId="21" xfId="0" applyNumberFormat="1" applyFont="1" applyFill="1" applyBorder="1" applyAlignment="1" applyProtection="1">
      <alignment horizontal="center" vertical="top"/>
    </xf>
    <xf numFmtId="0" fontId="4" fillId="10" borderId="2" xfId="0" applyNumberFormat="1" applyFont="1" applyFill="1" applyBorder="1" applyAlignment="1" applyProtection="1">
      <alignment horizontal="center" vertical="top" wrapText="1"/>
    </xf>
    <xf numFmtId="0" fontId="4" fillId="10" borderId="14" xfId="0" applyNumberFormat="1" applyFont="1" applyFill="1" applyBorder="1" applyAlignment="1" applyProtection="1">
      <alignment horizontal="center" vertical="top" wrapText="1"/>
    </xf>
    <xf numFmtId="0" fontId="3" fillId="0" borderId="35" xfId="2" applyFont="1" applyBorder="1" applyAlignment="1" applyProtection="1">
      <alignment horizontal="center" textRotation="90"/>
    </xf>
    <xf numFmtId="0" fontId="3" fillId="0" borderId="9" xfId="2" applyFont="1" applyBorder="1" applyAlignment="1" applyProtection="1">
      <alignment horizontal="center" textRotation="90"/>
    </xf>
    <xf numFmtId="174" fontId="3" fillId="0" borderId="0" xfId="2" applyNumberFormat="1" applyFont="1" applyAlignment="1" applyProtection="1">
      <alignment horizontal="center" vertical="top"/>
    </xf>
    <xf numFmtId="0" fontId="9" fillId="0" borderId="2" xfId="2" applyFont="1" applyBorder="1" applyAlignment="1" applyProtection="1">
      <alignment horizontal="center" vertical="center"/>
    </xf>
    <xf numFmtId="0" fontId="9" fillId="0" borderId="27" xfId="2" applyFont="1" applyBorder="1" applyAlignment="1" applyProtection="1">
      <alignment horizontal="center" vertical="center"/>
    </xf>
    <xf numFmtId="0" fontId="9" fillId="0" borderId="28" xfId="2" applyFont="1" applyBorder="1" applyAlignment="1" applyProtection="1">
      <alignment horizontal="center" vertical="center"/>
    </xf>
    <xf numFmtId="0" fontId="11" fillId="0" borderId="18" xfId="2" applyFont="1" applyBorder="1" applyAlignment="1" applyProtection="1">
      <alignment horizontal="center"/>
    </xf>
    <xf numFmtId="0" fontId="11" fillId="0" borderId="23" xfId="2" applyFont="1" applyBorder="1" applyAlignment="1" applyProtection="1">
      <alignment horizontal="center"/>
    </xf>
    <xf numFmtId="0" fontId="11" fillId="0" borderId="21" xfId="2" applyFont="1" applyBorder="1" applyAlignment="1" applyProtection="1">
      <alignment horizontal="center"/>
    </xf>
    <xf numFmtId="0" fontId="3" fillId="0" borderId="0" xfId="2" applyFont="1" applyBorder="1" applyAlignment="1" applyProtection="1">
      <alignment horizontal="left"/>
    </xf>
    <xf numFmtId="0" fontId="3" fillId="0" borderId="6" xfId="2" applyFont="1" applyBorder="1" applyAlignment="1" applyProtection="1">
      <alignment horizontal="left"/>
    </xf>
    <xf numFmtId="0" fontId="21" fillId="0" borderId="2" xfId="2" applyFont="1" applyBorder="1" applyAlignment="1" applyProtection="1">
      <alignment horizontal="center" vertical="center"/>
    </xf>
    <xf numFmtId="0" fontId="21" fillId="0" borderId="27" xfId="2" applyFont="1" applyBorder="1" applyAlignment="1" applyProtection="1">
      <alignment horizontal="center" vertical="center"/>
    </xf>
    <xf numFmtId="0" fontId="21" fillId="0" borderId="28" xfId="2" applyFont="1" applyBorder="1" applyAlignment="1" applyProtection="1">
      <alignment horizontal="center" vertical="center"/>
    </xf>
    <xf numFmtId="49" fontId="3" fillId="0" borderId="0" xfId="2" applyNumberFormat="1" applyFont="1" applyBorder="1" applyAlignment="1" applyProtection="1">
      <alignment horizontal="left"/>
    </xf>
    <xf numFmtId="49" fontId="3" fillId="0" borderId="6" xfId="2" applyNumberFormat="1" applyFont="1" applyBorder="1" applyAlignment="1" applyProtection="1">
      <alignment horizontal="left"/>
    </xf>
    <xf numFmtId="2" fontId="0" fillId="0" borderId="0" xfId="0" applyNumberFormat="1"/>
    <xf numFmtId="0" fontId="34" fillId="0" borderId="0" xfId="0" applyFont="1" applyAlignment="1"/>
    <xf numFmtId="2" fontId="34" fillId="0" borderId="0" xfId="0" applyNumberFormat="1" applyFont="1" applyAlignment="1"/>
    <xf numFmtId="169" fontId="34" fillId="0" borderId="0" xfId="0" applyNumberFormat="1" applyFont="1" applyAlignment="1"/>
    <xf numFmtId="2" fontId="34" fillId="3" borderId="0" xfId="0" applyNumberFormat="1" applyFont="1" applyFill="1" applyAlignment="1"/>
    <xf numFmtId="0" fontId="5" fillId="3" borderId="34" xfId="0" applyFont="1" applyFill="1" applyBorder="1"/>
    <xf numFmtId="2" fontId="5" fillId="0" borderId="34" xfId="0" applyNumberFormat="1" applyFont="1" applyFill="1" applyBorder="1" applyAlignment="1">
      <alignment horizontal="center" vertical="center"/>
    </xf>
    <xf numFmtId="0" fontId="5" fillId="0" borderId="0" xfId="0" applyFont="1" applyFill="1" applyBorder="1" applyAlignment="1">
      <alignment horizontal="left"/>
    </xf>
    <xf numFmtId="0" fontId="5" fillId="0" borderId="0" xfId="0" applyFont="1" applyFill="1" applyBorder="1" applyAlignment="1">
      <alignment horizontal="center" vertical="center"/>
    </xf>
    <xf numFmtId="2" fontId="5" fillId="0" borderId="0" xfId="0" applyNumberFormat="1" applyFont="1" applyFill="1" applyBorder="1" applyAlignment="1">
      <alignment horizontal="center" vertical="center"/>
    </xf>
    <xf numFmtId="2" fontId="34" fillId="0" borderId="0" xfId="0" applyNumberFormat="1" applyFont="1" applyFill="1" applyAlignment="1"/>
    <xf numFmtId="2" fontId="25" fillId="0" borderId="0" xfId="0" applyNumberFormat="1" applyFont="1" applyFill="1" applyAlignment="1">
      <alignment horizontal="center" vertical="center"/>
    </xf>
    <xf numFmtId="2" fontId="25" fillId="7" borderId="0" xfId="0" applyNumberFormat="1" applyFont="1" applyFill="1" applyAlignment="1">
      <alignment horizontal="center" vertical="center"/>
    </xf>
    <xf numFmtId="2" fontId="29" fillId="7" borderId="0" xfId="0" applyNumberFormat="1" applyFont="1" applyFill="1" applyAlignment="1">
      <alignment horizontal="center" vertical="center"/>
    </xf>
    <xf numFmtId="2" fontId="25" fillId="9" borderId="0" xfId="0" applyNumberFormat="1" applyFont="1" applyFill="1" applyAlignment="1">
      <alignment horizontal="center" vertical="center"/>
    </xf>
    <xf numFmtId="2" fontId="34" fillId="9" borderId="0" xfId="0" applyNumberFormat="1" applyFont="1" applyFill="1" applyAlignment="1"/>
    <xf numFmtId="2" fontId="25" fillId="9" borderId="0" xfId="0" applyNumberFormat="1" applyFont="1" applyFill="1" applyAlignment="1">
      <alignment horizontal="center" vertical="center" wrapText="1"/>
    </xf>
    <xf numFmtId="164" fontId="34" fillId="0" borderId="0" xfId="0" applyNumberFormat="1" applyFont="1" applyAlignment="1"/>
    <xf numFmtId="170" fontId="34" fillId="0" borderId="0" xfId="0" applyNumberFormat="1" applyFont="1" applyAlignment="1"/>
    <xf numFmtId="2" fontId="36" fillId="14" borderId="0" xfId="0" applyNumberFormat="1" applyFont="1" applyFill="1" applyAlignment="1">
      <alignment horizontal="center" vertical="center"/>
    </xf>
    <xf numFmtId="2" fontId="25" fillId="15" borderId="0" xfId="0" applyNumberFormat="1" applyFont="1" applyFill="1" applyAlignment="1">
      <alignment horizontal="center" vertical="center"/>
    </xf>
    <xf numFmtId="2" fontId="35" fillId="3" borderId="0" xfId="0" applyNumberFormat="1" applyFont="1" applyFill="1" applyAlignment="1"/>
    <xf numFmtId="2" fontId="25" fillId="3" borderId="0" xfId="0" applyNumberFormat="1" applyFont="1" applyFill="1" applyAlignment="1">
      <alignment horizontal="center" vertical="center"/>
    </xf>
    <xf numFmtId="2" fontId="25" fillId="13" borderId="0" xfId="0" applyNumberFormat="1" applyFont="1" applyFill="1" applyAlignment="1">
      <alignment horizontal="center" vertical="center"/>
    </xf>
    <xf numFmtId="0" fontId="28" fillId="6" borderId="39" xfId="0" applyFont="1" applyFill="1" applyBorder="1"/>
    <xf numFmtId="0" fontId="28" fillId="6" borderId="40" xfId="0" applyFont="1" applyFill="1" applyBorder="1"/>
    <xf numFmtId="0" fontId="28" fillId="6" borderId="40" xfId="0" applyFont="1" applyFill="1" applyBorder="1" applyAlignment="1">
      <alignment horizontal="left"/>
    </xf>
    <xf numFmtId="0" fontId="28" fillId="0" borderId="0" xfId="0" applyFont="1" applyFill="1"/>
    <xf numFmtId="2" fontId="26" fillId="0" borderId="39" xfId="0" applyNumberFormat="1" applyFont="1" applyFill="1" applyBorder="1"/>
    <xf numFmtId="0" fontId="26" fillId="0" borderId="40" xfId="0" applyFont="1" applyFill="1" applyBorder="1"/>
    <xf numFmtId="0" fontId="26" fillId="0" borderId="40" xfId="0" applyNumberFormat="1" applyFont="1" applyFill="1" applyBorder="1"/>
    <xf numFmtId="14" fontId="26" fillId="0" borderId="40" xfId="0" applyNumberFormat="1" applyFont="1" applyFill="1" applyBorder="1"/>
    <xf numFmtId="0" fontId="26" fillId="0" borderId="40" xfId="0" applyFont="1" applyFill="1" applyBorder="1" applyAlignment="1">
      <alignment horizontal="left"/>
    </xf>
    <xf numFmtId="14" fontId="26" fillId="0" borderId="41" xfId="0" applyNumberFormat="1" applyFont="1" applyFill="1" applyBorder="1"/>
    <xf numFmtId="0" fontId="26" fillId="0" borderId="0" xfId="0" applyFont="1" applyFill="1"/>
    <xf numFmtId="0" fontId="26" fillId="0" borderId="39" xfId="0" applyFont="1" applyFill="1" applyBorder="1"/>
    <xf numFmtId="3" fontId="26" fillId="0" borderId="40" xfId="0" applyNumberFormat="1" applyFont="1" applyFill="1" applyBorder="1"/>
    <xf numFmtId="0" fontId="26" fillId="0" borderId="0" xfId="0" applyFont="1" applyFill="1" applyBorder="1"/>
    <xf numFmtId="0" fontId="26" fillId="0" borderId="0" xfId="0" applyNumberFormat="1" applyFont="1" applyFill="1" applyBorder="1"/>
    <xf numFmtId="0" fontId="26" fillId="0" borderId="0" xfId="0" applyNumberFormat="1" applyFont="1" applyFill="1"/>
    <xf numFmtId="0" fontId="7" fillId="2" borderId="0" xfId="0" applyFont="1" applyFill="1" applyAlignment="1"/>
    <xf numFmtId="182" fontId="5" fillId="0" borderId="0" xfId="0" applyNumberFormat="1" applyFont="1"/>
    <xf numFmtId="2" fontId="9" fillId="10" borderId="10" xfId="0" applyNumberFormat="1" applyFont="1" applyFill="1" applyBorder="1" applyAlignment="1" applyProtection="1">
      <alignment horizontal="center" vertical="center"/>
    </xf>
    <xf numFmtId="2" fontId="25" fillId="0" borderId="0" xfId="0" applyNumberFormat="1" applyFont="1" applyFill="1" applyBorder="1" applyAlignment="1">
      <alignment horizontal="center" vertical="center"/>
    </xf>
    <xf numFmtId="0" fontId="37" fillId="0" borderId="0" xfId="0" applyFont="1"/>
    <xf numFmtId="0" fontId="38" fillId="4" borderId="42" xfId="2" applyFont="1" applyFill="1" applyBorder="1" applyAlignment="1" applyProtection="1"/>
    <xf numFmtId="173" fontId="39" fillId="4" borderId="43" xfId="2" applyNumberFormat="1" applyFont="1" applyFill="1" applyBorder="1" applyAlignment="1" applyProtection="1">
      <alignment horizontal="left" wrapText="1"/>
    </xf>
    <xf numFmtId="0" fontId="38" fillId="4" borderId="43" xfId="2" applyFont="1" applyFill="1" applyBorder="1" applyAlignment="1" applyProtection="1">
      <alignment horizontal="center"/>
    </xf>
    <xf numFmtId="0" fontId="38" fillId="4" borderId="43" xfId="2" applyFont="1" applyFill="1" applyBorder="1" applyAlignment="1" applyProtection="1"/>
    <xf numFmtId="0" fontId="39" fillId="4" borderId="43" xfId="2" applyFont="1" applyFill="1" applyBorder="1" applyAlignment="1" applyProtection="1">
      <alignment horizontal="right"/>
    </xf>
    <xf numFmtId="0" fontId="39" fillId="4" borderId="44" xfId="2" applyNumberFormat="1" applyFont="1" applyFill="1" applyBorder="1" applyAlignment="1" applyProtection="1">
      <alignment horizontal="left"/>
    </xf>
    <xf numFmtId="0" fontId="40" fillId="0" borderId="37" xfId="2" applyFont="1" applyBorder="1" applyAlignment="1" applyProtection="1">
      <alignment horizontal="center" vertical="center"/>
    </xf>
    <xf numFmtId="0" fontId="40" fillId="0" borderId="34" xfId="2" applyFont="1" applyBorder="1" applyAlignment="1" applyProtection="1">
      <alignment horizontal="center" vertical="center"/>
    </xf>
    <xf numFmtId="0" fontId="40" fillId="0" borderId="34" xfId="2" applyFont="1" applyBorder="1" applyProtection="1"/>
    <xf numFmtId="0" fontId="2" fillId="0" borderId="0" xfId="2" applyProtection="1"/>
    <xf numFmtId="173" fontId="41" fillId="0" borderId="45" xfId="2" applyNumberFormat="1" applyFont="1" applyFill="1" applyBorder="1" applyAlignment="1" applyProtection="1">
      <alignment horizontal="center"/>
    </xf>
    <xf numFmtId="173" fontId="41" fillId="0" borderId="0" xfId="2" applyNumberFormat="1" applyFont="1" applyFill="1" applyBorder="1" applyAlignment="1" applyProtection="1">
      <alignment horizontal="center"/>
    </xf>
    <xf numFmtId="173" fontId="41" fillId="0" borderId="46" xfId="2" applyNumberFormat="1" applyFont="1" applyFill="1" applyBorder="1" applyAlignment="1" applyProtection="1">
      <alignment horizontal="center"/>
    </xf>
    <xf numFmtId="0" fontId="42" fillId="7" borderId="37" xfId="2" applyFont="1" applyFill="1" applyBorder="1" applyAlignment="1" applyProtection="1">
      <alignment horizontal="center" vertical="center"/>
      <protection locked="0"/>
    </xf>
    <xf numFmtId="0" fontId="43" fillId="7" borderId="34" xfId="2" applyFont="1" applyFill="1" applyBorder="1" applyAlignment="1" applyProtection="1">
      <alignment horizontal="center" vertical="center"/>
      <protection locked="0"/>
    </xf>
    <xf numFmtId="2" fontId="44" fillId="0" borderId="34" xfId="2" applyNumberFormat="1" applyFont="1" applyBorder="1" applyAlignment="1" applyProtection="1">
      <alignment horizontal="center" vertical="center"/>
    </xf>
    <xf numFmtId="0" fontId="45" fillId="4" borderId="45" xfId="2" applyFont="1" applyFill="1" applyBorder="1" applyAlignment="1" applyProtection="1"/>
    <xf numFmtId="0" fontId="45" fillId="4" borderId="0" xfId="2" applyFont="1" applyFill="1" applyBorder="1" applyAlignment="1" applyProtection="1"/>
    <xf numFmtId="0" fontId="46" fillId="4" borderId="0" xfId="2" applyFont="1" applyFill="1" applyBorder="1" applyAlignment="1" applyProtection="1">
      <alignment horizontal="center"/>
    </xf>
    <xf numFmtId="2" fontId="47" fillId="4" borderId="0" xfId="2" applyNumberFormat="1" applyFont="1" applyFill="1" applyBorder="1" applyAlignment="1" applyProtection="1"/>
    <xf numFmtId="0" fontId="46" fillId="4" borderId="0" xfId="2" applyFont="1" applyFill="1" applyBorder="1" applyAlignment="1" applyProtection="1"/>
    <xf numFmtId="186" fontId="46" fillId="4" borderId="0" xfId="2" applyNumberFormat="1" applyFont="1" applyFill="1" applyBorder="1" applyAlignment="1" applyProtection="1"/>
    <xf numFmtId="170" fontId="48" fillId="0" borderId="31" xfId="2" applyNumberFormat="1" applyFont="1" applyBorder="1" applyAlignment="1" applyProtection="1">
      <alignment horizontal="center" vertical="center"/>
    </xf>
    <xf numFmtId="170" fontId="48" fillId="6" borderId="32" xfId="2" applyNumberFormat="1" applyFont="1" applyFill="1" applyBorder="1" applyAlignment="1" applyProtection="1">
      <alignment horizontal="center" vertical="center"/>
    </xf>
    <xf numFmtId="170" fontId="48" fillId="8" borderId="33" xfId="2" applyNumberFormat="1" applyFont="1" applyFill="1" applyBorder="1" applyAlignment="1" applyProtection="1">
      <alignment horizontal="center" vertical="center"/>
    </xf>
    <xf numFmtId="0" fontId="38" fillId="4" borderId="45" xfId="2" applyFont="1" applyFill="1" applyBorder="1" applyAlignment="1" applyProtection="1"/>
    <xf numFmtId="0" fontId="28" fillId="4" borderId="0" xfId="2" applyFont="1" applyFill="1" applyBorder="1" applyAlignment="1" applyProtection="1"/>
    <xf numFmtId="0" fontId="49" fillId="4" borderId="0" xfId="2" applyFont="1" applyFill="1" applyBorder="1" applyAlignment="1" applyProtection="1">
      <alignment horizontal="left" vertical="center"/>
    </xf>
    <xf numFmtId="0" fontId="50" fillId="0" borderId="24" xfId="2" applyFont="1" applyBorder="1" applyAlignment="1" applyProtection="1">
      <alignment horizontal="center" vertical="center"/>
    </xf>
    <xf numFmtId="0" fontId="50" fillId="0" borderId="17" xfId="2" applyFont="1" applyBorder="1" applyAlignment="1" applyProtection="1">
      <alignment horizontal="center" vertical="center"/>
    </xf>
    <xf numFmtId="0" fontId="50" fillId="0" borderId="22" xfId="2" applyFont="1" applyBorder="1" applyAlignment="1" applyProtection="1">
      <alignment horizontal="center" vertical="center"/>
    </xf>
    <xf numFmtId="0" fontId="39" fillId="4" borderId="0" xfId="2" applyFont="1" applyFill="1" applyBorder="1" applyAlignment="1" applyProtection="1">
      <alignment horizontal="center"/>
    </xf>
    <xf numFmtId="0" fontId="2" fillId="0" borderId="0" xfId="2" applyBorder="1" applyProtection="1"/>
    <xf numFmtId="186" fontId="51" fillId="4" borderId="46" xfId="2" applyNumberFormat="1" applyFont="1" applyFill="1" applyBorder="1" applyAlignment="1" applyProtection="1"/>
    <xf numFmtId="0" fontId="52" fillId="4" borderId="0" xfId="2" applyFont="1" applyFill="1" applyBorder="1" applyAlignment="1" applyProtection="1">
      <protection locked="0"/>
    </xf>
    <xf numFmtId="0" fontId="28" fillId="4" borderId="0" xfId="2" applyFont="1" applyFill="1" applyBorder="1" applyAlignment="1" applyProtection="1">
      <alignment vertical="top" wrapText="1" readingOrder="1"/>
    </xf>
    <xf numFmtId="0" fontId="53" fillId="4" borderId="0" xfId="2" applyFont="1" applyFill="1" applyBorder="1" applyAlignment="1" applyProtection="1">
      <protection locked="0"/>
    </xf>
    <xf numFmtId="0" fontId="46" fillId="4" borderId="45" xfId="2" applyFont="1" applyFill="1" applyBorder="1" applyAlignment="1" applyProtection="1"/>
    <xf numFmtId="0" fontId="51" fillId="4" borderId="0" xfId="2" applyFont="1" applyFill="1" applyBorder="1" applyAlignment="1" applyProtection="1"/>
    <xf numFmtId="0" fontId="54" fillId="4" borderId="0" xfId="2" applyFont="1" applyFill="1" applyBorder="1" applyAlignment="1" applyProtection="1"/>
    <xf numFmtId="0" fontId="46" fillId="4" borderId="47" xfId="2" applyFont="1" applyFill="1" applyBorder="1" applyAlignment="1" applyProtection="1">
      <alignment vertical="center"/>
    </xf>
    <xf numFmtId="0" fontId="55" fillId="4" borderId="48" xfId="2" applyFont="1" applyFill="1" applyBorder="1" applyAlignment="1" applyProtection="1">
      <alignment vertical="center"/>
    </xf>
    <xf numFmtId="0" fontId="47" fillId="4" borderId="48" xfId="2" applyFont="1" applyFill="1" applyBorder="1" applyAlignment="1" applyProtection="1">
      <alignment horizontal="center" vertical="center"/>
    </xf>
    <xf numFmtId="2" fontId="47" fillId="4" borderId="48" xfId="2" applyNumberFormat="1" applyFont="1" applyFill="1" applyBorder="1" applyAlignment="1" applyProtection="1">
      <alignment vertical="center"/>
    </xf>
    <xf numFmtId="0" fontId="47" fillId="4" borderId="48" xfId="2" applyFont="1" applyFill="1" applyBorder="1" applyAlignment="1" applyProtection="1">
      <alignment vertical="center"/>
    </xf>
    <xf numFmtId="186" fontId="47" fillId="4" borderId="49" xfId="2" applyNumberFormat="1" applyFont="1" applyFill="1" applyBorder="1" applyAlignment="1" applyProtection="1">
      <alignment vertical="center"/>
    </xf>
    <xf numFmtId="0" fontId="56" fillId="0" borderId="45" xfId="2" applyFont="1" applyFill="1" applyBorder="1" applyAlignment="1" applyProtection="1"/>
    <xf numFmtId="0" fontId="57" fillId="0" borderId="0" xfId="2" applyFont="1" applyFill="1" applyBorder="1" applyAlignment="1" applyProtection="1"/>
    <xf numFmtId="0" fontId="58" fillId="0" borderId="0" xfId="2" applyFont="1" applyFill="1" applyBorder="1" applyAlignment="1" applyProtection="1">
      <alignment horizontal="center"/>
    </xf>
    <xf numFmtId="2" fontId="59" fillId="0" borderId="0" xfId="2" applyNumberFormat="1" applyFont="1" applyFill="1" applyBorder="1" applyAlignment="1" applyProtection="1"/>
    <xf numFmtId="0" fontId="56" fillId="0" borderId="0" xfId="2" applyFont="1" applyFill="1" applyBorder="1" applyAlignment="1" applyProtection="1"/>
    <xf numFmtId="186" fontId="58" fillId="0" borderId="46" xfId="2" applyNumberFormat="1" applyFont="1" applyFill="1" applyBorder="1" applyAlignment="1" applyProtection="1"/>
    <xf numFmtId="0" fontId="60" fillId="5" borderId="50" xfId="2" applyFont="1" applyFill="1" applyBorder="1" applyAlignment="1" applyProtection="1">
      <alignment vertical="top" wrapText="1" readingOrder="1"/>
    </xf>
    <xf numFmtId="3" fontId="60" fillId="5" borderId="50" xfId="2" applyNumberFormat="1" applyFont="1" applyFill="1" applyBorder="1" applyAlignment="1" applyProtection="1">
      <alignment vertical="top" wrapText="1" readingOrder="1"/>
    </xf>
    <xf numFmtId="0" fontId="60" fillId="5" borderId="50" xfId="2" applyFont="1" applyFill="1" applyBorder="1" applyAlignment="1" applyProtection="1">
      <alignment horizontal="center" vertical="center" wrapText="1" readingOrder="1"/>
    </xf>
    <xf numFmtId="2" fontId="60" fillId="5" borderId="50" xfId="2" applyNumberFormat="1" applyFont="1" applyFill="1" applyBorder="1" applyAlignment="1" applyProtection="1">
      <alignment horizontal="center" vertical="center" wrapText="1" readingOrder="1"/>
    </xf>
    <xf numFmtId="0" fontId="60" fillId="5" borderId="50" xfId="2" applyFont="1" applyFill="1" applyBorder="1" applyAlignment="1" applyProtection="1">
      <alignment horizontal="center" vertical="top" wrapText="1" readingOrder="1"/>
    </xf>
    <xf numFmtId="0" fontId="61" fillId="5" borderId="50" xfId="2" applyFont="1" applyFill="1" applyBorder="1" applyAlignment="1" applyProtection="1">
      <alignment vertical="top" wrapText="1" readingOrder="1"/>
    </xf>
    <xf numFmtId="186" fontId="60" fillId="5" borderId="50" xfId="2" applyNumberFormat="1" applyFont="1" applyFill="1" applyBorder="1" applyAlignment="1" applyProtection="1">
      <alignment horizontal="center" vertical="center" wrapText="1" readingOrder="1"/>
    </xf>
    <xf numFmtId="0" fontId="58" fillId="0" borderId="51" xfId="2" applyNumberFormat="1" applyFont="1" applyBorder="1" applyAlignment="1" applyProtection="1">
      <alignment wrapText="1" readingOrder="1"/>
    </xf>
    <xf numFmtId="0" fontId="61" fillId="0" borderId="51" xfId="2" applyNumberFormat="1" applyFont="1" applyBorder="1" applyAlignment="1" applyProtection="1">
      <alignment wrapText="1" readingOrder="1"/>
    </xf>
    <xf numFmtId="49" fontId="59" fillId="0" borderId="51" xfId="2" applyNumberFormat="1" applyFont="1" applyBorder="1" applyAlignment="1" applyProtection="1">
      <alignment horizontal="center" vertical="center" wrapText="1" readingOrder="1"/>
    </xf>
    <xf numFmtId="2" fontId="62" fillId="0" borderId="51" xfId="2" applyNumberFormat="1" applyFont="1" applyBorder="1" applyAlignment="1" applyProtection="1">
      <alignment horizontal="center" vertical="center" wrapText="1" readingOrder="1"/>
    </xf>
    <xf numFmtId="187" fontId="59" fillId="0" borderId="52" xfId="2" applyNumberFormat="1" applyFont="1" applyFill="1" applyBorder="1" applyAlignment="1" applyProtection="1">
      <alignment horizontal="center" vertical="center" wrapText="1" readingOrder="1"/>
    </xf>
    <xf numFmtId="186" fontId="59" fillId="16" borderId="52" xfId="2" applyNumberFormat="1" applyFont="1" applyFill="1" applyBorder="1" applyAlignment="1" applyProtection="1">
      <alignment horizontal="center" vertical="center" wrapText="1" readingOrder="1"/>
    </xf>
    <xf numFmtId="0" fontId="59" fillId="0" borderId="51" xfId="2" applyNumberFormat="1" applyFont="1" applyBorder="1" applyAlignment="1" applyProtection="1">
      <alignment wrapText="1" readingOrder="1"/>
    </xf>
    <xf numFmtId="2" fontId="62" fillId="0" borderId="51" xfId="2" applyNumberFormat="1" applyFont="1" applyFill="1" applyBorder="1" applyAlignment="1" applyProtection="1">
      <alignment horizontal="center" vertical="center" wrapText="1" readingOrder="1"/>
    </xf>
    <xf numFmtId="2" fontId="25" fillId="3" borderId="0" xfId="2" applyNumberFormat="1" applyFont="1" applyFill="1" applyAlignment="1">
      <alignment horizontal="center" vertical="center"/>
    </xf>
    <xf numFmtId="2" fontId="34" fillId="3" borderId="0" xfId="2" applyNumberFormat="1" applyFont="1" applyFill="1" applyAlignment="1"/>
    <xf numFmtId="2" fontId="62" fillId="0" borderId="51" xfId="2" applyNumberFormat="1" applyFont="1" applyFill="1" applyBorder="1" applyAlignment="1" applyProtection="1">
      <alignment horizontal="center" vertical="center" wrapText="1" readingOrder="1"/>
      <protection locked="0"/>
    </xf>
    <xf numFmtId="2" fontId="25" fillId="7" borderId="0" xfId="2" applyNumberFormat="1" applyFont="1" applyFill="1" applyAlignment="1">
      <alignment horizontal="center" vertical="center"/>
    </xf>
    <xf numFmtId="0" fontId="59" fillId="0" borderId="51" xfId="2" applyNumberFormat="1" applyFont="1" applyBorder="1" applyAlignment="1" applyProtection="1">
      <alignment vertical="top" wrapText="1" readingOrder="1"/>
    </xf>
    <xf numFmtId="49" fontId="58" fillId="0" borderId="51" xfId="2" applyNumberFormat="1" applyFont="1" applyBorder="1" applyAlignment="1" applyProtection="1">
      <alignment horizontal="center" vertical="center" wrapText="1" readingOrder="1"/>
    </xf>
    <xf numFmtId="187" fontId="63" fillId="0" borderId="52" xfId="2" applyNumberFormat="1" applyFont="1" applyFill="1" applyBorder="1" applyAlignment="1" applyProtection="1">
      <alignment horizontal="center" vertical="center" wrapText="1" readingOrder="1"/>
    </xf>
    <xf numFmtId="0" fontId="59" fillId="0" borderId="51" xfId="2" applyNumberFormat="1" applyFont="1" applyBorder="1" applyAlignment="1" applyProtection="1">
      <alignment horizontal="left" vertical="top" wrapText="1" readingOrder="1"/>
    </xf>
    <xf numFmtId="187" fontId="59" fillId="0" borderId="51" xfId="2" applyNumberFormat="1" applyFont="1" applyFill="1" applyBorder="1" applyAlignment="1" applyProtection="1">
      <alignment horizontal="center" vertical="center" wrapText="1" readingOrder="1"/>
    </xf>
    <xf numFmtId="0" fontId="2" fillId="0" borderId="0" xfId="2" applyAlignment="1" applyProtection="1">
      <alignment wrapText="1" readingOrder="1"/>
    </xf>
    <xf numFmtId="0" fontId="58" fillId="0" borderId="51" xfId="2" applyNumberFormat="1" applyFont="1" applyBorder="1" applyAlignment="1" applyProtection="1">
      <alignment readingOrder="1"/>
    </xf>
    <xf numFmtId="0" fontId="59" fillId="0" borderId="51" xfId="2" applyNumberFormat="1" applyFont="1" applyBorder="1" applyAlignment="1" applyProtection="1">
      <alignment readingOrder="1"/>
    </xf>
    <xf numFmtId="49" fontId="59" fillId="0" borderId="51" xfId="2" applyNumberFormat="1" applyFont="1" applyBorder="1" applyAlignment="1" applyProtection="1">
      <alignment horizontal="center" vertical="center" readingOrder="1"/>
    </xf>
    <xf numFmtId="2" fontId="62" fillId="0" borderId="51" xfId="2" applyNumberFormat="1" applyFont="1" applyBorder="1" applyAlignment="1" applyProtection="1">
      <alignment horizontal="center" vertical="center" readingOrder="1"/>
    </xf>
    <xf numFmtId="187" fontId="59" fillId="0" borderId="52" xfId="2" applyNumberFormat="1" applyFont="1" applyFill="1" applyBorder="1" applyAlignment="1" applyProtection="1">
      <alignment horizontal="center" vertical="center" readingOrder="1"/>
    </xf>
    <xf numFmtId="186" fontId="59" fillId="16" borderId="53" xfId="2" applyNumberFormat="1" applyFont="1" applyFill="1" applyBorder="1" applyAlignment="1" applyProtection="1">
      <alignment horizontal="center" vertical="center" readingOrder="1"/>
    </xf>
    <xf numFmtId="0" fontId="2" fillId="0" borderId="0" xfId="2" applyAlignment="1" applyProtection="1"/>
    <xf numFmtId="186" fontId="59" fillId="16" borderId="54" xfId="2" applyNumberFormat="1" applyFont="1" applyFill="1" applyBorder="1" applyAlignment="1" applyProtection="1">
      <alignment horizontal="center" vertical="center" wrapText="1" readingOrder="1"/>
    </xf>
    <xf numFmtId="7" fontId="2" fillId="0" borderId="0" xfId="2" applyNumberFormat="1" applyBorder="1" applyProtection="1"/>
    <xf numFmtId="7" fontId="2" fillId="0" borderId="0" xfId="2" applyNumberFormat="1" applyProtection="1"/>
    <xf numFmtId="186" fontId="2" fillId="0" borderId="0" xfId="2" applyNumberFormat="1" applyBorder="1" applyProtection="1"/>
    <xf numFmtId="0" fontId="2" fillId="0" borderId="0" xfId="2" applyFont="1" applyProtection="1"/>
    <xf numFmtId="0" fontId="2" fillId="0" borderId="51" xfId="2" applyBorder="1" applyProtection="1"/>
    <xf numFmtId="2" fontId="62" fillId="0" borderId="51" xfId="2" applyNumberFormat="1" applyFont="1" applyFill="1" applyBorder="1" applyAlignment="1" applyProtection="1">
      <alignment horizontal="center" vertical="center" readingOrder="1"/>
      <protection locked="0"/>
    </xf>
    <xf numFmtId="187" fontId="59" fillId="0" borderId="51" xfId="2" applyNumberFormat="1" applyFont="1" applyFill="1" applyBorder="1" applyAlignment="1" applyProtection="1">
      <alignment horizontal="center" vertical="center" readingOrder="1"/>
      <protection locked="0"/>
    </xf>
    <xf numFmtId="186" fontId="59" fillId="16" borderId="51" xfId="2" applyNumberFormat="1" applyFont="1" applyFill="1" applyBorder="1" applyAlignment="1" applyProtection="1">
      <alignment horizontal="center" vertical="center" readingOrder="1"/>
    </xf>
    <xf numFmtId="7" fontId="2" fillId="0" borderId="0" xfId="2" applyNumberFormat="1" applyAlignment="1" applyProtection="1"/>
    <xf numFmtId="0" fontId="59" fillId="0" borderId="51" xfId="2" applyNumberFormat="1" applyFont="1" applyFill="1" applyBorder="1" applyAlignment="1" applyProtection="1">
      <alignment readingOrder="1"/>
    </xf>
    <xf numFmtId="2" fontId="62" fillId="0" borderId="51" xfId="2" applyNumberFormat="1" applyFont="1" applyFill="1" applyBorder="1" applyAlignment="1" applyProtection="1">
      <alignment horizontal="center" vertical="center" readingOrder="1"/>
    </xf>
    <xf numFmtId="186" fontId="59" fillId="16" borderId="52" xfId="2" applyNumberFormat="1" applyFont="1" applyFill="1" applyBorder="1" applyAlignment="1" applyProtection="1">
      <alignment horizontal="center" vertical="center" readingOrder="1"/>
    </xf>
    <xf numFmtId="1" fontId="59" fillId="0" borderId="0" xfId="2" applyNumberFormat="1" applyFont="1" applyFill="1" applyBorder="1" applyAlignment="1" applyProtection="1">
      <alignment wrapText="1" readingOrder="1"/>
    </xf>
    <xf numFmtId="187" fontId="59" fillId="0" borderId="0" xfId="2" applyNumberFormat="1" applyFont="1" applyFill="1" applyBorder="1" applyAlignment="1" applyProtection="1">
      <alignment wrapText="1" readingOrder="1"/>
    </xf>
    <xf numFmtId="49" fontId="59" fillId="0" borderId="0" xfId="2" applyNumberFormat="1" applyFont="1" applyFill="1" applyBorder="1" applyAlignment="1" applyProtection="1">
      <alignment wrapText="1" readingOrder="1"/>
    </xf>
    <xf numFmtId="0" fontId="58" fillId="0" borderId="55" xfId="2" applyNumberFormat="1" applyFont="1" applyBorder="1" applyAlignment="1" applyProtection="1">
      <alignment wrapText="1" readingOrder="1"/>
    </xf>
    <xf numFmtId="0" fontId="59" fillId="0" borderId="55" xfId="2" applyNumberFormat="1" applyFont="1" applyBorder="1" applyAlignment="1" applyProtection="1">
      <alignment wrapText="1" readingOrder="1"/>
    </xf>
    <xf numFmtId="49" fontId="59" fillId="0" borderId="55" xfId="2" applyNumberFormat="1" applyFont="1" applyBorder="1" applyAlignment="1" applyProtection="1">
      <alignment horizontal="center" vertical="center" wrapText="1" readingOrder="1"/>
    </xf>
    <xf numFmtId="2" fontId="62" fillId="0" borderId="55" xfId="2" applyNumberFormat="1" applyFont="1" applyBorder="1" applyAlignment="1" applyProtection="1">
      <alignment horizontal="center" vertical="center" wrapText="1" readingOrder="1"/>
    </xf>
    <xf numFmtId="187" fontId="59" fillId="0" borderId="55" xfId="2" applyNumberFormat="1" applyFont="1" applyFill="1" applyBorder="1" applyAlignment="1" applyProtection="1">
      <alignment horizontal="center" vertical="center" wrapText="1" readingOrder="1"/>
    </xf>
    <xf numFmtId="186" fontId="59" fillId="16" borderId="55" xfId="2" applyNumberFormat="1" applyFont="1" applyFill="1" applyBorder="1" applyAlignment="1" applyProtection="1">
      <alignment horizontal="center" vertical="center" wrapText="1" readingOrder="1"/>
    </xf>
    <xf numFmtId="0" fontId="59" fillId="16" borderId="56" xfId="2" applyNumberFormat="1" applyFont="1" applyFill="1" applyBorder="1" applyAlignment="1" applyProtection="1">
      <alignment horizontal="right"/>
    </xf>
    <xf numFmtId="0" fontId="60" fillId="16" borderId="51" xfId="2" applyNumberFormat="1" applyFont="1" applyFill="1" applyBorder="1" applyAlignment="1" applyProtection="1"/>
    <xf numFmtId="0" fontId="62" fillId="16" borderId="51" xfId="2" applyNumberFormat="1" applyFont="1" applyFill="1" applyBorder="1" applyAlignment="1" applyProtection="1">
      <alignment horizontal="center" vertical="center" readingOrder="1"/>
    </xf>
    <xf numFmtId="2" fontId="62" fillId="16" borderId="57" xfId="2" applyNumberFormat="1" applyFont="1" applyFill="1" applyBorder="1" applyAlignment="1" applyProtection="1">
      <alignment horizontal="center" vertical="center" readingOrder="1"/>
    </xf>
    <xf numFmtId="187" fontId="62" fillId="16" borderId="57" xfId="2" applyNumberFormat="1" applyFont="1" applyFill="1" applyBorder="1" applyAlignment="1" applyProtection="1">
      <alignment horizontal="center" vertical="center"/>
    </xf>
    <xf numFmtId="186" fontId="64" fillId="16" borderId="58" xfId="2" applyNumberFormat="1" applyFont="1" applyFill="1" applyBorder="1" applyAlignment="1" applyProtection="1">
      <alignment horizontal="right" vertical="center"/>
    </xf>
    <xf numFmtId="0" fontId="58" fillId="4" borderId="42" xfId="2" applyFont="1" applyFill="1" applyBorder="1" applyAlignment="1" applyProtection="1"/>
    <xf numFmtId="0" fontId="59" fillId="17" borderId="43" xfId="2" applyNumberFormat="1" applyFont="1" applyFill="1" applyBorder="1" applyAlignment="1" applyProtection="1"/>
    <xf numFmtId="0" fontId="59" fillId="17" borderId="59" xfId="2" applyNumberFormat="1" applyFont="1" applyFill="1" applyBorder="1" applyAlignment="1" applyProtection="1">
      <alignment horizontal="center"/>
    </xf>
    <xf numFmtId="0" fontId="59" fillId="5" borderId="31" xfId="2" applyFont="1" applyFill="1" applyBorder="1" applyAlignment="1" applyProtection="1">
      <alignment horizontal="left" vertical="center"/>
    </xf>
    <xf numFmtId="0" fontId="59" fillId="5" borderId="60" xfId="2" applyFont="1" applyFill="1" applyBorder="1" applyAlignment="1" applyProtection="1">
      <alignment horizontal="left" vertical="center"/>
    </xf>
    <xf numFmtId="186" fontId="60" fillId="5" borderId="61" xfId="2" applyNumberFormat="1" applyFont="1" applyFill="1" applyBorder="1" applyAlignment="1" applyProtection="1">
      <alignment horizontal="right" vertical="center"/>
    </xf>
    <xf numFmtId="0" fontId="59" fillId="17" borderId="62" xfId="2" applyNumberFormat="1" applyFont="1" applyFill="1" applyBorder="1" applyAlignment="1" applyProtection="1"/>
    <xf numFmtId="0" fontId="59" fillId="17" borderId="63" xfId="2" applyNumberFormat="1" applyFont="1" applyFill="1" applyBorder="1" applyAlignment="1" applyProtection="1"/>
    <xf numFmtId="0" fontId="59" fillId="17" borderId="64" xfId="2" applyNumberFormat="1" applyFont="1" applyFill="1" applyBorder="1" applyAlignment="1" applyProtection="1">
      <alignment horizontal="center"/>
    </xf>
    <xf numFmtId="0" fontId="59" fillId="5" borderId="3" xfId="2" applyFont="1" applyFill="1" applyBorder="1" applyAlignment="1" applyProtection="1">
      <alignment vertical="center"/>
    </xf>
    <xf numFmtId="188" fontId="59" fillId="5" borderId="46" xfId="2" applyNumberFormat="1" applyFont="1" applyFill="1" applyBorder="1" applyAlignment="1" applyProtection="1">
      <alignment horizontal="left" vertical="center"/>
    </xf>
    <xf numFmtId="186" fontId="60" fillId="5" borderId="65" xfId="2" applyNumberFormat="1" applyFont="1" applyFill="1" applyBorder="1" applyAlignment="1" applyProtection="1">
      <alignment horizontal="right" vertical="center"/>
    </xf>
    <xf numFmtId="0" fontId="60" fillId="17" borderId="63" xfId="2" applyNumberFormat="1" applyFont="1" applyFill="1" applyBorder="1" applyAlignment="1" applyProtection="1"/>
    <xf numFmtId="189" fontId="60" fillId="17" borderId="6" xfId="2" applyNumberFormat="1" applyFont="1" applyFill="1" applyBorder="1" applyAlignment="1" applyProtection="1">
      <alignment horizontal="center"/>
    </xf>
    <xf numFmtId="0" fontId="60" fillId="5" borderId="3" xfId="2" applyNumberFormat="1" applyFont="1" applyFill="1" applyBorder="1" applyAlignment="1" applyProtection="1"/>
    <xf numFmtId="0" fontId="60" fillId="5" borderId="46" xfId="2" applyNumberFormat="1" applyFont="1" applyFill="1" applyBorder="1" applyAlignment="1" applyProtection="1"/>
    <xf numFmtId="186" fontId="60" fillId="5" borderId="65" xfId="2" applyNumberFormat="1" applyFont="1" applyFill="1" applyBorder="1" applyAlignment="1" applyProtection="1"/>
    <xf numFmtId="0" fontId="59" fillId="17" borderId="6" xfId="2" applyNumberFormat="1" applyFont="1" applyFill="1" applyBorder="1" applyAlignment="1" applyProtection="1">
      <alignment horizontal="center"/>
    </xf>
    <xf numFmtId="2" fontId="59" fillId="5" borderId="24" xfId="2" applyNumberFormat="1" applyFont="1" applyFill="1" applyBorder="1" applyAlignment="1" applyProtection="1"/>
    <xf numFmtId="188" fontId="59" fillId="5" borderId="66" xfId="2" applyNumberFormat="1" applyFont="1" applyFill="1" applyBorder="1" applyAlignment="1" applyProtection="1">
      <alignment horizontal="left"/>
      <protection locked="0"/>
    </xf>
    <xf numFmtId="186" fontId="60" fillId="5" borderId="58" xfId="2" applyNumberFormat="1" applyFont="1" applyFill="1" applyBorder="1" applyAlignment="1" applyProtection="1"/>
    <xf numFmtId="0" fontId="59" fillId="17" borderId="67" xfId="2" applyNumberFormat="1" applyFont="1" applyFill="1" applyBorder="1" applyAlignment="1" applyProtection="1"/>
    <xf numFmtId="0" fontId="59" fillId="4" borderId="68" xfId="2" applyFont="1" applyFill="1" applyBorder="1" applyAlignment="1" applyProtection="1"/>
    <xf numFmtId="0" fontId="59" fillId="17" borderId="69" xfId="2" applyNumberFormat="1" applyFont="1" applyFill="1" applyBorder="1" applyAlignment="1" applyProtection="1">
      <alignment horizontal="center"/>
    </xf>
    <xf numFmtId="0" fontId="60" fillId="18" borderId="36" xfId="2" applyFont="1" applyFill="1" applyBorder="1" applyAlignment="1" applyProtection="1"/>
    <xf numFmtId="0" fontId="60" fillId="18" borderId="70" xfId="2" applyFont="1" applyFill="1" applyBorder="1" applyAlignment="1" applyProtection="1"/>
    <xf numFmtId="186" fontId="64" fillId="18" borderId="71" xfId="2" applyNumberFormat="1" applyFont="1" applyFill="1" applyBorder="1" applyAlignment="1" applyProtection="1"/>
    <xf numFmtId="0" fontId="58" fillId="4" borderId="0" xfId="2" applyFont="1" applyFill="1" applyBorder="1" applyAlignment="1" applyProtection="1"/>
    <xf numFmtId="0" fontId="58" fillId="4" borderId="0" xfId="2" applyFont="1" applyFill="1" applyBorder="1" applyAlignment="1" applyProtection="1">
      <alignment horizontal="center"/>
    </xf>
    <xf numFmtId="2" fontId="59" fillId="4" borderId="0" xfId="2" applyNumberFormat="1" applyFont="1" applyFill="1" applyBorder="1" applyAlignment="1" applyProtection="1"/>
    <xf numFmtId="186" fontId="58" fillId="4" borderId="0" xfId="2" applyNumberFormat="1" applyFont="1" applyFill="1" applyBorder="1" applyAlignment="1" applyProtection="1"/>
    <xf numFmtId="0" fontId="65" fillId="4" borderId="0" xfId="2" applyFont="1" applyFill="1" applyBorder="1" applyAlignment="1" applyProtection="1"/>
    <xf numFmtId="0" fontId="66" fillId="4" borderId="0" xfId="2" applyFont="1" applyFill="1" applyBorder="1" applyAlignment="1" applyProtection="1"/>
    <xf numFmtId="0" fontId="35" fillId="3" borderId="72" xfId="2" applyFont="1" applyFill="1" applyBorder="1" applyAlignment="1" applyProtection="1"/>
    <xf numFmtId="0" fontId="35" fillId="3" borderId="73" xfId="2" applyFont="1" applyFill="1" applyBorder="1" applyAlignment="1" applyProtection="1"/>
    <xf numFmtId="0" fontId="35" fillId="3" borderId="73" xfId="2" applyFont="1" applyFill="1" applyBorder="1" applyAlignment="1" applyProtection="1">
      <alignment horizontal="center"/>
    </xf>
    <xf numFmtId="0" fontId="34" fillId="3" borderId="74" xfId="2" applyFont="1" applyFill="1" applyBorder="1" applyAlignment="1" applyProtection="1"/>
    <xf numFmtId="0" fontId="35" fillId="3" borderId="75" xfId="2" applyFont="1" applyFill="1" applyBorder="1" applyAlignment="1" applyProtection="1"/>
    <xf numFmtId="186" fontId="35" fillId="3" borderId="75" xfId="2" applyNumberFormat="1" applyFont="1" applyFill="1" applyBorder="1" applyAlignment="1" applyProtection="1"/>
    <xf numFmtId="0" fontId="34" fillId="4" borderId="76" xfId="2" applyFont="1" applyFill="1" applyBorder="1" applyAlignment="1" applyProtection="1"/>
    <xf numFmtId="0" fontId="34" fillId="4" borderId="77" xfId="2" applyFont="1" applyFill="1" applyBorder="1" applyAlignment="1" applyProtection="1"/>
    <xf numFmtId="0" fontId="34" fillId="4" borderId="78" xfId="2" applyFont="1" applyFill="1" applyBorder="1" applyAlignment="1" applyProtection="1">
      <alignment horizontal="center"/>
    </xf>
    <xf numFmtId="0" fontId="34" fillId="4" borderId="79" xfId="2" applyFont="1" applyFill="1" applyBorder="1" applyAlignment="1" applyProtection="1"/>
    <xf numFmtId="9" fontId="34" fillId="16" borderId="80" xfId="2" applyNumberFormat="1" applyFont="1" applyFill="1" applyBorder="1" applyAlignment="1" applyProtection="1"/>
    <xf numFmtId="186" fontId="34" fillId="16" borderId="81" xfId="2" applyNumberFormat="1" applyFont="1" applyFill="1" applyBorder="1" applyAlignment="1" applyProtection="1"/>
    <xf numFmtId="186" fontId="2" fillId="0" borderId="0" xfId="2" applyNumberFormat="1" applyProtection="1"/>
    <xf numFmtId="0" fontId="34" fillId="4" borderId="82" xfId="2" applyFont="1" applyFill="1" applyBorder="1" applyAlignment="1" applyProtection="1"/>
    <xf numFmtId="0" fontId="34" fillId="4" borderId="83" xfId="2" applyFont="1" applyFill="1" applyBorder="1" applyAlignment="1" applyProtection="1"/>
    <xf numFmtId="0" fontId="34" fillId="4" borderId="84" xfId="2" applyFont="1" applyFill="1" applyBorder="1" applyAlignment="1" applyProtection="1">
      <alignment horizontal="center"/>
    </xf>
    <xf numFmtId="0" fontId="34" fillId="4" borderId="85" xfId="2" applyFont="1" applyFill="1" applyBorder="1" applyAlignment="1" applyProtection="1"/>
    <xf numFmtId="9" fontId="34" fillId="16" borderId="50" xfId="2" applyNumberFormat="1" applyFont="1" applyFill="1" applyBorder="1" applyAlignment="1" applyProtection="1"/>
    <xf numFmtId="186" fontId="34" fillId="16" borderId="86" xfId="2" applyNumberFormat="1" applyFont="1" applyFill="1" applyBorder="1" applyAlignment="1" applyProtection="1"/>
    <xf numFmtId="0" fontId="34" fillId="4" borderId="87" xfId="2" applyFont="1" applyFill="1" applyBorder="1" applyAlignment="1" applyProtection="1"/>
    <xf numFmtId="0" fontId="34" fillId="4" borderId="88" xfId="2" applyFont="1" applyFill="1" applyBorder="1" applyAlignment="1" applyProtection="1"/>
    <xf numFmtId="0" fontId="34" fillId="4" borderId="89" xfId="2" applyFont="1" applyFill="1" applyBorder="1" applyAlignment="1" applyProtection="1">
      <alignment horizontal="center"/>
    </xf>
    <xf numFmtId="0" fontId="34" fillId="4" borderId="90" xfId="2" applyFont="1" applyFill="1" applyBorder="1" applyAlignment="1" applyProtection="1"/>
    <xf numFmtId="9" fontId="34" fillId="16" borderId="91" xfId="2" applyNumberFormat="1" applyFont="1" applyFill="1" applyBorder="1" applyAlignment="1" applyProtection="1"/>
    <xf numFmtId="186" fontId="34" fillId="16" borderId="92" xfId="2" applyNumberFormat="1" applyFont="1" applyFill="1" applyBorder="1" applyAlignment="1" applyProtection="1"/>
    <xf numFmtId="0" fontId="34" fillId="4" borderId="0" xfId="2" applyFont="1" applyFill="1" applyBorder="1" applyAlignment="1" applyProtection="1"/>
    <xf numFmtId="0" fontId="67" fillId="4" borderId="0" xfId="2" applyFont="1" applyFill="1" applyBorder="1" applyAlignment="1" applyProtection="1"/>
    <xf numFmtId="186" fontId="34" fillId="4" borderId="0" xfId="2" applyNumberFormat="1" applyFont="1" applyFill="1" applyBorder="1" applyAlignment="1" applyProtection="1"/>
    <xf numFmtId="0" fontId="59" fillId="4" borderId="0" xfId="2" applyNumberFormat="1" applyFont="1" applyFill="1" applyBorder="1" applyAlignment="1" applyProtection="1"/>
    <xf numFmtId="186" fontId="60" fillId="4" borderId="0" xfId="2" applyNumberFormat="1" applyFont="1" applyFill="1" applyBorder="1" applyAlignment="1" applyProtection="1"/>
    <xf numFmtId="0" fontId="68" fillId="4" borderId="0" xfId="2" applyFont="1" applyFill="1" applyBorder="1" applyAlignment="1" applyProtection="1"/>
    <xf numFmtId="2" fontId="24" fillId="4" borderId="0" xfId="2" applyNumberFormat="1" applyFont="1" applyFill="1" applyBorder="1" applyAlignment="1" applyProtection="1"/>
    <xf numFmtId="0" fontId="69" fillId="4" borderId="0" xfId="2" applyFont="1" applyFill="1" applyBorder="1" applyAlignment="1" applyProtection="1">
      <alignment horizontal="left" vertical="center"/>
    </xf>
    <xf numFmtId="0" fontId="36" fillId="4" borderId="0" xfId="2" applyFont="1" applyFill="1" applyBorder="1" applyAlignment="1" applyProtection="1"/>
    <xf numFmtId="0" fontId="69" fillId="4" borderId="0" xfId="2" applyFont="1" applyFill="1" applyBorder="1" applyAlignment="1" applyProtection="1">
      <alignment horizontal="left" vertical="center" readingOrder="1"/>
    </xf>
    <xf numFmtId="0" fontId="59" fillId="4" borderId="0" xfId="2" applyFont="1" applyFill="1" applyBorder="1" applyAlignment="1" applyProtection="1"/>
    <xf numFmtId="0" fontId="70" fillId="4" borderId="0" xfId="2" applyFont="1" applyFill="1" applyBorder="1" applyAlignment="1" applyProtection="1"/>
    <xf numFmtId="0" fontId="71" fillId="5" borderId="93" xfId="2" applyFont="1" applyFill="1" applyBorder="1" applyAlignment="1" applyProtection="1">
      <alignment horizontal="center"/>
    </xf>
    <xf numFmtId="0" fontId="71" fillId="5" borderId="94" xfId="2" applyFont="1" applyFill="1" applyBorder="1" applyAlignment="1" applyProtection="1">
      <alignment horizontal="center"/>
    </xf>
    <xf numFmtId="0" fontId="71" fillId="5" borderId="95" xfId="2" applyFont="1" applyFill="1" applyBorder="1" applyAlignment="1" applyProtection="1">
      <alignment horizontal="center"/>
    </xf>
    <xf numFmtId="0" fontId="58" fillId="0" borderId="0" xfId="2" applyFont="1" applyFill="1" applyBorder="1" applyAlignment="1" applyProtection="1"/>
    <xf numFmtId="0" fontId="71" fillId="0" borderId="0" xfId="2" applyFont="1" applyFill="1" applyBorder="1" applyAlignment="1" applyProtection="1"/>
    <xf numFmtId="186" fontId="58" fillId="0" borderId="0" xfId="2" applyNumberFormat="1" applyFont="1" applyFill="1" applyBorder="1" applyAlignment="1" applyProtection="1"/>
    <xf numFmtId="0" fontId="58" fillId="3" borderId="96" xfId="2" applyFont="1" applyFill="1" applyBorder="1" applyAlignment="1" applyProtection="1"/>
    <xf numFmtId="0" fontId="71" fillId="3" borderId="97" xfId="2" applyFont="1" applyFill="1" applyBorder="1" applyAlignment="1" applyProtection="1"/>
    <xf numFmtId="0" fontId="58" fillId="3" borderId="97" xfId="2" applyFont="1" applyFill="1" applyBorder="1" applyAlignment="1" applyProtection="1">
      <alignment horizontal="center"/>
    </xf>
    <xf numFmtId="2" fontId="59" fillId="3" borderId="97" xfId="2" applyNumberFormat="1" applyFont="1" applyFill="1" applyBorder="1" applyAlignment="1" applyProtection="1"/>
    <xf numFmtId="0" fontId="58" fillId="3" borderId="97" xfId="2" applyFont="1" applyFill="1" applyBorder="1" applyAlignment="1" applyProtection="1"/>
    <xf numFmtId="186" fontId="58" fillId="3" borderId="98" xfId="2" applyNumberFormat="1" applyFont="1" applyFill="1" applyBorder="1" applyAlignment="1" applyProtection="1"/>
    <xf numFmtId="0" fontId="72" fillId="4" borderId="0" xfId="2" applyFont="1" applyFill="1" applyBorder="1" applyAlignment="1" applyProtection="1"/>
    <xf numFmtId="0" fontId="58" fillId="19" borderId="99" xfId="2" applyFont="1" applyFill="1" applyBorder="1" applyAlignment="1" applyProtection="1"/>
    <xf numFmtId="0" fontId="73" fillId="4" borderId="100" xfId="2" applyFont="1" applyFill="1" applyBorder="1" applyAlignment="1" applyProtection="1"/>
    <xf numFmtId="0" fontId="68" fillId="4" borderId="101" xfId="2" applyFont="1" applyFill="1" applyBorder="1" applyAlignment="1" applyProtection="1">
      <alignment horizontal="center"/>
    </xf>
    <xf numFmtId="2" fontId="24" fillId="4" borderId="101" xfId="2" applyNumberFormat="1" applyFont="1" applyFill="1" applyBorder="1" applyAlignment="1" applyProtection="1"/>
    <xf numFmtId="0" fontId="68" fillId="4" borderId="102" xfId="2" applyFont="1" applyFill="1" applyBorder="1" applyAlignment="1" applyProtection="1"/>
    <xf numFmtId="170" fontId="74" fillId="4" borderId="103" xfId="2" applyNumberFormat="1" applyFont="1" applyFill="1" applyBorder="1" applyAlignment="1" applyProtection="1"/>
    <xf numFmtId="0" fontId="2" fillId="0" borderId="0" xfId="2" applyNumberFormat="1" applyProtection="1"/>
    <xf numFmtId="0" fontId="58" fillId="19" borderId="104" xfId="2" applyFont="1" applyFill="1" applyBorder="1" applyAlignment="1" applyProtection="1"/>
    <xf numFmtId="0" fontId="63" fillId="0" borderId="105" xfId="2" applyNumberFormat="1" applyFont="1" applyBorder="1" applyAlignment="1" applyProtection="1">
      <alignment wrapText="1" readingOrder="1"/>
    </xf>
    <xf numFmtId="0" fontId="68" fillId="4" borderId="106" xfId="2" applyFont="1" applyFill="1" applyBorder="1" applyAlignment="1" applyProtection="1">
      <alignment horizontal="center"/>
    </xf>
    <xf numFmtId="2" fontId="24" fillId="4" borderId="106" xfId="2" applyNumberFormat="1" applyFont="1" applyFill="1" applyBorder="1" applyAlignment="1" applyProtection="1"/>
    <xf numFmtId="0" fontId="68" fillId="4" borderId="107" xfId="2" applyFont="1" applyFill="1" applyBorder="1" applyAlignment="1" applyProtection="1"/>
    <xf numFmtId="170" fontId="74" fillId="4" borderId="108" xfId="2" applyNumberFormat="1" applyFont="1" applyFill="1" applyBorder="1" applyAlignment="1" applyProtection="1"/>
    <xf numFmtId="0" fontId="48" fillId="0" borderId="0" xfId="2" applyFont="1" applyBorder="1" applyProtection="1"/>
    <xf numFmtId="0" fontId="75" fillId="4" borderId="105" xfId="2" applyFont="1" applyFill="1" applyBorder="1" applyAlignment="1" applyProtection="1"/>
    <xf numFmtId="170" fontId="2" fillId="0" borderId="0" xfId="2" applyNumberFormat="1" applyProtection="1"/>
    <xf numFmtId="0" fontId="2" fillId="0" borderId="0" xfId="2" applyNumberFormat="1" applyBorder="1" applyProtection="1"/>
    <xf numFmtId="0" fontId="58" fillId="19" borderId="109" xfId="2" applyFont="1" applyFill="1" applyBorder="1" applyAlignment="1" applyProtection="1"/>
    <xf numFmtId="0" fontId="65" fillId="0" borderId="110" xfId="2" applyFont="1" applyFill="1" applyBorder="1" applyAlignment="1" applyProtection="1"/>
    <xf numFmtId="0" fontId="68" fillId="0" borderId="110" xfId="2" applyFont="1" applyFill="1" applyBorder="1" applyAlignment="1" applyProtection="1">
      <alignment horizontal="center"/>
    </xf>
    <xf numFmtId="2" fontId="24" fillId="0" borderId="110" xfId="2" applyNumberFormat="1" applyFont="1" applyFill="1" applyBorder="1" applyAlignment="1" applyProtection="1"/>
    <xf numFmtId="0" fontId="68" fillId="0" borderId="110" xfId="2" applyFont="1" applyFill="1" applyBorder="1" applyAlignment="1" applyProtection="1"/>
    <xf numFmtId="186" fontId="76" fillId="0" borderId="110" xfId="2" applyNumberFormat="1" applyFont="1" applyFill="1" applyBorder="1" applyAlignment="1" applyProtection="1"/>
    <xf numFmtId="0" fontId="68" fillId="19" borderId="109" xfId="2" applyFont="1" applyFill="1" applyBorder="1" applyAlignment="1" applyProtection="1"/>
    <xf numFmtId="0" fontId="30" fillId="3" borderId="111" xfId="2" applyFont="1" applyFill="1" applyBorder="1" applyAlignment="1" applyProtection="1"/>
    <xf numFmtId="0" fontId="68" fillId="3" borderId="110" xfId="2" applyFont="1" applyFill="1" applyBorder="1" applyAlignment="1" applyProtection="1">
      <alignment horizontal="center"/>
    </xf>
    <xf numFmtId="2" fontId="24" fillId="3" borderId="110" xfId="2" applyNumberFormat="1" applyFont="1" applyFill="1" applyBorder="1" applyAlignment="1" applyProtection="1"/>
    <xf numFmtId="0" fontId="68" fillId="3" borderId="110" xfId="2" applyFont="1" applyFill="1" applyBorder="1" applyAlignment="1" applyProtection="1"/>
    <xf numFmtId="170" fontId="71" fillId="3" borderId="112" xfId="2" applyNumberFormat="1" applyFont="1" applyFill="1" applyBorder="1" applyAlignment="1" applyProtection="1"/>
    <xf numFmtId="0" fontId="58" fillId="19" borderId="0" xfId="2" applyFont="1" applyFill="1" applyBorder="1" applyAlignment="1" applyProtection="1"/>
    <xf numFmtId="0" fontId="65" fillId="0" borderId="0" xfId="2" applyFont="1" applyFill="1" applyBorder="1" applyAlignment="1" applyProtection="1"/>
    <xf numFmtId="0" fontId="68" fillId="0" borderId="0" xfId="2" applyFont="1" applyFill="1" applyBorder="1" applyAlignment="1" applyProtection="1">
      <alignment horizontal="center"/>
    </xf>
    <xf numFmtId="2" fontId="24" fillId="0" borderId="0" xfId="2" applyNumberFormat="1" applyFont="1" applyFill="1" applyBorder="1" applyAlignment="1" applyProtection="1"/>
    <xf numFmtId="0" fontId="68" fillId="0" borderId="0" xfId="2" applyFont="1" applyFill="1" applyBorder="1" applyAlignment="1" applyProtection="1"/>
    <xf numFmtId="186" fontId="71" fillId="0" borderId="0" xfId="2" applyNumberFormat="1" applyFont="1" applyFill="1" applyBorder="1" applyAlignment="1" applyProtection="1"/>
    <xf numFmtId="0" fontId="68" fillId="20" borderId="109" xfId="2" applyFont="1" applyFill="1" applyBorder="1" applyAlignment="1" applyProtection="1"/>
    <xf numFmtId="0" fontId="77" fillId="2" borderId="111" xfId="2" applyFont="1" applyFill="1" applyBorder="1" applyAlignment="1" applyProtection="1"/>
    <xf numFmtId="0" fontId="68" fillId="2" borderId="110" xfId="2" applyFont="1" applyFill="1" applyBorder="1" applyAlignment="1" applyProtection="1">
      <alignment horizontal="center"/>
    </xf>
    <xf numFmtId="2" fontId="24" fillId="2" borderId="110" xfId="2" applyNumberFormat="1" applyFont="1" applyFill="1" applyBorder="1" applyAlignment="1" applyProtection="1"/>
    <xf numFmtId="186" fontId="78" fillId="2" borderId="113" xfId="2" applyNumberFormat="1" applyFont="1" applyFill="1" applyBorder="1" applyAlignment="1" applyProtection="1"/>
    <xf numFmtId="170" fontId="71" fillId="2" borderId="114" xfId="2" applyNumberFormat="1" applyFont="1" applyFill="1" applyBorder="1" applyAlignment="1" applyProtection="1">
      <alignment horizontal="right" vertical="center"/>
    </xf>
    <xf numFmtId="0" fontId="75" fillId="4" borderId="0" xfId="2" applyFont="1" applyFill="1" applyBorder="1" applyAlignment="1" applyProtection="1"/>
    <xf numFmtId="0" fontId="68" fillId="4" borderId="0" xfId="2" applyFont="1" applyFill="1" applyBorder="1" applyAlignment="1" applyProtection="1">
      <alignment horizontal="center"/>
    </xf>
    <xf numFmtId="186" fontId="74" fillId="4" borderId="0" xfId="2" applyNumberFormat="1" applyFont="1" applyFill="1" applyBorder="1" applyAlignment="1" applyProtection="1"/>
    <xf numFmtId="0" fontId="79" fillId="19" borderId="109" xfId="2" applyFont="1" applyFill="1" applyBorder="1" applyAlignment="1" applyProtection="1"/>
    <xf numFmtId="0" fontId="71" fillId="18" borderId="111" xfId="2" applyFont="1" applyFill="1" applyBorder="1" applyAlignment="1" applyProtection="1"/>
    <xf numFmtId="0" fontId="68" fillId="18" borderId="110" xfId="2" applyFont="1" applyFill="1" applyBorder="1" applyAlignment="1" applyProtection="1">
      <alignment horizontal="center"/>
    </xf>
    <xf numFmtId="2" fontId="24" fillId="18" borderId="110" xfId="2" applyNumberFormat="1" applyFont="1" applyFill="1" applyBorder="1" applyAlignment="1" applyProtection="1"/>
    <xf numFmtId="0" fontId="68" fillId="18" borderId="113" xfId="2" applyFont="1" applyFill="1" applyBorder="1" applyAlignment="1" applyProtection="1"/>
    <xf numFmtId="170" fontId="71" fillId="18" borderId="112" xfId="2" applyNumberFormat="1" applyFont="1" applyFill="1" applyBorder="1" applyAlignment="1" applyProtection="1"/>
    <xf numFmtId="0" fontId="58" fillId="19" borderId="110" xfId="2" applyFont="1" applyFill="1" applyBorder="1" applyAlignment="1" applyProtection="1"/>
    <xf numFmtId="4" fontId="71" fillId="0" borderId="110" xfId="2" applyNumberFormat="1" applyFont="1" applyFill="1" applyBorder="1" applyAlignment="1" applyProtection="1"/>
    <xf numFmtId="0" fontId="58" fillId="21" borderId="109" xfId="2" applyFont="1" applyFill="1" applyBorder="1" applyAlignment="1" applyProtection="1"/>
    <xf numFmtId="0" fontId="71" fillId="5" borderId="110" xfId="2" applyFont="1" applyFill="1" applyBorder="1" applyAlignment="1" applyProtection="1"/>
    <xf numFmtId="0" fontId="68" fillId="5" borderId="110" xfId="2" applyFont="1" applyFill="1" applyBorder="1" applyAlignment="1" applyProtection="1">
      <alignment horizontal="center"/>
    </xf>
    <xf numFmtId="2" fontId="24" fillId="5" borderId="110" xfId="2" applyNumberFormat="1" applyFont="1" applyFill="1" applyBorder="1" applyAlignment="1" applyProtection="1"/>
    <xf numFmtId="0" fontId="68" fillId="5" borderId="110" xfId="2" applyFont="1" applyFill="1" applyBorder="1" applyAlignment="1" applyProtection="1"/>
    <xf numFmtId="186" fontId="71" fillId="5" borderId="112" xfId="2" applyNumberFormat="1" applyFont="1" applyFill="1" applyBorder="1" applyAlignment="1" applyProtection="1"/>
    <xf numFmtId="0" fontId="58" fillId="19" borderId="115" xfId="2" applyFont="1" applyFill="1" applyBorder="1" applyAlignment="1" applyProtection="1"/>
    <xf numFmtId="0" fontId="75" fillId="4" borderId="116" xfId="2" applyFont="1" applyFill="1" applyBorder="1" applyAlignment="1" applyProtection="1"/>
    <xf numFmtId="0" fontId="68" fillId="4" borderId="117" xfId="2" applyFont="1" applyFill="1" applyBorder="1" applyAlignment="1" applyProtection="1">
      <alignment horizontal="center"/>
    </xf>
    <xf numFmtId="2" fontId="24" fillId="4" borderId="117" xfId="2" applyNumberFormat="1" applyFont="1" applyFill="1" applyBorder="1" applyAlignment="1" applyProtection="1"/>
    <xf numFmtId="0" fontId="68" fillId="4" borderId="118" xfId="2" applyFont="1" applyFill="1" applyBorder="1" applyAlignment="1" applyProtection="1"/>
    <xf numFmtId="170" fontId="74" fillId="4" borderId="119" xfId="2" applyNumberFormat="1" applyFont="1" applyFill="1" applyBorder="1" applyAlignment="1" applyProtection="1"/>
    <xf numFmtId="0" fontId="58" fillId="19" borderId="120" xfId="2" applyFont="1" applyFill="1" applyBorder="1" applyAlignment="1" applyProtection="1"/>
    <xf numFmtId="0" fontId="75" fillId="4" borderId="121" xfId="2" applyFont="1" applyFill="1" applyBorder="1" applyAlignment="1" applyProtection="1"/>
    <xf numFmtId="0" fontId="68" fillId="4" borderId="122" xfId="2" applyFont="1" applyFill="1" applyBorder="1" applyAlignment="1" applyProtection="1">
      <alignment horizontal="center"/>
    </xf>
    <xf numFmtId="2" fontId="24" fillId="4" borderId="122" xfId="2" applyNumberFormat="1" applyFont="1" applyFill="1" applyBorder="1" applyAlignment="1" applyProtection="1"/>
    <xf numFmtId="0" fontId="68" fillId="4" borderId="123" xfId="2" applyFont="1" applyFill="1" applyBorder="1" applyAlignment="1" applyProtection="1"/>
    <xf numFmtId="170" fontId="74" fillId="4" borderId="124" xfId="2" applyNumberFormat="1" applyFont="1" applyFill="1" applyBorder="1" applyAlignment="1" applyProtection="1"/>
    <xf numFmtId="0" fontId="58" fillId="19" borderId="125" xfId="2" applyFont="1" applyFill="1" applyBorder="1" applyAlignment="1" applyProtection="1"/>
    <xf numFmtId="0" fontId="75" fillId="4" borderId="126" xfId="2" applyFont="1" applyFill="1" applyBorder="1" applyAlignment="1" applyProtection="1"/>
    <xf numFmtId="0" fontId="68" fillId="4" borderId="127" xfId="2" applyFont="1" applyFill="1" applyBorder="1" applyAlignment="1" applyProtection="1">
      <alignment horizontal="center"/>
    </xf>
    <xf numFmtId="2" fontId="24" fillId="4" borderId="127" xfId="2" applyNumberFormat="1" applyFont="1" applyFill="1" applyBorder="1" applyAlignment="1" applyProtection="1"/>
    <xf numFmtId="0" fontId="68" fillId="4" borderId="128" xfId="2" applyFont="1" applyFill="1" applyBorder="1" applyAlignment="1" applyProtection="1"/>
    <xf numFmtId="170" fontId="74" fillId="4" borderId="129" xfId="2" applyNumberFormat="1" applyFont="1" applyFill="1" applyBorder="1" applyAlignment="1" applyProtection="1"/>
    <xf numFmtId="0" fontId="30" fillId="2" borderId="110" xfId="2" applyFont="1" applyFill="1" applyBorder="1" applyAlignment="1" applyProtection="1"/>
    <xf numFmtId="0" fontId="68" fillId="2" borderId="110" xfId="2" applyFont="1" applyFill="1" applyBorder="1" applyAlignment="1" applyProtection="1"/>
    <xf numFmtId="170" fontId="71" fillId="2" borderId="112" xfId="2" applyNumberFormat="1" applyFont="1" applyFill="1" applyBorder="1" applyAlignment="1" applyProtection="1"/>
    <xf numFmtId="0" fontId="30" fillId="0" borderId="0" xfId="2" applyFont="1" applyFill="1" applyBorder="1" applyAlignment="1" applyProtection="1"/>
    <xf numFmtId="170" fontId="71" fillId="0" borderId="0" xfId="2" applyNumberFormat="1" applyFont="1" applyFill="1" applyBorder="1" applyAlignment="1" applyProtection="1"/>
    <xf numFmtId="0" fontId="77" fillId="2" borderId="0" xfId="2" applyFont="1" applyFill="1" applyBorder="1" applyAlignment="1" applyProtection="1"/>
    <xf numFmtId="0" fontId="68" fillId="2" borderId="0" xfId="2" applyFont="1" applyFill="1" applyBorder="1" applyAlignment="1" applyProtection="1">
      <alignment horizontal="center"/>
    </xf>
    <xf numFmtId="2" fontId="24" fillId="2" borderId="0" xfId="2" applyNumberFormat="1" applyFont="1" applyFill="1" applyBorder="1" applyAlignment="1" applyProtection="1"/>
    <xf numFmtId="0" fontId="68" fillId="2" borderId="0" xfId="2" applyFont="1" applyFill="1" applyBorder="1" applyAlignment="1" applyProtection="1"/>
    <xf numFmtId="170" fontId="71" fillId="2" borderId="0" xfId="2" applyNumberFormat="1" applyFont="1" applyFill="1" applyBorder="1" applyAlignment="1" applyProtection="1"/>
    <xf numFmtId="0" fontId="2" fillId="22" borderId="0" xfId="2" applyFill="1" applyBorder="1" applyProtection="1"/>
    <xf numFmtId="0" fontId="64" fillId="18" borderId="110" xfId="2" applyFont="1" applyFill="1" applyBorder="1" applyAlignment="1" applyProtection="1"/>
    <xf numFmtId="0" fontId="80" fillId="18" borderId="110" xfId="2" applyFont="1" applyFill="1" applyBorder="1" applyAlignment="1" applyProtection="1">
      <alignment horizontal="center"/>
    </xf>
    <xf numFmtId="2" fontId="81" fillId="18" borderId="110" xfId="2" applyNumberFormat="1" applyFont="1" applyFill="1" applyBorder="1" applyAlignment="1" applyProtection="1"/>
    <xf numFmtId="0" fontId="80" fillId="18" borderId="110" xfId="2" applyFont="1" applyFill="1" applyBorder="1" applyAlignment="1" applyProtection="1"/>
    <xf numFmtId="0" fontId="58" fillId="0" borderId="109" xfId="2" applyFont="1" applyFill="1" applyBorder="1" applyAlignment="1" applyProtection="1"/>
    <xf numFmtId="0" fontId="64" fillId="0" borderId="110" xfId="2" applyFont="1" applyFill="1" applyBorder="1" applyAlignment="1" applyProtection="1"/>
    <xf numFmtId="0" fontId="80" fillId="0" borderId="110" xfId="2" applyFont="1" applyFill="1" applyBorder="1" applyAlignment="1" applyProtection="1">
      <alignment horizontal="center"/>
    </xf>
    <xf numFmtId="2" fontId="81" fillId="0" borderId="110" xfId="2" applyNumberFormat="1" applyFont="1" applyFill="1" applyBorder="1" applyAlignment="1" applyProtection="1"/>
    <xf numFmtId="0" fontId="80" fillId="0" borderId="110" xfId="2" applyFont="1" applyFill="1" applyBorder="1" applyAlignment="1" applyProtection="1"/>
    <xf numFmtId="170" fontId="71" fillId="0" borderId="112" xfId="2" applyNumberFormat="1" applyFont="1" applyFill="1" applyBorder="1" applyAlignment="1" applyProtection="1"/>
    <xf numFmtId="0" fontId="2" fillId="0" borderId="0" xfId="2" applyFill="1" applyProtection="1"/>
    <xf numFmtId="0" fontId="82" fillId="0" borderId="0" xfId="2" applyFont="1" applyFill="1" applyBorder="1" applyAlignment="1" applyProtection="1"/>
    <xf numFmtId="0" fontId="80" fillId="0" borderId="0" xfId="2" applyFont="1" applyFill="1" applyBorder="1" applyAlignment="1" applyProtection="1">
      <alignment horizontal="center"/>
    </xf>
    <xf numFmtId="2" fontId="81" fillId="0" borderId="0" xfId="2" applyNumberFormat="1" applyFont="1" applyFill="1" applyBorder="1" applyAlignment="1" applyProtection="1"/>
    <xf numFmtId="0" fontId="80" fillId="0" borderId="0" xfId="2" applyFont="1" applyFill="1" applyBorder="1" applyAlignment="1" applyProtection="1"/>
    <xf numFmtId="186" fontId="80" fillId="0" borderId="0" xfId="2" applyNumberFormat="1" applyFont="1" applyFill="1" applyBorder="1" applyAlignment="1" applyProtection="1"/>
    <xf numFmtId="0" fontId="83" fillId="0" borderId="0" xfId="2" applyFont="1" applyProtection="1"/>
    <xf numFmtId="0" fontId="84" fillId="0" borderId="0" xfId="2" applyFont="1" applyProtection="1"/>
    <xf numFmtId="0" fontId="84" fillId="0" borderId="0" xfId="2" applyFont="1" applyAlignment="1" applyProtection="1">
      <alignment vertical="top"/>
    </xf>
    <xf numFmtId="0" fontId="69" fillId="0" borderId="0" xfId="2" applyFont="1" applyProtection="1"/>
    <xf numFmtId="0" fontId="24" fillId="4" borderId="0" xfId="2" applyNumberFormat="1" applyFont="1" applyFill="1" applyBorder="1" applyAlignment="1" applyProtection="1">
      <alignment horizontal="center"/>
    </xf>
    <xf numFmtId="186" fontId="85" fillId="4" borderId="0" xfId="2" applyNumberFormat="1" applyFont="1" applyFill="1" applyBorder="1" applyAlignment="1" applyProtection="1"/>
    <xf numFmtId="0" fontId="58" fillId="4" borderId="0" xfId="2" applyFont="1" applyFill="1" applyAlignment="1" applyProtection="1"/>
    <xf numFmtId="0" fontId="58" fillId="4" borderId="0" xfId="2" applyFont="1" applyFill="1" applyAlignment="1" applyProtection="1">
      <alignment horizontal="center"/>
    </xf>
    <xf numFmtId="2" fontId="59" fillId="4" borderId="0" xfId="2" applyNumberFormat="1" applyFont="1" applyFill="1" applyAlignment="1" applyProtection="1"/>
    <xf numFmtId="186" fontId="58" fillId="4" borderId="0" xfId="2" applyNumberFormat="1" applyFont="1" applyFill="1" applyAlignment="1" applyProtection="1"/>
    <xf numFmtId="0" fontId="86" fillId="4" borderId="0" xfId="2" applyFont="1" applyFill="1" applyAlignment="1" applyProtection="1"/>
    <xf numFmtId="0" fontId="87" fillId="4" borderId="0" xfId="2" applyFont="1" applyFill="1" applyAlignment="1" applyProtection="1"/>
    <xf numFmtId="164" fontId="87" fillId="4" borderId="0" xfId="1" applyFont="1" applyFill="1" applyAlignment="1" applyProtection="1"/>
    <xf numFmtId="170" fontId="0" fillId="0" borderId="0" xfId="0" applyNumberFormat="1" applyAlignment="1">
      <alignment horizontal="center" vertical="center"/>
    </xf>
    <xf numFmtId="2" fontId="0" fillId="0" borderId="0" xfId="0" applyNumberFormat="1" applyAlignment="1">
      <alignment horizontal="center" vertical="center"/>
    </xf>
    <xf numFmtId="166" fontId="0" fillId="0" borderId="0" xfId="0" applyNumberFormat="1" applyAlignment="1">
      <alignment horizontal="center" vertical="center"/>
    </xf>
    <xf numFmtId="0" fontId="0" fillId="0" borderId="0" xfId="0" applyAlignment="1">
      <alignment horizontal="center" vertical="center"/>
    </xf>
    <xf numFmtId="0" fontId="0" fillId="7" borderId="0" xfId="0" applyFill="1"/>
    <xf numFmtId="2" fontId="0" fillId="7" borderId="0" xfId="0" applyNumberFormat="1" applyFill="1"/>
    <xf numFmtId="170" fontId="0" fillId="7" borderId="0" xfId="0" applyNumberFormat="1" applyFill="1" applyAlignment="1">
      <alignment horizontal="center" vertical="center"/>
    </xf>
    <xf numFmtId="2" fontId="0" fillId="7" borderId="0" xfId="0" applyNumberFormat="1" applyFill="1" applyAlignment="1">
      <alignment horizontal="center" vertical="center"/>
    </xf>
    <xf numFmtId="166" fontId="0" fillId="7" borderId="0" xfId="0" applyNumberFormat="1" applyFill="1" applyAlignment="1">
      <alignment horizontal="center" vertical="center"/>
    </xf>
    <xf numFmtId="0" fontId="26" fillId="0" borderId="0" xfId="0" applyFont="1" applyFill="1" applyBorder="1" applyAlignment="1">
      <alignment vertical="center"/>
    </xf>
    <xf numFmtId="0" fontId="26" fillId="0" borderId="0" xfId="0" applyFont="1" applyBorder="1"/>
    <xf numFmtId="0" fontId="5" fillId="0" borderId="34" xfId="0" applyFont="1" applyFill="1" applyBorder="1"/>
    <xf numFmtId="2" fontId="5" fillId="0" borderId="0" xfId="0" applyNumberFormat="1" applyFont="1" applyFill="1"/>
    <xf numFmtId="0" fontId="5" fillId="3" borderId="0" xfId="0" applyFont="1" applyFill="1"/>
    <xf numFmtId="0" fontId="26" fillId="3" borderId="0" xfId="0" applyFont="1" applyFill="1" applyAlignment="1">
      <alignment horizontal="center" vertical="center"/>
    </xf>
    <xf numFmtId="0" fontId="28" fillId="3" borderId="0" xfId="0" applyFont="1" applyFill="1" applyBorder="1" applyAlignment="1">
      <alignment horizontal="left" vertical="center"/>
    </xf>
    <xf numFmtId="0" fontId="11" fillId="3" borderId="34" xfId="0" applyNumberFormat="1" applyFont="1" applyFill="1" applyBorder="1" applyAlignment="1">
      <alignment horizontal="center"/>
    </xf>
    <xf numFmtId="2" fontId="5" fillId="3" borderId="34" xfId="0" applyNumberFormat="1" applyFont="1" applyFill="1" applyBorder="1" applyAlignment="1">
      <alignment horizontal="center" vertical="center"/>
    </xf>
    <xf numFmtId="0" fontId="11" fillId="3" borderId="34" xfId="0" applyNumberFormat="1" applyFont="1" applyFill="1" applyBorder="1"/>
    <xf numFmtId="0" fontId="7" fillId="3" borderId="34" xfId="0" applyFont="1" applyFill="1" applyBorder="1"/>
    <xf numFmtId="2" fontId="11" fillId="3" borderId="36" xfId="0" applyNumberFormat="1" applyFont="1" applyFill="1" applyBorder="1" applyAlignment="1">
      <alignment horizontal="center"/>
    </xf>
    <xf numFmtId="2" fontId="5" fillId="0" borderId="36" xfId="0" applyNumberFormat="1" applyFont="1" applyFill="1" applyBorder="1"/>
    <xf numFmtId="2" fontId="5" fillId="3" borderId="36" xfId="0" applyNumberFormat="1" applyFont="1" applyFill="1" applyBorder="1" applyAlignment="1">
      <alignment horizontal="center" vertical="center"/>
    </xf>
    <xf numFmtId="166" fontId="5" fillId="3" borderId="16" xfId="0" applyNumberFormat="1" applyFont="1" applyFill="1" applyBorder="1"/>
    <xf numFmtId="0" fontId="5" fillId="0" borderId="130" xfId="0" applyFont="1" applyFill="1" applyBorder="1"/>
    <xf numFmtId="0" fontId="26" fillId="6" borderId="0" xfId="0" applyFont="1" applyFill="1" applyBorder="1" applyAlignment="1">
      <alignment horizontal="center" vertical="center" wrapText="1"/>
    </xf>
    <xf numFmtId="0" fontId="32" fillId="6" borderId="0" xfId="0" applyFont="1" applyFill="1" applyBorder="1" applyAlignment="1">
      <alignment horizontal="center" vertical="center" wrapText="1"/>
    </xf>
    <xf numFmtId="2" fontId="26" fillId="6" borderId="0" xfId="0" applyNumberFormat="1" applyFont="1" applyFill="1" applyBorder="1" applyAlignment="1">
      <alignment horizontal="center" vertical="center" wrapText="1"/>
    </xf>
    <xf numFmtId="2" fontId="32" fillId="6" borderId="0" xfId="0" applyNumberFormat="1" applyFont="1" applyFill="1" applyBorder="1" applyAlignment="1">
      <alignment horizontal="center" vertical="center" wrapText="1"/>
    </xf>
    <xf numFmtId="2" fontId="33" fillId="3" borderId="1" xfId="0" applyNumberFormat="1" applyFont="1" applyFill="1" applyBorder="1" applyAlignment="1"/>
    <xf numFmtId="2" fontId="33" fillId="3" borderId="34" xfId="0" applyNumberFormat="1" applyFont="1" applyFill="1" applyBorder="1" applyAlignment="1"/>
    <xf numFmtId="2" fontId="33" fillId="3" borderId="1" xfId="0" applyNumberFormat="1" applyFont="1" applyFill="1" applyBorder="1" applyAlignment="1">
      <alignment vertical="center"/>
    </xf>
    <xf numFmtId="2" fontId="35" fillId="3" borderId="34" xfId="0" applyNumberFormat="1" applyFont="1" applyFill="1" applyBorder="1" applyAlignment="1"/>
    <xf numFmtId="2" fontId="36" fillId="3" borderId="0" xfId="0" applyNumberFormat="1" applyFont="1" applyFill="1" applyAlignment="1">
      <alignment horizontal="center" vertical="center"/>
    </xf>
    <xf numFmtId="2" fontId="36" fillId="23" borderId="0" xfId="0" applyNumberFormat="1" applyFont="1" applyFill="1" applyAlignment="1">
      <alignment horizontal="center" vertical="center"/>
    </xf>
    <xf numFmtId="2" fontId="36" fillId="12" borderId="0" xfId="0" applyNumberFormat="1" applyFont="1" applyFill="1" applyAlignment="1">
      <alignment horizontal="center" vertical="center"/>
    </xf>
    <xf numFmtId="2" fontId="29" fillId="6" borderId="0" xfId="0" applyNumberFormat="1" applyFont="1" applyFill="1" applyAlignment="1">
      <alignment horizontal="center" vertical="center"/>
    </xf>
  </cellXfs>
  <cellStyles count="9">
    <cellStyle name="Euro" xfId="1"/>
    <cellStyle name="Euro 2" xfId="6"/>
    <cellStyle name="Monétaire 2" xfId="3"/>
    <cellStyle name="Normal" xfId="0" builtinId="0"/>
    <cellStyle name="Normal 2" xfId="2"/>
    <cellStyle name="Normal 2 2" xfId="4"/>
    <cellStyle name="Normal 3" xfId="5"/>
    <cellStyle name="Normal 4" xfId="7"/>
    <cellStyle name="Normal 5" xfId="8"/>
  </cellStyles>
  <dxfs count="9">
    <dxf>
      <fill>
        <patternFill patternType="gray125">
          <fgColor rgb="FFFF9900"/>
          <bgColor auto="1"/>
        </patternFill>
      </fill>
    </dxf>
    <dxf>
      <fill>
        <patternFill patternType="gray125">
          <fgColor rgb="FFFF9900"/>
          <bgColor auto="1"/>
        </patternFill>
      </fill>
    </dxf>
    <dxf>
      <fill>
        <patternFill>
          <bgColor indexed="11"/>
        </patternFill>
      </fill>
    </dxf>
    <dxf>
      <font>
        <b/>
        <i val="0"/>
      </font>
      <fill>
        <patternFill>
          <bgColor rgb="FFFFC000"/>
        </patternFill>
      </fill>
    </dxf>
    <dxf>
      <font>
        <b/>
        <i val="0"/>
      </font>
    </dxf>
    <dxf>
      <border>
        <left style="thin">
          <color auto="1"/>
        </left>
        <right style="thin">
          <color auto="1"/>
        </right>
        <top style="thin">
          <color auto="1"/>
        </top>
        <bottom style="thin">
          <color auto="1"/>
        </bottom>
        <vertical style="dotted">
          <color auto="1"/>
        </vertical>
        <horizontal style="dotted">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8"/>
    </tableStyle>
    <tableStyle name="Style de tableau 2" pivot="0" count="1">
      <tableStyleElement type="wholeTable" dxfId="7"/>
    </tableStyle>
    <tableStyle name="Style de tableau 3" pivot="0" count="1">
      <tableStyleElement type="wholeTable" dxfId="6"/>
    </tableStyle>
    <tableStyle name="Style de tableau croisé dynamique 1" table="0" count="3">
      <tableStyleElement type="wholeTable" dxfId="5"/>
      <tableStyleElement type="firstColumnStripe" dxfId="4"/>
      <tableStyleElement type="pageFieldLabels"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E5"/>
      <color rgb="FF990000"/>
      <color rgb="FF5F5F5F"/>
      <color rgb="FF777777"/>
      <color rgb="FF000000"/>
      <color rgb="FFFFFFCC"/>
      <color rgb="FFFFFFF3"/>
      <color rgb="FFFFFFFF"/>
      <color rgb="FF4D4D4D"/>
      <color rgb="FF080808"/>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microsoft.com/office/2006/relationships/vbaProject" Target="vbaProject.bin"/></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hyperlink" Target="#Matrice!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GO</a:t>
          </a:r>
        </a:p>
      </xdr:txBody>
    </xdr:sp>
    <xdr:clientData/>
  </xdr:twoCellAnchor>
  <xdr:twoCellAnchor>
    <xdr:from>
      <xdr:col>4</xdr:col>
      <xdr:colOff>749300</xdr:colOff>
      <xdr:row>7</xdr:row>
      <xdr:rowOff>88900</xdr:rowOff>
    </xdr:from>
    <xdr:to>
      <xdr:col>9</xdr:col>
      <xdr:colOff>1320800</xdr:colOff>
      <xdr:row>31</xdr:row>
      <xdr:rowOff>76200</xdr:rowOff>
    </xdr:to>
    <xdr:sp macro="" textlink="">
      <xdr:nvSpPr>
        <xdr:cNvPr id="15" name="ZoneTexte 14"/>
        <xdr:cNvSpPr txBox="1"/>
      </xdr:nvSpPr>
      <xdr:spPr>
        <a:xfrm>
          <a:off x="3441700" y="2641600"/>
          <a:ext cx="8585200" cy="558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800" b="1">
              <a:solidFill>
                <a:srgbClr val="002060"/>
              </a:solidFill>
              <a:latin typeface="+mn-lt"/>
              <a:ea typeface="+mn-ea"/>
              <a:cs typeface="+mn-cs"/>
            </a:rPr>
            <a:t>Ceci n'est que la suite du programme sur lequel tu as déjà travaillé et donc tu connais en gros son fonctionnement.</a:t>
          </a:r>
        </a:p>
        <a:p>
          <a:r>
            <a:rPr lang="fr-FR" sz="1800" b="1">
              <a:solidFill>
                <a:srgbClr val="002060"/>
              </a:solidFill>
              <a:latin typeface="+mn-lt"/>
              <a:ea typeface="+mn-ea"/>
              <a:cs typeface="+mn-cs"/>
            </a:rPr>
            <a:t>J’ai gardé volontairement les tableaux pour te faire comprendre le fonctionnement et te donner une idée, mais je suis partant pour tout virer et recommencer sur des bases solides.</a:t>
          </a:r>
        </a:p>
        <a:p>
          <a:r>
            <a:rPr lang="fr-FR" sz="1800" b="1">
              <a:solidFill>
                <a:srgbClr val="002060"/>
              </a:solidFill>
              <a:latin typeface="+mn-lt"/>
              <a:ea typeface="+mn-ea"/>
              <a:cs typeface="+mn-cs"/>
            </a:rPr>
            <a:t>Explique-moi juste comment y parvenir. Car je devrais tout restructurer apparemment.</a:t>
          </a:r>
        </a:p>
        <a:p>
          <a:r>
            <a:rPr lang="fr-FR" sz="1800" b="1">
              <a:solidFill>
                <a:srgbClr val="002060"/>
              </a:solidFill>
              <a:latin typeface="+mn-lt"/>
              <a:ea typeface="+mn-ea"/>
              <a:cs typeface="+mn-cs"/>
            </a:rPr>
            <a:t>DEMO:</a:t>
          </a:r>
        </a:p>
        <a:p>
          <a:r>
            <a:rPr lang="fr-FR" sz="1800" b="1">
              <a:solidFill>
                <a:srgbClr val="C00000"/>
              </a:solidFill>
              <a:latin typeface="+mn-lt"/>
              <a:ea typeface="+mn-ea"/>
              <a:cs typeface="+mn-cs"/>
            </a:rPr>
            <a:t>1) tu cliques "GO"</a:t>
          </a:r>
        </a:p>
        <a:p>
          <a:r>
            <a:rPr lang="fr-FR" sz="1800" b="1">
              <a:solidFill>
                <a:srgbClr val="C00000"/>
              </a:solidFill>
              <a:latin typeface="+mn-lt"/>
              <a:ea typeface="+mn-ea"/>
              <a:cs typeface="+mn-cs"/>
            </a:rPr>
            <a:t>2) tu sélectionnes un fournisseur "MOGAMAT" et un client</a:t>
          </a:r>
        </a:p>
        <a:p>
          <a:r>
            <a:rPr lang="fr-FR" sz="1800" b="1">
              <a:solidFill>
                <a:srgbClr val="C00000"/>
              </a:solidFill>
              <a:latin typeface="+mn-lt"/>
              <a:ea typeface="+mn-ea"/>
              <a:cs typeface="+mn-cs"/>
            </a:rPr>
            <a:t>3) tu as des produits que tu peux modifier ou envoyer dans la liste a coté à laide des différents boutons au-dessus </a:t>
          </a:r>
        </a:p>
        <a:p>
          <a:r>
            <a:rPr lang="fr-FR" sz="1800" b="1">
              <a:solidFill>
                <a:srgbClr val="C00000"/>
              </a:solidFill>
              <a:latin typeface="+mn-lt"/>
              <a:ea typeface="+mn-ea"/>
              <a:cs typeface="+mn-cs"/>
            </a:rPr>
            <a:t>4) tu sélectionnes quelque produit tu donnes des quantités </a:t>
          </a:r>
        </a:p>
        <a:p>
          <a:r>
            <a:rPr lang="fr-FR" sz="1800" b="1">
              <a:solidFill>
                <a:srgbClr val="C00000"/>
              </a:solidFill>
              <a:latin typeface="+mn-lt"/>
              <a:ea typeface="+mn-ea"/>
              <a:cs typeface="+mn-cs"/>
            </a:rPr>
            <a:t>5) si TVA non perçu tu rentre  « 1 » sinon rien</a:t>
          </a:r>
        </a:p>
        <a:p>
          <a:r>
            <a:rPr lang="fr-FR" sz="1800" b="1">
              <a:solidFill>
                <a:srgbClr val="C00000"/>
              </a:solidFill>
              <a:latin typeface="+mn-lt"/>
              <a:ea typeface="+mn-ea"/>
              <a:cs typeface="+mn-cs"/>
            </a:rPr>
            <a:t>6) tu imprimes (ça ne marchera pas car l'emplacement dossier ne sera plus bon) mais tu vérifies sur «  bon de commande » les données doivent y être </a:t>
          </a:r>
        </a:p>
        <a:p>
          <a:r>
            <a:rPr lang="fr-FR" sz="1800" b="1">
              <a:solidFill>
                <a:srgbClr val="C00000"/>
              </a:solidFill>
              <a:latin typeface="+mn-lt"/>
              <a:ea typeface="+mn-ea"/>
              <a:cs typeface="+mn-cs"/>
            </a:rPr>
            <a:t>7) Ça c'est juste un aperçu de ce que je voudrais au final mais mon but est de pouvoir structuré mes tableaux d'approvisionnement produit avec  mise à jour des  prix qui me servent directement dans mes tableaux d'étude de prix</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440036</xdr:colOff>
      <xdr:row>2</xdr:row>
      <xdr:rowOff>278946</xdr:rowOff>
    </xdr:from>
    <xdr:to>
      <xdr:col>5</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2</xdr:col>
      <xdr:colOff>501792</xdr:colOff>
      <xdr:row>2</xdr:row>
      <xdr:rowOff>350122</xdr:rowOff>
    </xdr:from>
    <xdr:to>
      <xdr:col>5</xdr:col>
      <xdr:colOff>809625</xdr:colOff>
      <xdr:row>3</xdr:row>
      <xdr:rowOff>70338</xdr:rowOff>
    </xdr:to>
    <xdr:sp macro="" textlink="$G$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Calibri"/>
              <a:cs typeface="Arial"/>
            </a:rPr>
            <a:pPr/>
            <a:t>NOM      LECHAT</a:t>
          </a:fld>
          <a:endParaRPr lang="fr-FR" sz="1000">
            <a:solidFill>
              <a:sysClr val="windowText" lastClr="000000"/>
            </a:solidFill>
          </a:endParaRPr>
        </a:p>
      </xdr:txBody>
    </xdr:sp>
    <xdr:clientData/>
  </xdr:twoCellAnchor>
  <xdr:twoCellAnchor>
    <xdr:from>
      <xdr:col>2</xdr:col>
      <xdr:colOff>485671</xdr:colOff>
      <xdr:row>2</xdr:row>
      <xdr:rowOff>618290</xdr:rowOff>
    </xdr:from>
    <xdr:to>
      <xdr:col>5</xdr:col>
      <xdr:colOff>876300</xdr:colOff>
      <xdr:row>6</xdr:row>
      <xdr:rowOff>131257</xdr:rowOff>
    </xdr:to>
    <xdr:sp macro="" textlink="$G$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Calibri"/>
            </a:rPr>
            <a:pPr algn="l"/>
            <a:t>ADRESSE : RAVINE DES CABRIS</a:t>
          </a:fld>
          <a:endParaRPr lang="fr-FR" sz="900" b="1">
            <a:solidFill>
              <a:sysClr val="windowText" lastClr="000000"/>
            </a:solidFill>
          </a:endParaRPr>
        </a:p>
      </xdr:txBody>
    </xdr:sp>
    <xdr:clientData/>
  </xdr:twoCellAnchor>
  <xdr:twoCellAnchor>
    <xdr:from>
      <xdr:col>3</xdr:col>
      <xdr:colOff>1779</xdr:colOff>
      <xdr:row>6</xdr:row>
      <xdr:rowOff>59870</xdr:rowOff>
    </xdr:from>
    <xdr:to>
      <xdr:col>5</xdr:col>
      <xdr:colOff>800100</xdr:colOff>
      <xdr:row>8</xdr:row>
      <xdr:rowOff>13083</xdr:rowOff>
    </xdr:to>
    <xdr:sp macro="" textlink="$G$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Calibri"/>
            </a:rPr>
            <a:pPr/>
            <a:t>VILLE  97432 ST PIERRE</a:t>
          </a:fld>
          <a:endParaRPr lang="fr-FR" sz="900" b="1"/>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xmlns=""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2</xdr:col>
      <xdr:colOff>38100</xdr:colOff>
      <xdr:row>5</xdr:row>
      <xdr:rowOff>47625</xdr:rowOff>
    </xdr:from>
    <xdr:to>
      <xdr:col>2</xdr:col>
      <xdr:colOff>390525</xdr:colOff>
      <xdr:row>8</xdr:row>
      <xdr:rowOff>220854</xdr:rowOff>
    </xdr:to>
    <xdr:sp macro="" textlink="">
      <xdr:nvSpPr>
        <xdr:cNvPr id="7" name="SpinButton1" hidden="1">
          <a:extLst>
            <a:ext uri="{63B3BB69-23CF-44E3-9099-C40C66FF867C}">
              <a14:compatExt xmlns:a14="http://schemas.microsoft.com/office/drawing/2010/main" xmlns=""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0</xdr:col>
      <xdr:colOff>333375</xdr:colOff>
      <xdr:row>1</xdr:row>
      <xdr:rowOff>104775</xdr:rowOff>
    </xdr:from>
    <xdr:to>
      <xdr:col>1</xdr:col>
      <xdr:colOff>2095500</xdr:colOff>
      <xdr:row>2</xdr:row>
      <xdr:rowOff>666749</xdr:rowOff>
    </xdr:to>
    <xdr:pic>
      <xdr:nvPicPr>
        <xdr:cNvPr id="8" name="Image 7" descr="LOGO SOREC.jpg"/>
        <xdr:cNvPicPr>
          <a:picLocks noChangeAspect="1"/>
        </xdr:cNvPicPr>
      </xdr:nvPicPr>
      <xdr:blipFill>
        <a:blip xmlns:r="http://schemas.openxmlformats.org/officeDocument/2006/relationships" r:embed="rId1" cstate="print"/>
        <a:stretch>
          <a:fillRect/>
        </a:stretch>
      </xdr:blipFill>
      <xdr:spPr>
        <a:xfrm>
          <a:off x="247650" y="342900"/>
          <a:ext cx="2095500" cy="1000124"/>
        </a:xfrm>
        <a:prstGeom prst="rect">
          <a:avLst/>
        </a:prstGeom>
      </xdr:spPr>
    </xdr:pic>
    <xdr:clientData/>
  </xdr:twoCellAnchor>
  <xdr:twoCellAnchor editAs="oneCell">
    <xdr:from>
      <xdr:col>3</xdr:col>
      <xdr:colOff>457200</xdr:colOff>
      <xdr:row>146</xdr:row>
      <xdr:rowOff>57150</xdr:rowOff>
    </xdr:from>
    <xdr:to>
      <xdr:col>5</xdr:col>
      <xdr:colOff>1038225</xdr:colOff>
      <xdr:row>151</xdr:row>
      <xdr:rowOff>28574</xdr:rowOff>
    </xdr:to>
    <xdr:pic>
      <xdr:nvPicPr>
        <xdr:cNvPr id="9" name="Image 8" descr="LOGO SOREC.jpg"/>
        <xdr:cNvPicPr>
          <a:picLocks noChangeAspect="1"/>
        </xdr:cNvPicPr>
      </xdr:nvPicPr>
      <xdr:blipFill>
        <a:blip xmlns:r="http://schemas.openxmlformats.org/officeDocument/2006/relationships" r:embed="rId2" cstate="print"/>
        <a:stretch>
          <a:fillRect/>
        </a:stretch>
      </xdr:blipFill>
      <xdr:spPr>
        <a:xfrm>
          <a:off x="4591050" y="29984700"/>
          <a:ext cx="2038350" cy="923924"/>
        </a:xfrm>
        <a:prstGeom prst="rect">
          <a:avLst/>
        </a:prstGeom>
      </xdr:spPr>
    </xdr:pic>
    <xdr:clientData/>
  </xdr:twoCellAnchor>
  <xdr:twoCellAnchor editAs="oneCell">
    <xdr:from>
      <xdr:col>3</xdr:col>
      <xdr:colOff>180975</xdr:colOff>
      <xdr:row>191</xdr:row>
      <xdr:rowOff>246476</xdr:rowOff>
    </xdr:from>
    <xdr:to>
      <xdr:col>5</xdr:col>
      <xdr:colOff>476249</xdr:colOff>
      <xdr:row>196</xdr:row>
      <xdr:rowOff>452</xdr:rowOff>
    </xdr:to>
    <xdr:pic>
      <xdr:nvPicPr>
        <xdr:cNvPr id="10" name="Imag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314825" y="39156101"/>
          <a:ext cx="1752599" cy="820776"/>
        </a:xfrm>
        <a:prstGeom prst="rect">
          <a:avLst/>
        </a:prstGeom>
      </xdr:spPr>
    </xdr:pic>
    <xdr:clientData/>
  </xdr:twoCellAnchor>
  <xdr:twoCellAnchor editAs="oneCell">
    <xdr:from>
      <xdr:col>4</xdr:col>
      <xdr:colOff>19050</xdr:colOff>
      <xdr:row>142</xdr:row>
      <xdr:rowOff>38100</xdr:rowOff>
    </xdr:from>
    <xdr:to>
      <xdr:col>5</xdr:col>
      <xdr:colOff>933449</xdr:colOff>
      <xdr:row>145</xdr:row>
      <xdr:rowOff>144501</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772025" y="29013150"/>
          <a:ext cx="1752599" cy="8207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amsapat%20V33%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Ramsapat%20V40%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BDsorec/Ramsapat%20V35%2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20SOREC\ETUDE%20PROJET\LECHAT\DEVIS%20LECHAT.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SOREC4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NbLettre.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Devis"/>
      <sheetName val="Bon_Commande"/>
      <sheetName val="C.Horaire"/>
      <sheetName val="Apro.Chantier"/>
      <sheetName val="Temps.U"/>
      <sheetName val="Sous-Enss"/>
      <sheetName val="Etude-Prix"/>
      <sheetName val="DEVIS_Estimatif"/>
      <sheetName val="Men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F5">
            <v>0.05</v>
          </cell>
          <cell r="H5">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ow r="122">
          <cell r="O122" t="e">
            <v>#REF!</v>
          </cell>
        </row>
        <row r="127">
          <cell r="O127" t="e">
            <v>#REF!</v>
          </cell>
        </row>
      </sheetData>
      <sheetData sheetId="1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Ouvrage"/>
      <sheetName val="Matrice"/>
      <sheetName val="Devis"/>
      <sheetName val="Bon_Commande"/>
      <sheetName val="C.Horaire"/>
      <sheetName val="Apro.Chantier"/>
      <sheetName val="Temps.U"/>
      <sheetName val="Sous-Enss"/>
      <sheetName val="Etude-Prix"/>
      <sheetName val="Menu"/>
      <sheetName val="FACTURE"/>
      <sheetName val="APPEL_DE_FONDS"/>
      <sheetName val="LETTRE_APF"/>
      <sheetName val="Feuil2"/>
    </sheetNames>
    <sheetDataSet>
      <sheetData sheetId="0"/>
      <sheetData sheetId="1" refreshError="1"/>
      <sheetData sheetId="2" refreshError="1"/>
      <sheetData sheetId="3" refreshError="1"/>
      <sheetData sheetId="4" refreshError="1"/>
      <sheetData sheetId="5" refreshError="1"/>
      <sheetData sheetId="6" refreshError="1"/>
      <sheetData sheetId="7">
        <row r="5">
          <cell r="F5">
            <v>0.05</v>
          </cell>
          <cell r="H5">
            <v>0</v>
          </cell>
        </row>
      </sheetData>
      <sheetData sheetId="8">
        <row r="31">
          <cell r="O31">
            <v>3379.24</v>
          </cell>
        </row>
        <row r="32">
          <cell r="O32">
            <v>3379.24</v>
          </cell>
        </row>
        <row r="34">
          <cell r="N34">
            <v>8.5000000000000006E-2</v>
          </cell>
          <cell r="O34">
            <v>287.23540000000003</v>
          </cell>
        </row>
        <row r="36">
          <cell r="O36">
            <v>3666.4753999999998</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Devis"/>
      <sheetName val="Bon_Commande"/>
      <sheetName val="C.Horaire"/>
      <sheetName val="Apro.Chantier"/>
      <sheetName val="Temps.U"/>
      <sheetName val="Sous-Enss"/>
      <sheetName val="Etude-Prix"/>
      <sheetName val="DEVIS_Estimatif"/>
      <sheetName val="Explication"/>
      <sheetName val="APPEL_DE_FONDS"/>
      <sheetName val="FACTURE"/>
    </sheetNames>
    <sheetDataSet>
      <sheetData sheetId="0"/>
      <sheetData sheetId="1"/>
      <sheetData sheetId="2"/>
      <sheetData sheetId="3"/>
      <sheetData sheetId="4"/>
      <sheetData sheetId="5"/>
      <sheetData sheetId="6"/>
      <sheetData sheetId="7"/>
      <sheetData sheetId="8"/>
      <sheetData sheetId="9">
        <row r="23">
          <cell r="O23">
            <v>6519.41</v>
          </cell>
        </row>
        <row r="25">
          <cell r="O25">
            <v>554.14985000000001</v>
          </cell>
        </row>
        <row r="28">
          <cell r="O28">
            <v>7073.5598499999996</v>
          </cell>
        </row>
      </sheetData>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UIVI CLIENT"/>
      <sheetName val="DEVIS Estimatif"/>
      <sheetName val="INFRA &amp; PLANCHER"/>
      <sheetName val="SUPERSTRUCTURE"/>
      <sheetName val="CLOISON &amp; ETANCH"/>
      <sheetName val="CHARP;COUVERT"/>
      <sheetName val="ADATATION"/>
      <sheetName val="REHAUSSE MUR"/>
      <sheetName val="MENUISERIES"/>
      <sheetName val="OPTION"/>
      <sheetName val="DESCRIPTIF DE BASE"/>
      <sheetName val="DESCRIPTIF OPTION (2)"/>
    </sheetNames>
    <sheetDataSet>
      <sheetData sheetId="0" refreshError="1"/>
      <sheetData sheetId="1"/>
      <sheetData sheetId="2">
        <row r="5">
          <cell r="J5">
            <v>123.3575</v>
          </cell>
          <cell r="K5">
            <v>114.09749999999998</v>
          </cell>
        </row>
        <row r="7">
          <cell r="J7">
            <v>47.099999999999994</v>
          </cell>
        </row>
        <row r="13">
          <cell r="J13">
            <v>55.825000000000003</v>
          </cell>
        </row>
        <row r="20">
          <cell r="E20">
            <v>34.924999999999997</v>
          </cell>
          <cell r="F20">
            <v>27.939999999999998</v>
          </cell>
          <cell r="G20">
            <v>27.939999999999998</v>
          </cell>
          <cell r="H20">
            <v>10.477499999999999</v>
          </cell>
          <cell r="J20">
            <v>69.849999999999994</v>
          </cell>
          <cell r="K20">
            <v>174.45749999999998</v>
          </cell>
        </row>
        <row r="27">
          <cell r="J27">
            <v>34.229249999999993</v>
          </cell>
        </row>
      </sheetData>
      <sheetData sheetId="3">
        <row r="14">
          <cell r="E14">
            <v>133.84</v>
          </cell>
          <cell r="K14">
            <v>88.172500000000014</v>
          </cell>
        </row>
        <row r="22">
          <cell r="M22">
            <v>270.69749999999999</v>
          </cell>
        </row>
        <row r="23">
          <cell r="M23">
            <v>239.11250000000001</v>
          </cell>
        </row>
        <row r="25">
          <cell r="M25">
            <v>2.5040000000000004</v>
          </cell>
        </row>
        <row r="26">
          <cell r="M26">
            <v>2.4780000000000002</v>
          </cell>
        </row>
        <row r="28">
          <cell r="M28">
            <v>270.69749999999999</v>
          </cell>
        </row>
        <row r="29">
          <cell r="M29">
            <v>511.66349999999994</v>
          </cell>
        </row>
        <row r="31">
          <cell r="M31">
            <v>7.2</v>
          </cell>
        </row>
        <row r="34">
          <cell r="M34">
            <v>114.09749999999997</v>
          </cell>
        </row>
      </sheetData>
      <sheetData sheetId="4">
        <row r="14">
          <cell r="E14">
            <v>44.356000000000009</v>
          </cell>
          <cell r="F14">
            <v>1.3379999999999999</v>
          </cell>
          <cell r="J14">
            <v>0</v>
          </cell>
        </row>
        <row r="16">
          <cell r="F16">
            <v>19.968000000000004</v>
          </cell>
        </row>
        <row r="17">
          <cell r="C17">
            <v>6</v>
          </cell>
        </row>
        <row r="22">
          <cell r="E22">
            <v>26.400000000000002</v>
          </cell>
          <cell r="J22">
            <v>0</v>
          </cell>
        </row>
        <row r="27">
          <cell r="E27">
            <v>18.900000000000002</v>
          </cell>
          <cell r="J27">
            <v>0</v>
          </cell>
        </row>
      </sheetData>
      <sheetData sheetId="5">
        <row r="11">
          <cell r="H11">
            <v>21.599999999999998</v>
          </cell>
        </row>
        <row r="19">
          <cell r="D19">
            <v>0</v>
          </cell>
          <cell r="F19">
            <v>155.67825904565518</v>
          </cell>
          <cell r="J19">
            <v>207.37584338406128</v>
          </cell>
        </row>
        <row r="27">
          <cell r="F27">
            <v>30.257149763145733</v>
          </cell>
          <cell r="H27">
            <v>0</v>
          </cell>
          <cell r="I27">
            <v>43.199999999999996</v>
          </cell>
        </row>
      </sheetData>
      <sheetData sheetId="6">
        <row r="23">
          <cell r="H23">
            <v>3</v>
          </cell>
          <cell r="I23" t="str">
            <v>Plus-Value pour Adaptation sur remblais</v>
          </cell>
        </row>
        <row r="24">
          <cell r="H24">
            <v>4</v>
          </cell>
          <cell r="I24" t="str">
            <v>Plus-Value pour Adaptation sur vide sanitaire (ouvert)</v>
          </cell>
        </row>
        <row r="25">
          <cell r="H25">
            <v>2</v>
          </cell>
          <cell r="I25" t="str">
            <v>sans adaptation au sol</v>
          </cell>
        </row>
        <row r="26">
          <cell r="H26">
            <v>5</v>
          </cell>
          <cell r="I26" t="str">
            <v>Plus-Value pour Adaptation sur remblais et vide sanitaire (ouvert)</v>
          </cell>
        </row>
        <row r="27">
          <cell r="M27">
            <v>2</v>
          </cell>
        </row>
      </sheetData>
      <sheetData sheetId="7">
        <row r="44">
          <cell r="E44">
            <v>71.0234532315</v>
          </cell>
        </row>
        <row r="48">
          <cell r="E48">
            <v>64.286233110618753</v>
          </cell>
        </row>
      </sheetData>
      <sheetData sheetId="8">
        <row r="2">
          <cell r="E2" t="str">
            <v>0</v>
          </cell>
        </row>
      </sheetData>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Bd_Villes"/>
      <sheetName val="BD_clients"/>
      <sheetName val="Matrice"/>
      <sheetName val="Devis"/>
      <sheetName val="C.Horaire"/>
      <sheetName val="Apro.Chantier"/>
      <sheetName val="P.Materiaux"/>
      <sheetName val="Temps.U"/>
      <sheetName val="Sous-Enss"/>
      <sheetName val="Etude-Prix"/>
      <sheetName val="Instalation_Chantier"/>
      <sheetName val="Fondation"/>
      <sheetName val="Dalle_Plancher"/>
      <sheetName val="Superstructure"/>
      <sheetName val="Charpente_Couverture"/>
      <sheetName val="Enduit"/>
      <sheetName val="Béton_Armée"/>
      <sheetName val="Revêtement_Sol"/>
      <sheetName val="Peinture"/>
      <sheetName val="FACTURATION"/>
      <sheetName val="Descriptif"/>
      <sheetName val="Feuil2"/>
      <sheetName val="Feuil1"/>
    </sheetNames>
    <sheetDataSet>
      <sheetData sheetId="0"/>
      <sheetData sheetId="1"/>
      <sheetData sheetId="2">
        <row r="10">
          <cell r="H10" t="e">
            <v>#N/A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20"/>
  <dimension ref="A1:Q62"/>
  <sheetViews>
    <sheetView showGridLines="0" workbookViewId="0">
      <selection activeCell="G23" sqref="G23"/>
    </sheetView>
  </sheetViews>
  <sheetFormatPr baseColWidth="10" defaultRowHeight="12.75"/>
  <cols>
    <col min="1" max="15" width="11.42578125" style="3"/>
    <col min="16" max="16" width="11.42578125" style="6"/>
    <col min="17" max="17" width="11.42578125" style="238"/>
    <col min="18" max="16384" width="11.42578125" style="3"/>
  </cols>
  <sheetData>
    <row r="1" spans="1:17">
      <c r="A1" s="4" t="s">
        <v>297</v>
      </c>
      <c r="B1" s="4" t="s">
        <v>298</v>
      </c>
      <c r="C1" s="3" t="s">
        <v>725</v>
      </c>
      <c r="D1" s="3" t="s">
        <v>475</v>
      </c>
      <c r="H1" s="3" t="s">
        <v>477</v>
      </c>
      <c r="I1" s="3" t="s">
        <v>415</v>
      </c>
      <c r="J1" s="4" t="s">
        <v>305</v>
      </c>
      <c r="K1" s="3" t="s">
        <v>416</v>
      </c>
      <c r="L1" s="237" t="s">
        <v>414</v>
      </c>
      <c r="M1" s="237"/>
      <c r="O1" s="3" t="s">
        <v>742</v>
      </c>
      <c r="P1" s="6" t="s">
        <v>743</v>
      </c>
      <c r="Q1" s="238" t="s">
        <v>743</v>
      </c>
    </row>
    <row r="2" spans="1:17">
      <c r="A2" s="5">
        <v>97400</v>
      </c>
      <c r="B2" s="5" t="s">
        <v>259</v>
      </c>
      <c r="C2" s="3">
        <v>1</v>
      </c>
      <c r="D2" s="3" t="s">
        <v>472</v>
      </c>
      <c r="E2" s="3" t="s">
        <v>483</v>
      </c>
      <c r="F2" s="5" t="s">
        <v>256</v>
      </c>
      <c r="G2" s="5" t="s">
        <v>492</v>
      </c>
      <c r="H2" s="3">
        <v>0</v>
      </c>
      <c r="I2" s="3">
        <v>0</v>
      </c>
      <c r="J2" s="58" t="s">
        <v>506</v>
      </c>
      <c r="K2" s="3">
        <v>0</v>
      </c>
      <c r="L2" s="58">
        <v>1</v>
      </c>
      <c r="M2" s="59">
        <v>0.2</v>
      </c>
      <c r="O2" s="4" t="s">
        <v>406</v>
      </c>
      <c r="P2" s="6">
        <v>1.1599999999999999</v>
      </c>
      <c r="Q2" s="238">
        <v>1</v>
      </c>
    </row>
    <row r="3" spans="1:17">
      <c r="A3" s="5">
        <v>97410</v>
      </c>
      <c r="B3" s="5" t="s">
        <v>260</v>
      </c>
      <c r="C3" s="3">
        <v>1.1499999999999999</v>
      </c>
      <c r="D3" s="3" t="s">
        <v>473</v>
      </c>
      <c r="E3" s="3" t="s">
        <v>484</v>
      </c>
      <c r="F3" s="5" t="s">
        <v>154</v>
      </c>
      <c r="G3" s="5" t="s">
        <v>493</v>
      </c>
      <c r="H3" s="3">
        <v>1</v>
      </c>
      <c r="I3" s="3">
        <v>93</v>
      </c>
      <c r="J3" s="58" t="s">
        <v>505</v>
      </c>
      <c r="K3" s="3">
        <v>107</v>
      </c>
      <c r="L3" s="58">
        <v>2</v>
      </c>
      <c r="M3" s="59">
        <v>0.4</v>
      </c>
      <c r="O3" s="4" t="s">
        <v>407</v>
      </c>
      <c r="Q3" s="238">
        <v>1.1000000000000001</v>
      </c>
    </row>
    <row r="4" spans="1:17">
      <c r="A4" s="5">
        <v>97411</v>
      </c>
      <c r="B4" s="5" t="s">
        <v>261</v>
      </c>
      <c r="C4" s="3">
        <v>1.1599999999999999</v>
      </c>
      <c r="D4" s="3" t="s">
        <v>474</v>
      </c>
      <c r="E4" s="3" t="s">
        <v>485</v>
      </c>
      <c r="F4" s="5" t="s">
        <v>254</v>
      </c>
      <c r="G4" s="5" t="s">
        <v>494</v>
      </c>
      <c r="J4" s="58" t="s">
        <v>507</v>
      </c>
      <c r="L4" s="58">
        <v>3</v>
      </c>
      <c r="M4" s="59">
        <v>0.2</v>
      </c>
      <c r="O4" s="4" t="s">
        <v>408</v>
      </c>
      <c r="Q4" s="238">
        <v>1.2</v>
      </c>
    </row>
    <row r="5" spans="1:17">
      <c r="A5" s="5">
        <v>97412</v>
      </c>
      <c r="B5" s="5" t="s">
        <v>262</v>
      </c>
      <c r="C5" s="3">
        <v>1.17</v>
      </c>
      <c r="D5" s="3" t="s">
        <v>476</v>
      </c>
      <c r="E5" s="3" t="s">
        <v>486</v>
      </c>
      <c r="F5" s="5" t="s">
        <v>244</v>
      </c>
      <c r="G5" s="5" t="s">
        <v>495</v>
      </c>
      <c r="J5" s="58" t="s">
        <v>508</v>
      </c>
      <c r="L5" s="58">
        <v>4</v>
      </c>
      <c r="M5" s="59">
        <v>0.15</v>
      </c>
      <c r="O5" s="4" t="s">
        <v>409</v>
      </c>
      <c r="Q5" s="238">
        <v>1.3</v>
      </c>
    </row>
    <row r="6" spans="1:17">
      <c r="A6" s="5">
        <v>97413</v>
      </c>
      <c r="B6" s="5" t="s">
        <v>263</v>
      </c>
      <c r="C6" s="3">
        <v>1.17</v>
      </c>
      <c r="F6" s="5" t="s">
        <v>245</v>
      </c>
      <c r="G6" s="5" t="s">
        <v>496</v>
      </c>
      <c r="J6" s="58" t="s">
        <v>509</v>
      </c>
      <c r="L6" s="58">
        <v>5</v>
      </c>
      <c r="M6" s="59">
        <v>0.05</v>
      </c>
      <c r="O6" s="4" t="s">
        <v>412</v>
      </c>
      <c r="Q6" s="238">
        <v>1.4</v>
      </c>
    </row>
    <row r="7" spans="1:17">
      <c r="A7" s="5">
        <v>97414</v>
      </c>
      <c r="B7" s="5" t="s">
        <v>264</v>
      </c>
      <c r="C7" s="3">
        <v>1.18</v>
      </c>
      <c r="F7" s="5" t="s">
        <v>250</v>
      </c>
      <c r="G7" s="5" t="s">
        <v>497</v>
      </c>
      <c r="J7" s="58" t="s">
        <v>510</v>
      </c>
      <c r="O7" s="4" t="s">
        <v>400</v>
      </c>
      <c r="Q7" s="238">
        <v>1.5</v>
      </c>
    </row>
    <row r="8" spans="1:17">
      <c r="A8" s="5">
        <v>97416</v>
      </c>
      <c r="B8" s="5" t="s">
        <v>265</v>
      </c>
      <c r="C8" s="3">
        <v>1.19</v>
      </c>
      <c r="F8" s="5" t="s">
        <v>251</v>
      </c>
      <c r="G8" s="5" t="s">
        <v>498</v>
      </c>
      <c r="J8" s="58" t="s">
        <v>511</v>
      </c>
      <c r="O8" s="4" t="s">
        <v>413</v>
      </c>
      <c r="Q8" s="238">
        <v>1.6</v>
      </c>
    </row>
    <row r="9" spans="1:17">
      <c r="A9" s="5">
        <v>97417</v>
      </c>
      <c r="B9" s="5" t="s">
        <v>266</v>
      </c>
      <c r="C9" s="3">
        <v>1.2</v>
      </c>
      <c r="F9" s="5" t="s">
        <v>252</v>
      </c>
      <c r="G9" s="5" t="s">
        <v>499</v>
      </c>
      <c r="J9" s="58" t="s">
        <v>512</v>
      </c>
      <c r="O9" s="4" t="s">
        <v>410</v>
      </c>
      <c r="Q9" s="238">
        <v>1.7</v>
      </c>
    </row>
    <row r="10" spans="1:17">
      <c r="A10" s="5"/>
      <c r="B10" s="5" t="s">
        <v>267</v>
      </c>
      <c r="C10" s="3">
        <v>1.21</v>
      </c>
      <c r="F10" s="5" t="s">
        <v>253</v>
      </c>
      <c r="G10" s="5" t="s">
        <v>500</v>
      </c>
      <c r="J10" s="58" t="s">
        <v>513</v>
      </c>
      <c r="O10" s="4" t="s">
        <v>411</v>
      </c>
      <c r="Q10" s="238">
        <v>1.8</v>
      </c>
    </row>
    <row r="11" spans="1:17">
      <c r="A11" s="5">
        <v>97419</v>
      </c>
      <c r="B11" s="5" t="s">
        <v>268</v>
      </c>
      <c r="C11" s="3">
        <v>1.22</v>
      </c>
      <c r="F11" s="5" t="s">
        <v>314</v>
      </c>
      <c r="G11" s="5" t="s">
        <v>501</v>
      </c>
      <c r="J11" s="58" t="s">
        <v>514</v>
      </c>
      <c r="Q11" s="238">
        <v>1.9</v>
      </c>
    </row>
    <row r="12" spans="1:17">
      <c r="A12" s="5">
        <v>97420</v>
      </c>
      <c r="B12" s="5" t="s">
        <v>269</v>
      </c>
      <c r="C12" s="3">
        <v>1.23</v>
      </c>
      <c r="F12" s="5" t="s">
        <v>360</v>
      </c>
      <c r="G12" s="5" t="s">
        <v>502</v>
      </c>
      <c r="J12" s="58" t="s">
        <v>515</v>
      </c>
      <c r="Q12" s="238">
        <v>2</v>
      </c>
    </row>
    <row r="13" spans="1:17">
      <c r="A13" s="5">
        <v>97421</v>
      </c>
      <c r="B13" s="5" t="s">
        <v>270</v>
      </c>
      <c r="C13" s="7">
        <v>1.24</v>
      </c>
      <c r="F13" s="5" t="s">
        <v>361</v>
      </c>
      <c r="G13" s="5" t="s">
        <v>503</v>
      </c>
      <c r="J13" s="58" t="s">
        <v>516</v>
      </c>
      <c r="Q13" s="238">
        <v>2.1</v>
      </c>
    </row>
    <row r="14" spans="1:17">
      <c r="A14" s="5">
        <v>97422</v>
      </c>
      <c r="B14" s="5" t="s">
        <v>271</v>
      </c>
      <c r="C14" s="7">
        <v>1.25</v>
      </c>
      <c r="F14" s="5"/>
      <c r="G14" s="5"/>
      <c r="Q14" s="238">
        <v>2.2000000000000002</v>
      </c>
    </row>
    <row r="15" spans="1:17">
      <c r="A15" s="5">
        <v>97423</v>
      </c>
      <c r="B15" s="5" t="s">
        <v>272</v>
      </c>
      <c r="C15" s="3">
        <v>1.26</v>
      </c>
    </row>
    <row r="16" spans="1:17">
      <c r="A16" s="5">
        <v>97424</v>
      </c>
      <c r="B16" s="5" t="s">
        <v>273</v>
      </c>
      <c r="C16" s="7">
        <v>1.27</v>
      </c>
    </row>
    <row r="17" spans="1:3" ht="17.25" customHeight="1">
      <c r="A17" s="5">
        <v>97425</v>
      </c>
      <c r="B17" s="5" t="s">
        <v>274</v>
      </c>
      <c r="C17" s="7">
        <v>1.28</v>
      </c>
    </row>
    <row r="18" spans="1:3">
      <c r="A18" s="5">
        <v>97426</v>
      </c>
      <c r="B18" s="5" t="s">
        <v>275</v>
      </c>
      <c r="C18" s="3">
        <v>1.29</v>
      </c>
    </row>
    <row r="19" spans="1:3">
      <c r="A19" s="5">
        <v>97427</v>
      </c>
      <c r="B19" s="5" t="s">
        <v>276</v>
      </c>
      <c r="C19" s="7">
        <v>1.3</v>
      </c>
    </row>
    <row r="20" spans="1:3">
      <c r="A20" s="5">
        <v>97428</v>
      </c>
      <c r="B20" s="5" t="s">
        <v>277</v>
      </c>
      <c r="C20" s="3">
        <v>1.31</v>
      </c>
    </row>
    <row r="21" spans="1:3">
      <c r="A21" s="5">
        <v>97429</v>
      </c>
      <c r="B21" s="5" t="s">
        <v>278</v>
      </c>
      <c r="C21" s="7">
        <v>1.32</v>
      </c>
    </row>
    <row r="22" spans="1:3">
      <c r="A22" s="5">
        <v>97430</v>
      </c>
      <c r="B22" s="5" t="s">
        <v>279</v>
      </c>
      <c r="C22" s="3">
        <v>1.33</v>
      </c>
    </row>
    <row r="23" spans="1:3">
      <c r="A23" s="5">
        <v>97431</v>
      </c>
      <c r="B23" s="5" t="s">
        <v>280</v>
      </c>
      <c r="C23" s="7">
        <v>1.34</v>
      </c>
    </row>
    <row r="24" spans="1:3">
      <c r="A24" s="5">
        <v>97432</v>
      </c>
      <c r="B24" s="5" t="s">
        <v>281</v>
      </c>
      <c r="C24" s="3">
        <v>1.35</v>
      </c>
    </row>
    <row r="25" spans="1:3">
      <c r="A25" s="5">
        <v>97433</v>
      </c>
      <c r="B25" s="5" t="s">
        <v>282</v>
      </c>
      <c r="C25" s="7">
        <v>1.36</v>
      </c>
    </row>
    <row r="26" spans="1:3">
      <c r="A26" s="5">
        <v>97434</v>
      </c>
      <c r="B26" s="5" t="s">
        <v>283</v>
      </c>
      <c r="C26" s="3">
        <v>1.37</v>
      </c>
    </row>
    <row r="27" spans="1:3">
      <c r="A27" s="5">
        <v>97435</v>
      </c>
      <c r="B27" s="5" t="s">
        <v>284</v>
      </c>
      <c r="C27" s="7">
        <v>1.38</v>
      </c>
    </row>
    <row r="28" spans="1:3">
      <c r="A28" s="5">
        <v>97436</v>
      </c>
      <c r="B28" s="5" t="s">
        <v>285</v>
      </c>
      <c r="C28" s="3">
        <v>1.39</v>
      </c>
    </row>
    <row r="29" spans="1:3">
      <c r="A29" s="5">
        <v>97437</v>
      </c>
      <c r="B29" s="5" t="s">
        <v>286</v>
      </c>
      <c r="C29" s="7">
        <v>1.4</v>
      </c>
    </row>
    <row r="30" spans="1:3">
      <c r="A30" s="5">
        <v>97438</v>
      </c>
      <c r="B30" s="5" t="s">
        <v>287</v>
      </c>
      <c r="C30" s="3">
        <v>1.41</v>
      </c>
    </row>
    <row r="31" spans="1:3">
      <c r="A31" s="5">
        <v>97439</v>
      </c>
      <c r="B31" s="5" t="s">
        <v>288</v>
      </c>
      <c r="C31" s="3">
        <v>1.42</v>
      </c>
    </row>
    <row r="32" spans="1:3">
      <c r="A32" s="5">
        <v>97440</v>
      </c>
      <c r="B32" s="5" t="s">
        <v>289</v>
      </c>
      <c r="C32" s="7">
        <v>1.43</v>
      </c>
    </row>
    <row r="33" spans="1:3">
      <c r="A33" s="5">
        <v>97441</v>
      </c>
      <c r="B33" s="5" t="s">
        <v>290</v>
      </c>
      <c r="C33" s="3">
        <v>1.44</v>
      </c>
    </row>
    <row r="34" spans="1:3">
      <c r="A34" s="5">
        <v>97442</v>
      </c>
      <c r="B34" s="5" t="s">
        <v>291</v>
      </c>
      <c r="C34" s="7">
        <v>1.45</v>
      </c>
    </row>
    <row r="35" spans="1:3">
      <c r="A35" s="5">
        <v>97450</v>
      </c>
      <c r="B35" s="5" t="s">
        <v>292</v>
      </c>
      <c r="C35" s="3">
        <v>1.46</v>
      </c>
    </row>
    <row r="36" spans="1:3">
      <c r="A36" s="5">
        <v>97460</v>
      </c>
      <c r="B36" s="5" t="s">
        <v>293</v>
      </c>
      <c r="C36" s="3">
        <v>1.47</v>
      </c>
    </row>
    <row r="37" spans="1:3">
      <c r="A37" s="5">
        <v>97470</v>
      </c>
      <c r="B37" s="5" t="s">
        <v>294</v>
      </c>
      <c r="C37" s="7">
        <v>1.48</v>
      </c>
    </row>
    <row r="38" spans="1:3">
      <c r="A38" s="5">
        <v>97480</v>
      </c>
      <c r="B38" s="5" t="s">
        <v>295</v>
      </c>
      <c r="C38" s="3">
        <v>1.49</v>
      </c>
    </row>
    <row r="39" spans="1:3">
      <c r="A39" s="5">
        <v>97490</v>
      </c>
      <c r="B39" s="5" t="s">
        <v>296</v>
      </c>
      <c r="C39" s="3">
        <v>1.5</v>
      </c>
    </row>
    <row r="40" spans="1:3">
      <c r="A40" s="5"/>
      <c r="B40" s="5"/>
      <c r="C40" s="7">
        <v>1.51</v>
      </c>
    </row>
    <row r="41" spans="1:3">
      <c r="A41" s="5"/>
      <c r="B41" s="5"/>
      <c r="C41" s="3">
        <v>1.52</v>
      </c>
    </row>
    <row r="42" spans="1:3">
      <c r="A42" s="5"/>
      <c r="B42" s="5"/>
      <c r="C42" s="3">
        <v>1.53</v>
      </c>
    </row>
    <row r="43" spans="1:3">
      <c r="A43" s="5"/>
      <c r="B43" s="5"/>
      <c r="C43" s="7">
        <v>1.54</v>
      </c>
    </row>
    <row r="44" spans="1:3">
      <c r="C44" s="3">
        <v>1.55</v>
      </c>
    </row>
    <row r="45" spans="1:3">
      <c r="C45" s="7">
        <v>1.56</v>
      </c>
    </row>
    <row r="46" spans="1:3">
      <c r="C46" s="3">
        <v>1.57</v>
      </c>
    </row>
    <row r="47" spans="1:3">
      <c r="C47" s="7">
        <v>1.58</v>
      </c>
    </row>
    <row r="48" spans="1:3">
      <c r="C48" s="3">
        <v>1.59</v>
      </c>
    </row>
    <row r="49" spans="3:3">
      <c r="C49" s="7">
        <v>1.6</v>
      </c>
    </row>
    <row r="50" spans="3:3">
      <c r="C50" s="3">
        <v>1.61</v>
      </c>
    </row>
    <row r="51" spans="3:3">
      <c r="C51" s="7">
        <v>1.62</v>
      </c>
    </row>
    <row r="52" spans="3:3">
      <c r="C52" s="3">
        <v>1.63</v>
      </c>
    </row>
    <row r="53" spans="3:3">
      <c r="C53" s="7">
        <v>1.64</v>
      </c>
    </row>
    <row r="54" spans="3:3">
      <c r="C54" s="3">
        <v>1.65</v>
      </c>
    </row>
    <row r="55" spans="3:3">
      <c r="C55" s="7">
        <v>1.66</v>
      </c>
    </row>
    <row r="56" spans="3:3">
      <c r="C56" s="3">
        <v>1.67</v>
      </c>
    </row>
    <row r="57" spans="3:3">
      <c r="C57" s="7">
        <v>1.68</v>
      </c>
    </row>
    <row r="58" spans="3:3">
      <c r="C58" s="3">
        <v>1.69</v>
      </c>
    </row>
    <row r="59" spans="3:3">
      <c r="C59" s="3">
        <v>1.7</v>
      </c>
    </row>
    <row r="60" spans="3:3">
      <c r="C60" s="7"/>
    </row>
    <row r="62" spans="3:3">
      <c r="C62" s="7"/>
    </row>
  </sheetData>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10"/>
  <sheetViews>
    <sheetView zoomScaleNormal="100" workbookViewId="0">
      <pane ySplit="1" topLeftCell="A2" activePane="bottomLeft" state="frozen"/>
      <selection pane="bottomLeft" activeCell="D17" sqref="D17"/>
    </sheetView>
  </sheetViews>
  <sheetFormatPr baseColWidth="10" defaultRowHeight="12.75"/>
  <cols>
    <col min="1" max="4" width="11.7109375" style="231" customWidth="1"/>
    <col min="5" max="5" width="9.5703125" style="236" customWidth="1"/>
    <col min="6" max="6" width="14.85546875" style="231" customWidth="1"/>
    <col min="7" max="10" width="11.7109375" style="231" customWidth="1"/>
    <col min="11" max="11" width="8.7109375" style="231" customWidth="1"/>
    <col min="12" max="12" width="6.7109375" style="231" customWidth="1"/>
    <col min="13" max="15" width="11.7109375" style="231" customWidth="1"/>
    <col min="16" max="19" width="11.42578125" style="231"/>
    <col min="20" max="20" width="5.28515625" style="231" customWidth="1"/>
    <col min="21" max="16384" width="11.42578125" style="231"/>
  </cols>
  <sheetData>
    <row r="1" spans="1:17" s="224" customFormat="1">
      <c r="A1" s="221" t="s">
        <v>727</v>
      </c>
      <c r="B1" s="222" t="s">
        <v>306</v>
      </c>
      <c r="C1" s="222" t="s">
        <v>307</v>
      </c>
      <c r="D1" s="222" t="s">
        <v>728</v>
      </c>
      <c r="E1" s="222" t="s">
        <v>309</v>
      </c>
      <c r="F1" s="222" t="s">
        <v>308</v>
      </c>
      <c r="G1" s="222" t="s">
        <v>729</v>
      </c>
      <c r="H1" s="222" t="s">
        <v>730</v>
      </c>
      <c r="I1" s="222" t="s">
        <v>401</v>
      </c>
      <c r="J1" s="222" t="s">
        <v>402</v>
      </c>
      <c r="K1" s="222" t="s">
        <v>403</v>
      </c>
      <c r="L1" s="222" t="s">
        <v>310</v>
      </c>
      <c r="M1" s="222" t="s">
        <v>311</v>
      </c>
      <c r="N1" s="222" t="s">
        <v>404</v>
      </c>
      <c r="O1" s="222" t="s">
        <v>731</v>
      </c>
      <c r="P1" s="223" t="s">
        <v>405</v>
      </c>
      <c r="Q1" s="222" t="s">
        <v>732</v>
      </c>
    </row>
    <row r="2" spans="1:17">
      <c r="A2" s="225" t="s">
        <v>733</v>
      </c>
      <c r="B2" s="226" t="s">
        <v>417</v>
      </c>
      <c r="C2" s="226" t="s">
        <v>734</v>
      </c>
      <c r="D2" s="226" t="s">
        <v>418</v>
      </c>
      <c r="E2" s="227">
        <v>97400</v>
      </c>
      <c r="F2" s="226" t="s">
        <v>259</v>
      </c>
      <c r="G2" s="226" t="s">
        <v>735</v>
      </c>
      <c r="H2" s="226" t="s">
        <v>259</v>
      </c>
      <c r="I2" s="226">
        <v>693826382</v>
      </c>
      <c r="J2" s="226" t="s">
        <v>736</v>
      </c>
      <c r="K2" s="226" t="s">
        <v>737</v>
      </c>
      <c r="L2" s="226">
        <v>540</v>
      </c>
      <c r="M2" s="226" t="s">
        <v>738</v>
      </c>
      <c r="N2" s="228">
        <v>42907</v>
      </c>
      <c r="O2" s="226" t="s">
        <v>406</v>
      </c>
      <c r="P2" s="229" t="s">
        <v>739</v>
      </c>
      <c r="Q2" s="230">
        <v>43334</v>
      </c>
    </row>
    <row r="3" spans="1:17">
      <c r="A3" s="232" t="s">
        <v>740</v>
      </c>
      <c r="B3" s="233" t="s">
        <v>419</v>
      </c>
      <c r="C3" s="226" t="s">
        <v>420</v>
      </c>
      <c r="D3" s="226" t="s">
        <v>439</v>
      </c>
      <c r="E3" s="227">
        <v>97460</v>
      </c>
      <c r="F3" s="226" t="s">
        <v>293</v>
      </c>
      <c r="G3" s="226" t="s">
        <v>741</v>
      </c>
      <c r="H3" s="226" t="s">
        <v>261</v>
      </c>
      <c r="I3" s="226">
        <v>692589547</v>
      </c>
      <c r="J3" s="226" t="s">
        <v>421</v>
      </c>
      <c r="K3" s="226" t="s">
        <v>422</v>
      </c>
      <c r="L3" s="226">
        <v>400</v>
      </c>
      <c r="M3" s="226" t="s">
        <v>438</v>
      </c>
      <c r="N3" s="228">
        <v>42542</v>
      </c>
      <c r="O3" s="226" t="s">
        <v>412</v>
      </c>
      <c r="P3" s="229"/>
      <c r="Q3" s="230">
        <v>43335</v>
      </c>
    </row>
    <row r="4" spans="1:17">
      <c r="A4" s="232" t="s">
        <v>437</v>
      </c>
      <c r="B4" s="226" t="s">
        <v>423</v>
      </c>
      <c r="C4" s="226" t="s">
        <v>424</v>
      </c>
      <c r="D4" s="226" t="s">
        <v>418</v>
      </c>
      <c r="E4" s="227">
        <v>97440</v>
      </c>
      <c r="F4" s="226" t="s">
        <v>289</v>
      </c>
      <c r="G4" s="226" t="s">
        <v>426</v>
      </c>
      <c r="H4" s="226" t="s">
        <v>427</v>
      </c>
      <c r="I4" s="227">
        <v>692156074</v>
      </c>
      <c r="J4" s="226" t="s">
        <v>425</v>
      </c>
      <c r="K4" s="226" t="s">
        <v>429</v>
      </c>
      <c r="L4" s="227">
        <v>500</v>
      </c>
      <c r="M4" s="226" t="s">
        <v>428</v>
      </c>
      <c r="N4" s="228">
        <v>43141</v>
      </c>
      <c r="O4" s="226" t="s">
        <v>409</v>
      </c>
      <c r="P4" s="229" t="s">
        <v>255</v>
      </c>
      <c r="Q4" s="230">
        <v>43336</v>
      </c>
    </row>
    <row r="5" spans="1:17">
      <c r="A5" s="232" t="s">
        <v>470</v>
      </c>
      <c r="B5" s="226" t="s">
        <v>431</v>
      </c>
      <c r="C5" s="226" t="s">
        <v>432</v>
      </c>
      <c r="D5" s="226" t="s">
        <v>430</v>
      </c>
      <c r="E5" s="227">
        <v>97450</v>
      </c>
      <c r="F5" s="226" t="s">
        <v>292</v>
      </c>
      <c r="G5" s="226" t="s">
        <v>434</v>
      </c>
      <c r="H5" s="226" t="s">
        <v>286</v>
      </c>
      <c r="I5" s="227">
        <v>692727287</v>
      </c>
      <c r="J5" s="226" t="s">
        <v>433</v>
      </c>
      <c r="K5" s="226" t="s">
        <v>435</v>
      </c>
      <c r="L5" s="226">
        <v>600</v>
      </c>
      <c r="M5" s="226" t="s">
        <v>436</v>
      </c>
      <c r="N5" s="228">
        <v>41812</v>
      </c>
      <c r="O5" s="226" t="s">
        <v>412</v>
      </c>
      <c r="P5" s="229" t="s">
        <v>255</v>
      </c>
      <c r="Q5" s="230">
        <v>43337</v>
      </c>
    </row>
    <row r="6" spans="1:17">
      <c r="A6" s="232" t="s">
        <v>468</v>
      </c>
      <c r="B6" s="226" t="s">
        <v>440</v>
      </c>
      <c r="C6" s="226" t="s">
        <v>441</v>
      </c>
      <c r="D6" s="226" t="s">
        <v>442</v>
      </c>
      <c r="E6" s="227">
        <v>97450</v>
      </c>
      <c r="F6" s="226" t="s">
        <v>292</v>
      </c>
      <c r="G6" s="226" t="s">
        <v>444</v>
      </c>
      <c r="H6" s="226" t="s">
        <v>293</v>
      </c>
      <c r="I6" s="226">
        <v>693584612</v>
      </c>
      <c r="J6" s="226" t="s">
        <v>443</v>
      </c>
      <c r="K6" s="226" t="s">
        <v>445</v>
      </c>
      <c r="L6" s="226">
        <v>600</v>
      </c>
      <c r="M6" s="226" t="s">
        <v>446</v>
      </c>
      <c r="N6" s="228">
        <v>42492</v>
      </c>
      <c r="O6" s="226" t="s">
        <v>408</v>
      </c>
      <c r="P6" s="229"/>
      <c r="Q6" s="230">
        <v>43338</v>
      </c>
    </row>
    <row r="7" spans="1:17">
      <c r="A7" s="232" t="s">
        <v>460</v>
      </c>
      <c r="B7" s="226" t="s">
        <v>417</v>
      </c>
      <c r="C7" s="226" t="s">
        <v>447</v>
      </c>
      <c r="D7" s="226" t="s">
        <v>448</v>
      </c>
      <c r="E7" s="227">
        <v>97440</v>
      </c>
      <c r="F7" s="226" t="s">
        <v>289</v>
      </c>
      <c r="G7" s="226" t="s">
        <v>450</v>
      </c>
      <c r="H7" s="226" t="s">
        <v>283</v>
      </c>
      <c r="I7" s="227">
        <v>692747641</v>
      </c>
      <c r="J7" s="226" t="s">
        <v>449</v>
      </c>
      <c r="K7" s="233" t="s">
        <v>451</v>
      </c>
      <c r="L7" s="233">
        <v>650</v>
      </c>
      <c r="M7" s="226" t="s">
        <v>452</v>
      </c>
      <c r="N7" s="228">
        <v>43079</v>
      </c>
      <c r="O7" s="226" t="s">
        <v>408</v>
      </c>
      <c r="P7" s="229" t="s">
        <v>482</v>
      </c>
      <c r="Q7" s="230">
        <v>43339</v>
      </c>
    </row>
    <row r="8" spans="1:17">
      <c r="A8" s="232" t="s">
        <v>459</v>
      </c>
      <c r="B8" s="226" t="s">
        <v>453</v>
      </c>
      <c r="C8" s="226" t="s">
        <v>454</v>
      </c>
      <c r="D8" s="226" t="s">
        <v>455</v>
      </c>
      <c r="E8" s="227">
        <v>97440</v>
      </c>
      <c r="F8" s="226" t="s">
        <v>289</v>
      </c>
      <c r="G8" s="226" t="s">
        <v>456</v>
      </c>
      <c r="H8" s="226" t="s">
        <v>289</v>
      </c>
      <c r="I8" s="227">
        <v>692727283</v>
      </c>
      <c r="J8" s="226" t="s">
        <v>458</v>
      </c>
      <c r="K8" s="226" t="s">
        <v>457</v>
      </c>
      <c r="L8" s="227">
        <v>750</v>
      </c>
      <c r="M8" s="226" t="s">
        <v>440</v>
      </c>
      <c r="N8" s="228">
        <v>43006</v>
      </c>
      <c r="O8" s="226" t="s">
        <v>407</v>
      </c>
      <c r="P8" s="229" t="s">
        <v>481</v>
      </c>
      <c r="Q8" s="230">
        <v>43340</v>
      </c>
    </row>
    <row r="9" spans="1:17">
      <c r="A9" s="232" t="s">
        <v>471</v>
      </c>
      <c r="B9" s="226" t="s">
        <v>461</v>
      </c>
      <c r="C9" s="226" t="s">
        <v>462</v>
      </c>
      <c r="D9" s="226" t="s">
        <v>463</v>
      </c>
      <c r="E9" s="227">
        <v>97460</v>
      </c>
      <c r="F9" s="226" t="s">
        <v>293</v>
      </c>
      <c r="G9" s="226" t="s">
        <v>465</v>
      </c>
      <c r="H9" s="226" t="s">
        <v>260</v>
      </c>
      <c r="I9" s="227">
        <v>698452531</v>
      </c>
      <c r="J9" s="226" t="s">
        <v>464</v>
      </c>
      <c r="K9" s="226" t="s">
        <v>466</v>
      </c>
      <c r="L9" s="227">
        <v>252</v>
      </c>
      <c r="M9" s="226" t="s">
        <v>467</v>
      </c>
      <c r="N9" s="228">
        <v>43242</v>
      </c>
      <c r="O9" s="226" t="s">
        <v>406</v>
      </c>
      <c r="P9" s="229" t="s">
        <v>469</v>
      </c>
      <c r="Q9" s="230">
        <v>43341</v>
      </c>
    </row>
    <row r="10" spans="1:17">
      <c r="A10" s="234"/>
      <c r="B10" s="234"/>
      <c r="C10" s="234"/>
      <c r="D10" s="234"/>
      <c r="E10" s="235"/>
      <c r="F10" s="234"/>
      <c r="G10" s="234"/>
      <c r="H10" s="234"/>
      <c r="I10" s="234"/>
      <c r="J10" s="234"/>
      <c r="K10" s="234"/>
      <c r="L10" s="234"/>
      <c r="M10" s="234"/>
      <c r="N10" s="234"/>
      <c r="O10" s="23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
  <dimension ref="A1:XEJ42"/>
  <sheetViews>
    <sheetView showGridLines="0" zoomScale="75" workbookViewId="0">
      <selection activeCell="I5" sqref="I5"/>
    </sheetView>
  </sheetViews>
  <sheetFormatPr baseColWidth="10" defaultRowHeight="16.5"/>
  <cols>
    <col min="1" max="1" width="8" style="109" customWidth="1"/>
    <col min="2" max="2" width="15" style="109" customWidth="1"/>
    <col min="3" max="3" width="9.28515625" style="109" customWidth="1"/>
    <col min="4" max="4" width="8" style="109" customWidth="1"/>
    <col min="5" max="5" width="24" style="110" customWidth="1"/>
    <col min="6" max="6" width="23.5703125" style="110" customWidth="1"/>
    <col min="7" max="7" width="24.140625" style="110" customWidth="1"/>
    <col min="8" max="8" width="25.140625" style="110" customWidth="1"/>
    <col min="9" max="9" width="23.140625" style="110" customWidth="1"/>
    <col min="10" max="10" width="22.42578125" style="110" customWidth="1"/>
    <col min="11" max="11" width="9.140625" style="109" customWidth="1"/>
    <col min="12" max="13" width="13.7109375" style="109" customWidth="1"/>
    <col min="14" max="14" width="10.85546875" style="109" customWidth="1"/>
    <col min="15" max="656" width="0" style="109" hidden="1" customWidth="1"/>
    <col min="657" max="677" width="11.42578125" style="109" hidden="1" customWidth="1"/>
    <col min="678" max="1245" width="0" style="109" hidden="1" customWidth="1"/>
    <col min="1246" max="1266" width="11.42578125" style="109" hidden="1" customWidth="1"/>
    <col min="1267" max="2900" width="0" style="109" hidden="1" customWidth="1"/>
    <col min="2901" max="2921" width="11.42578125" style="109" hidden="1" customWidth="1"/>
    <col min="2922" max="3489" width="0" style="109" hidden="1" customWidth="1"/>
    <col min="3490" max="3510" width="11.42578125" style="109" hidden="1" customWidth="1"/>
    <col min="3511" max="5144" width="0" style="109" hidden="1" customWidth="1"/>
    <col min="5145" max="5165" width="11.42578125" style="109" hidden="1" customWidth="1"/>
    <col min="5166" max="5733" width="0" style="109" hidden="1" customWidth="1"/>
    <col min="5734" max="5754" width="11.42578125" style="109" hidden="1" customWidth="1"/>
    <col min="5755" max="7388" width="0" style="109" hidden="1" customWidth="1"/>
    <col min="7389" max="7409" width="11.42578125" style="109" hidden="1" customWidth="1"/>
    <col min="7410" max="7977" width="0" style="109" hidden="1" customWidth="1"/>
    <col min="7978" max="7998" width="11.42578125" style="109" hidden="1" customWidth="1"/>
    <col min="7999" max="9632" width="0" style="109" hidden="1" customWidth="1"/>
    <col min="9633" max="9653" width="11.42578125" style="109" hidden="1" customWidth="1"/>
    <col min="9654" max="10221" width="0" style="109" hidden="1" customWidth="1"/>
    <col min="10222" max="10242" width="11.42578125" style="109" hidden="1" customWidth="1"/>
    <col min="10243" max="11876" width="0" style="109" hidden="1" customWidth="1"/>
    <col min="11877" max="11897" width="11.42578125" style="109" hidden="1" customWidth="1"/>
    <col min="11898" max="12465" width="0" style="109" hidden="1" customWidth="1"/>
    <col min="12466" max="12486" width="11.42578125" style="109" hidden="1" customWidth="1"/>
    <col min="12487" max="14120" width="0" style="109" hidden="1" customWidth="1"/>
    <col min="14121" max="14141" width="11.42578125" style="109" hidden="1" customWidth="1"/>
    <col min="14142" max="14709" width="0" style="109" hidden="1" customWidth="1"/>
    <col min="14710" max="14730" width="11.42578125" style="109" hidden="1" customWidth="1"/>
    <col min="14731" max="16364" width="0" style="109" hidden="1" customWidth="1"/>
    <col min="16365" max="16384" width="11.42578125" style="109" hidden="1" customWidth="1"/>
  </cols>
  <sheetData>
    <row r="1" spans="4:10" ht="45" customHeight="1"/>
    <row r="2" spans="4:10" ht="28.5" customHeight="1">
      <c r="E2" s="172" t="s">
        <v>2</v>
      </c>
      <c r="F2" s="177" t="s">
        <v>110</v>
      </c>
      <c r="G2" s="178"/>
      <c r="H2" s="179" t="s">
        <v>3</v>
      </c>
      <c r="I2" s="180"/>
      <c r="J2" s="164" t="s">
        <v>4</v>
      </c>
    </row>
    <row r="3" spans="4:10" ht="25.5" customHeight="1">
      <c r="E3" s="173"/>
      <c r="F3" s="174" t="s">
        <v>111</v>
      </c>
      <c r="G3" s="176" t="s">
        <v>112</v>
      </c>
      <c r="H3" s="111" t="s">
        <v>113</v>
      </c>
      <c r="I3" s="112" t="s">
        <v>114</v>
      </c>
      <c r="J3" s="165"/>
    </row>
    <row r="4" spans="4:10" ht="26.25" customHeight="1">
      <c r="E4" s="173"/>
      <c r="F4" s="175"/>
      <c r="G4" s="165"/>
      <c r="H4" s="113" t="s">
        <v>115</v>
      </c>
      <c r="I4" s="114" t="s">
        <v>115</v>
      </c>
      <c r="J4" s="165"/>
    </row>
    <row r="5" spans="4:10" ht="36" customHeight="1">
      <c r="E5" s="115" t="e">
        <f>BD_ET_PR!#REF!</f>
        <v>#REF!</v>
      </c>
      <c r="F5" s="134">
        <v>1.05</v>
      </c>
      <c r="G5" s="135">
        <v>1.05</v>
      </c>
      <c r="H5" s="134">
        <v>1.05</v>
      </c>
      <c r="I5" s="135">
        <v>1.02</v>
      </c>
      <c r="J5" s="239">
        <v>1.3</v>
      </c>
    </row>
    <row r="6" spans="4:10">
      <c r="E6" s="116"/>
      <c r="F6" s="116"/>
      <c r="G6" s="116"/>
      <c r="H6" s="116"/>
      <c r="I6" s="116"/>
      <c r="J6" s="116"/>
    </row>
    <row r="7" spans="4:10" ht="21.75" customHeight="1">
      <c r="D7" s="117"/>
      <c r="E7" s="171"/>
      <c r="F7" s="171"/>
      <c r="G7" s="171"/>
      <c r="H7" s="167"/>
      <c r="I7" s="167"/>
      <c r="J7" s="167"/>
    </row>
    <row r="8" spans="4:10" ht="18">
      <c r="D8" s="117"/>
      <c r="E8" s="118"/>
      <c r="F8" s="119"/>
      <c r="G8" s="120"/>
      <c r="H8" s="168"/>
      <c r="I8" s="169"/>
      <c r="J8" s="169"/>
    </row>
    <row r="9" spans="4:10" ht="18">
      <c r="D9" s="117"/>
      <c r="E9" s="118"/>
      <c r="F9" s="163"/>
      <c r="G9" s="163"/>
      <c r="H9" s="168"/>
      <c r="I9" s="169"/>
      <c r="J9" s="169"/>
    </row>
    <row r="10" spans="4:10" ht="18">
      <c r="D10" s="117"/>
      <c r="E10" s="118"/>
      <c r="F10" s="163"/>
      <c r="G10" s="163"/>
      <c r="H10" s="166"/>
      <c r="I10" s="166"/>
      <c r="J10" s="166"/>
    </row>
    <row r="11" spans="4:10" ht="18">
      <c r="E11" s="120"/>
      <c r="F11" s="162"/>
      <c r="G11" s="162"/>
      <c r="H11" s="166"/>
      <c r="I11" s="166"/>
      <c r="J11" s="166"/>
    </row>
    <row r="12" spans="4:10">
      <c r="E12" s="116"/>
      <c r="F12" s="116"/>
      <c r="G12" s="116"/>
      <c r="H12" s="116"/>
      <c r="I12" s="116"/>
      <c r="J12" s="116"/>
    </row>
    <row r="13" spans="4:10" ht="32.25" customHeight="1">
      <c r="E13" s="121"/>
      <c r="F13" s="121"/>
      <c r="G13" s="121"/>
      <c r="H13" s="121"/>
      <c r="I13" s="121"/>
      <c r="J13" s="122"/>
    </row>
    <row r="14" spans="4:10" ht="30.75" customHeight="1">
      <c r="E14" s="123"/>
      <c r="F14" s="123"/>
      <c r="G14" s="123"/>
      <c r="H14" s="123"/>
      <c r="I14" s="123"/>
      <c r="J14" s="123"/>
    </row>
    <row r="16" spans="4:10">
      <c r="E16" s="170"/>
      <c r="F16" s="170"/>
      <c r="G16" s="170"/>
      <c r="H16" s="170"/>
      <c r="I16" s="170"/>
      <c r="J16" s="170"/>
    </row>
    <row r="17" spans="4:11">
      <c r="E17" s="124"/>
      <c r="F17" s="124"/>
    </row>
    <row r="18" spans="4:11">
      <c r="D18" s="125"/>
      <c r="E18" s="126"/>
      <c r="F18" s="127"/>
      <c r="G18" s="128"/>
      <c r="H18" s="129"/>
      <c r="I18" s="129"/>
      <c r="J18" s="129"/>
      <c r="K18" s="129"/>
    </row>
    <row r="19" spans="4:11">
      <c r="D19" s="125"/>
      <c r="E19" s="130"/>
      <c r="F19" s="160"/>
      <c r="G19" s="160"/>
      <c r="H19" s="129"/>
      <c r="I19" s="161"/>
      <c r="J19" s="161"/>
      <c r="K19" s="129"/>
    </row>
    <row r="20" spans="4:11">
      <c r="D20" s="125"/>
      <c r="E20" s="130"/>
      <c r="F20" s="128"/>
      <c r="G20" s="128"/>
      <c r="H20" s="129"/>
      <c r="I20" s="161"/>
      <c r="J20" s="161"/>
      <c r="K20" s="129"/>
    </row>
    <row r="21" spans="4:11">
      <c r="E21" s="131"/>
      <c r="F21" s="132"/>
      <c r="G21" s="133"/>
      <c r="H21" s="133"/>
      <c r="I21" s="133"/>
      <c r="J21" s="133"/>
    </row>
    <row r="22" spans="4:11">
      <c r="E22" s="131"/>
      <c r="F22" s="132"/>
      <c r="G22" s="133"/>
      <c r="H22" s="133"/>
      <c r="I22" s="133"/>
      <c r="J22" s="133"/>
    </row>
    <row r="23" spans="4:11">
      <c r="E23" s="131"/>
      <c r="F23" s="132"/>
      <c r="G23" s="133"/>
      <c r="H23" s="133"/>
      <c r="I23" s="133"/>
      <c r="J23" s="133"/>
    </row>
    <row r="24" spans="4:11">
      <c r="E24" s="131"/>
      <c r="F24" s="132"/>
      <c r="G24" s="133"/>
      <c r="H24" s="133"/>
      <c r="I24" s="133"/>
      <c r="J24" s="133"/>
    </row>
    <row r="25" spans="4:11">
      <c r="E25" s="131"/>
      <c r="F25" s="132"/>
      <c r="G25" s="133"/>
      <c r="H25" s="133"/>
      <c r="I25" s="133"/>
      <c r="J25" s="133"/>
    </row>
    <row r="26" spans="4:11">
      <c r="E26" s="131"/>
      <c r="F26" s="132"/>
      <c r="G26" s="133"/>
      <c r="H26" s="133"/>
      <c r="I26" s="133"/>
      <c r="J26" s="133"/>
    </row>
    <row r="27" spans="4:11">
      <c r="E27" s="131"/>
      <c r="F27" s="132"/>
      <c r="G27" s="133"/>
      <c r="H27" s="133"/>
      <c r="I27" s="133"/>
      <c r="J27" s="133"/>
    </row>
    <row r="28" spans="4:11">
      <c r="E28" s="131"/>
      <c r="F28" s="132"/>
      <c r="G28" s="133"/>
      <c r="H28" s="133"/>
      <c r="I28" s="133"/>
      <c r="J28" s="133"/>
    </row>
    <row r="29" spans="4:11">
      <c r="E29" s="131"/>
      <c r="F29" s="132"/>
      <c r="G29" s="133"/>
      <c r="H29" s="133"/>
      <c r="I29" s="133"/>
      <c r="J29" s="133"/>
    </row>
    <row r="30" spans="4:11">
      <c r="E30" s="109"/>
      <c r="F30" s="131"/>
      <c r="G30" s="132"/>
      <c r="H30" s="133"/>
      <c r="I30" s="133"/>
      <c r="J30" s="133"/>
      <c r="K30" s="133"/>
    </row>
    <row r="31" spans="4:11">
      <c r="E31" s="109"/>
      <c r="F31" s="131"/>
      <c r="G31" s="132"/>
      <c r="H31" s="133"/>
      <c r="I31" s="133"/>
      <c r="J31" s="133"/>
      <c r="K31" s="133"/>
    </row>
    <row r="32" spans="4:11">
      <c r="E32" s="109"/>
      <c r="F32" s="131"/>
      <c r="G32" s="132"/>
      <c r="H32" s="133"/>
      <c r="I32" s="133"/>
      <c r="J32" s="133"/>
      <c r="K32" s="133"/>
    </row>
    <row r="33" spans="5:11">
      <c r="E33" s="109"/>
      <c r="F33" s="131"/>
      <c r="G33" s="132"/>
      <c r="H33" s="133"/>
      <c r="I33" s="133"/>
      <c r="J33" s="133"/>
      <c r="K33" s="133"/>
    </row>
    <row r="34" spans="5:11">
      <c r="E34" s="109"/>
      <c r="F34" s="131"/>
      <c r="G34" s="132"/>
      <c r="H34" s="133"/>
      <c r="I34" s="133"/>
      <c r="J34" s="133"/>
      <c r="K34" s="133"/>
    </row>
    <row r="35" spans="5:11">
      <c r="E35" s="109"/>
      <c r="F35" s="131"/>
      <c r="G35" s="132"/>
      <c r="H35" s="133"/>
      <c r="I35" s="133"/>
      <c r="J35" s="133"/>
      <c r="K35" s="133"/>
    </row>
    <row r="36" spans="5:11">
      <c r="E36" s="109"/>
      <c r="F36" s="131"/>
      <c r="G36" s="132"/>
      <c r="H36" s="133"/>
      <c r="I36" s="133"/>
      <c r="J36" s="133"/>
      <c r="K36" s="133"/>
    </row>
    <row r="37" spans="5:11">
      <c r="E37" s="131"/>
      <c r="F37" s="132"/>
      <c r="G37" s="133"/>
      <c r="H37" s="133"/>
      <c r="I37" s="133"/>
      <c r="J37" s="133"/>
    </row>
    <row r="38" spans="5:11">
      <c r="E38" s="131"/>
      <c r="F38" s="132"/>
      <c r="G38" s="133"/>
      <c r="H38" s="133"/>
      <c r="I38" s="133"/>
      <c r="J38" s="133"/>
    </row>
    <row r="39" spans="5:11">
      <c r="E39" s="131"/>
      <c r="F39" s="132"/>
      <c r="G39" s="133"/>
      <c r="H39" s="133"/>
      <c r="I39" s="133"/>
      <c r="J39" s="133"/>
    </row>
    <row r="40" spans="5:11">
      <c r="E40" s="131"/>
      <c r="F40" s="132"/>
      <c r="G40" s="133"/>
      <c r="H40" s="133"/>
      <c r="I40" s="133"/>
      <c r="J40" s="133"/>
    </row>
    <row r="41" spans="5:11">
      <c r="E41" s="131"/>
      <c r="F41" s="132"/>
      <c r="G41" s="133"/>
      <c r="H41" s="133"/>
      <c r="I41" s="133"/>
      <c r="J41" s="133"/>
    </row>
    <row r="42" spans="5:11">
      <c r="E42" s="131"/>
      <c r="F42" s="132"/>
      <c r="G42" s="133"/>
      <c r="H42" s="133"/>
      <c r="I42" s="133"/>
      <c r="J42" s="133"/>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4.xml><?xml version="1.0" encoding="utf-8"?>
<worksheet xmlns="http://schemas.openxmlformats.org/spreadsheetml/2006/main" xmlns:r="http://schemas.openxmlformats.org/officeDocument/2006/relationships">
  <sheetPr codeName="Feuil7">
    <tabColor theme="3"/>
  </sheetPr>
  <dimension ref="A2:XFC263"/>
  <sheetViews>
    <sheetView showGridLines="0" zoomScale="91" zoomScaleNormal="91" workbookViewId="0">
      <pane ySplit="21" topLeftCell="A22" activePane="bottomLeft" state="frozen"/>
      <selection activeCell="E16" sqref="E16"/>
      <selection pane="bottomLeft" activeCell="E16" sqref="E16"/>
    </sheetView>
  </sheetViews>
  <sheetFormatPr baseColWidth="10" defaultColWidth="0" defaultRowHeight="12.75"/>
  <cols>
    <col min="1" max="1" width="5.140625" style="2" customWidth="1"/>
    <col min="2" max="2" width="12.140625" style="2" customWidth="1"/>
    <col min="3" max="3" width="12.7109375" style="2" customWidth="1"/>
    <col min="4" max="4" width="18.28515625" style="2" customWidth="1"/>
    <col min="5" max="5" width="15.28515625" style="2" customWidth="1"/>
    <col min="6" max="6" width="12.42578125" style="2" customWidth="1"/>
    <col min="7" max="7" width="11" style="2" customWidth="1"/>
    <col min="8" max="8" width="14" style="2" customWidth="1"/>
    <col min="9" max="9" width="1.7109375" style="2" customWidth="1"/>
    <col min="10" max="10" width="8.7109375" style="2" customWidth="1"/>
    <col min="11" max="12" width="8.5703125" style="2" customWidth="1"/>
    <col min="13" max="14636" width="1.42578125" style="2" hidden="1"/>
    <col min="14637" max="14637" width="3.5703125" style="2" hidden="1"/>
    <col min="14638" max="14638" width="0.5703125" style="2" hidden="1"/>
    <col min="14639" max="14927" width="1.42578125" style="2" hidden="1"/>
    <col min="14928" max="14928" width="3.5703125" style="2" hidden="1"/>
    <col min="14929" max="14929" width="0.5703125" style="2" hidden="1"/>
    <col min="14930" max="15218" width="1.42578125" style="2" hidden="1"/>
    <col min="15219" max="15219" width="3.5703125" style="2" hidden="1"/>
    <col min="15220" max="15220" width="0.5703125" style="2" hidden="1"/>
    <col min="15221" max="15509" width="1.42578125" style="2" hidden="1"/>
    <col min="15510" max="15510" width="3.5703125" style="2" hidden="1"/>
    <col min="15511" max="15511" width="0.5703125" style="2" hidden="1"/>
    <col min="15512" max="15800" width="1.42578125" style="2" hidden="1"/>
    <col min="15801" max="15801" width="3.5703125" style="2" hidden="1"/>
    <col min="15802" max="15802" width="0.5703125" style="2" hidden="1"/>
    <col min="15803" max="16091" width="1.42578125" style="2" hidden="1"/>
    <col min="16092" max="16092" width="3.5703125" style="2" hidden="1"/>
    <col min="16093" max="16093" width="0.5703125" style="2" hidden="1"/>
    <col min="16094" max="16381" width="1.42578125" style="2" hidden="1"/>
    <col min="16382" max="16382" width="4.7109375" style="2" hidden="1"/>
    <col min="16383" max="16383" width="7.85546875" style="2" hidden="1"/>
    <col min="16384" max="16384" width="5.28515625" style="2" hidden="1"/>
  </cols>
  <sheetData>
    <row r="2" spans="1:9">
      <c r="F2" s="16" t="s">
        <v>379</v>
      </c>
      <c r="G2" s="183">
        <f ca="1">NOW()</f>
        <v>43308.805415509261</v>
      </c>
      <c r="H2" s="183"/>
    </row>
    <row r="3" spans="1:9" ht="44.25" customHeight="1">
      <c r="A3" s="1"/>
      <c r="B3" s="1"/>
      <c r="C3" s="1"/>
      <c r="D3" s="1"/>
      <c r="E3" s="1"/>
      <c r="G3" s="15"/>
    </row>
    <row r="4" spans="1:9" ht="12.95" customHeight="1">
      <c r="A4" s="1"/>
      <c r="B4" s="47" t="s">
        <v>316</v>
      </c>
      <c r="C4" s="1"/>
      <c r="D4" s="1"/>
      <c r="E4" s="56" t="s">
        <v>385</v>
      </c>
      <c r="F4" s="192" t="s">
        <v>388</v>
      </c>
      <c r="G4" s="193"/>
      <c r="H4" s="194"/>
    </row>
    <row r="5" spans="1:9" ht="12.95" customHeight="1">
      <c r="A5" s="1"/>
      <c r="B5" s="47" t="s">
        <v>315</v>
      </c>
      <c r="C5" s="1"/>
      <c r="D5" s="1"/>
      <c r="E5" s="56" t="s">
        <v>383</v>
      </c>
      <c r="F5" s="21" t="s">
        <v>389</v>
      </c>
      <c r="G5" s="49" t="s">
        <v>472</v>
      </c>
      <c r="H5" s="50"/>
    </row>
    <row r="6" spans="1:9" ht="12.95" customHeight="1">
      <c r="A6" s="1"/>
      <c r="B6" s="48" t="s">
        <v>491</v>
      </c>
      <c r="C6" s="1"/>
      <c r="D6" s="1"/>
      <c r="E6" s="56"/>
      <c r="F6" s="22" t="s">
        <v>381</v>
      </c>
      <c r="G6" s="107" t="s">
        <v>478</v>
      </c>
      <c r="H6" s="61"/>
    </row>
    <row r="7" spans="1:9" ht="12.95" customHeight="1">
      <c r="A7" s="1"/>
      <c r="B7" s="47" t="s">
        <v>369</v>
      </c>
      <c r="C7" s="1"/>
      <c r="D7" s="1"/>
      <c r="E7" s="10"/>
      <c r="F7" s="9" t="s">
        <v>308</v>
      </c>
      <c r="G7" s="190" t="s">
        <v>479</v>
      </c>
      <c r="H7" s="191"/>
    </row>
    <row r="8" spans="1:9" ht="12.95" customHeight="1">
      <c r="A8" s="12"/>
      <c r="B8" s="47" t="s">
        <v>368</v>
      </c>
      <c r="C8" s="1"/>
      <c r="D8" s="1"/>
      <c r="E8" s="10"/>
      <c r="F8" s="11"/>
      <c r="G8" s="12"/>
      <c r="H8" s="24"/>
    </row>
    <row r="9" spans="1:9" ht="12.95" customHeight="1">
      <c r="A9" s="67"/>
      <c r="B9" s="72"/>
      <c r="C9" s="72"/>
      <c r="D9" s="72"/>
      <c r="E9" s="72"/>
      <c r="F9" s="1"/>
      <c r="G9" s="1"/>
      <c r="H9" s="10"/>
    </row>
    <row r="10" spans="1:9" ht="18" customHeight="1">
      <c r="A10" s="8"/>
      <c r="B10" s="1"/>
      <c r="C10" s="184" t="s">
        <v>386</v>
      </c>
      <c r="D10" s="185"/>
      <c r="E10" s="185"/>
      <c r="F10" s="185"/>
      <c r="G10" s="186"/>
      <c r="H10" s="10"/>
    </row>
    <row r="11" spans="1:9" ht="12.95" customHeight="1">
      <c r="A11" s="8"/>
      <c r="B11" s="1"/>
      <c r="C11" s="1"/>
      <c r="D11" s="1"/>
      <c r="E11" s="1"/>
      <c r="F11" s="1"/>
      <c r="G11" s="1"/>
      <c r="H11" s="10"/>
    </row>
    <row r="12" spans="1:9" ht="12.95" customHeight="1">
      <c r="A12" s="182" t="s">
        <v>390</v>
      </c>
      <c r="B12" s="18" t="s">
        <v>387</v>
      </c>
      <c r="C12" s="19"/>
      <c r="D12" s="19"/>
      <c r="E12" s="19"/>
      <c r="F12" s="187" t="s">
        <v>392</v>
      </c>
      <c r="G12" s="188"/>
      <c r="H12" s="189"/>
    </row>
    <row r="13" spans="1:9" ht="12.95" customHeight="1" collapsed="1">
      <c r="A13" s="182"/>
      <c r="B13" s="20" t="s">
        <v>258</v>
      </c>
      <c r="C13" s="195" t="s">
        <v>434</v>
      </c>
      <c r="D13" s="195"/>
      <c r="E13" s="196"/>
      <c r="F13" s="9" t="s">
        <v>480</v>
      </c>
      <c r="G13" s="96"/>
      <c r="H13" s="99"/>
    </row>
    <row r="14" spans="1:9" ht="12.95" customHeight="1">
      <c r="A14" s="182"/>
      <c r="B14" s="14" t="s">
        <v>308</v>
      </c>
      <c r="C14" s="190" t="s">
        <v>286</v>
      </c>
      <c r="D14" s="190"/>
      <c r="E14" s="191"/>
      <c r="F14" s="22" t="s">
        <v>393</v>
      </c>
      <c r="G14" s="97"/>
      <c r="H14" s="100"/>
      <c r="I14" s="1"/>
    </row>
    <row r="15" spans="1:9" ht="12.95" customHeight="1">
      <c r="A15" s="68"/>
      <c r="B15" s="14"/>
      <c r="C15" s="1"/>
      <c r="D15" s="14"/>
      <c r="E15" s="1"/>
      <c r="F15" s="9" t="s">
        <v>394</v>
      </c>
      <c r="G15" s="98"/>
      <c r="H15" s="101"/>
      <c r="I15" s="1"/>
    </row>
    <row r="16" spans="1:9" ht="12.95" customHeight="1">
      <c r="A16" s="181" t="s">
        <v>312</v>
      </c>
      <c r="B16" s="57" t="s">
        <v>380</v>
      </c>
      <c r="C16" s="1"/>
      <c r="D16" s="14"/>
      <c r="E16" s="1"/>
      <c r="F16" s="11"/>
      <c r="G16" s="12"/>
      <c r="H16" s="39"/>
      <c r="I16" s="1"/>
    </row>
    <row r="17" spans="1:12" ht="12.95" customHeight="1">
      <c r="A17" s="182"/>
      <c r="B17" s="28" t="s">
        <v>398</v>
      </c>
      <c r="C17" s="38"/>
      <c r="D17" s="38"/>
      <c r="E17" s="1"/>
      <c r="F17" s="1"/>
      <c r="G17" s="1"/>
      <c r="H17" s="10"/>
      <c r="I17" s="1"/>
    </row>
    <row r="18" spans="1:12" ht="12.95" customHeight="1">
      <c r="A18" s="182"/>
      <c r="B18" s="38" t="s">
        <v>391</v>
      </c>
      <c r="C18" s="38"/>
      <c r="D18" s="38"/>
      <c r="E18" s="1"/>
      <c r="F18" s="1"/>
      <c r="G18" s="1"/>
      <c r="H18" s="10"/>
      <c r="I18" s="1"/>
    </row>
    <row r="19" spans="1:12" ht="12.95" customHeight="1">
      <c r="A19" s="182"/>
      <c r="B19" s="73" t="s">
        <v>399</v>
      </c>
      <c r="C19" s="74" t="s">
        <v>470</v>
      </c>
      <c r="D19" s="1"/>
      <c r="E19" s="1"/>
      <c r="F19" s="75" t="s">
        <v>518</v>
      </c>
      <c r="G19" s="76" t="s">
        <v>517</v>
      </c>
      <c r="H19" s="10"/>
      <c r="I19" s="1"/>
    </row>
    <row r="20" spans="1:12" ht="12.95" customHeight="1">
      <c r="A20" s="13"/>
      <c r="B20" s="12"/>
      <c r="C20" s="12"/>
      <c r="D20" s="12"/>
      <c r="E20" s="12"/>
      <c r="F20" s="12"/>
      <c r="G20" s="12"/>
      <c r="H20" s="39"/>
      <c r="I20" s="1"/>
    </row>
    <row r="21" spans="1:12">
      <c r="A21" s="29" t="s">
        <v>395</v>
      </c>
      <c r="B21" s="40" t="s">
        <v>56</v>
      </c>
      <c r="C21" s="51"/>
      <c r="D21" s="51"/>
      <c r="E21" s="81"/>
      <c r="F21" s="40" t="s">
        <v>396</v>
      </c>
      <c r="G21" s="42" t="s">
        <v>397</v>
      </c>
      <c r="H21" s="95" t="s">
        <v>382</v>
      </c>
      <c r="I21" s="1"/>
      <c r="J21" s="83" t="s">
        <v>489</v>
      </c>
      <c r="K21" s="84" t="s">
        <v>375</v>
      </c>
      <c r="L21" s="105" t="s">
        <v>490</v>
      </c>
    </row>
    <row r="22" spans="1:12">
      <c r="A22" s="8"/>
      <c r="B22" s="30"/>
      <c r="C22" s="32"/>
      <c r="D22" s="32"/>
      <c r="E22" s="80"/>
      <c r="F22" s="70"/>
      <c r="G22" s="91"/>
      <c r="H22" s="65" t="str">
        <f t="shared" ref="H22:H47" si="0">IF(F22="","",F22*G22)</f>
        <v/>
      </c>
      <c r="I22" s="1"/>
      <c r="J22" s="82"/>
      <c r="K22" s="102" t="str">
        <f>IF(J22="",H22,"")</f>
        <v/>
      </c>
      <c r="L22" s="106" t="str">
        <f>IF(J22="","",H22)</f>
        <v/>
      </c>
    </row>
    <row r="23" spans="1:12">
      <c r="A23" s="8"/>
      <c r="B23" s="31"/>
      <c r="C23" s="33"/>
      <c r="D23" s="60"/>
      <c r="E23" s="77"/>
      <c r="F23" s="69"/>
      <c r="G23" s="92"/>
      <c r="H23" s="65" t="str">
        <f t="shared" si="0"/>
        <v/>
      </c>
      <c r="I23" s="1"/>
      <c r="J23" s="9"/>
      <c r="K23" s="103" t="str">
        <f t="shared" ref="K23:K47" si="1">IF(J23="",H23,"")</f>
        <v/>
      </c>
      <c r="L23" s="86" t="str">
        <f t="shared" ref="L23:L47" si="2">IF(J23="","",H23)</f>
        <v/>
      </c>
    </row>
    <row r="24" spans="1:12">
      <c r="A24" s="8"/>
      <c r="B24" s="31"/>
      <c r="C24" s="33"/>
      <c r="D24" s="60"/>
      <c r="E24" s="77"/>
      <c r="F24" s="69"/>
      <c r="G24" s="93"/>
      <c r="H24" s="65" t="str">
        <f t="shared" si="0"/>
        <v/>
      </c>
      <c r="I24" s="14"/>
      <c r="J24" s="9"/>
      <c r="K24" s="103" t="str">
        <f t="shared" si="1"/>
        <v/>
      </c>
      <c r="L24" s="86" t="str">
        <f t="shared" si="2"/>
        <v/>
      </c>
    </row>
    <row r="25" spans="1:12">
      <c r="A25" s="8"/>
      <c r="B25" s="31"/>
      <c r="C25" s="33"/>
      <c r="D25" s="60"/>
      <c r="E25" s="77"/>
      <c r="F25" s="69"/>
      <c r="G25" s="92"/>
      <c r="H25" s="65" t="str">
        <f t="shared" si="0"/>
        <v/>
      </c>
      <c r="I25" s="1"/>
      <c r="J25" s="9"/>
      <c r="K25" s="103" t="str">
        <f t="shared" si="1"/>
        <v/>
      </c>
      <c r="L25" s="86" t="str">
        <f t="shared" si="2"/>
        <v/>
      </c>
    </row>
    <row r="26" spans="1:12">
      <c r="A26" s="8"/>
      <c r="B26" s="31"/>
      <c r="C26" s="33"/>
      <c r="D26" s="60"/>
      <c r="E26" s="77"/>
      <c r="F26" s="69"/>
      <c r="G26" s="92"/>
      <c r="H26" s="65" t="str">
        <f t="shared" si="0"/>
        <v/>
      </c>
      <c r="J26" s="9"/>
      <c r="K26" s="103" t="str">
        <f t="shared" si="1"/>
        <v/>
      </c>
      <c r="L26" s="86" t="str">
        <f t="shared" si="2"/>
        <v/>
      </c>
    </row>
    <row r="27" spans="1:12">
      <c r="A27" s="8"/>
      <c r="B27" s="31"/>
      <c r="C27" s="1"/>
      <c r="D27" s="1"/>
      <c r="E27" s="10"/>
      <c r="F27" s="69"/>
      <c r="G27" s="93"/>
      <c r="H27" s="65" t="str">
        <f t="shared" si="0"/>
        <v/>
      </c>
      <c r="J27" s="9"/>
      <c r="K27" s="103" t="str">
        <f t="shared" si="1"/>
        <v/>
      </c>
      <c r="L27" s="86" t="str">
        <f t="shared" si="2"/>
        <v/>
      </c>
    </row>
    <row r="28" spans="1:12">
      <c r="A28" s="8"/>
      <c r="B28" s="31"/>
      <c r="C28" s="1"/>
      <c r="D28" s="1"/>
      <c r="E28" s="10"/>
      <c r="F28" s="69"/>
      <c r="G28" s="93"/>
      <c r="H28" s="65" t="str">
        <f t="shared" si="0"/>
        <v/>
      </c>
      <c r="J28" s="9"/>
      <c r="K28" s="103" t="str">
        <f t="shared" si="1"/>
        <v/>
      </c>
      <c r="L28" s="86" t="str">
        <f t="shared" si="2"/>
        <v/>
      </c>
    </row>
    <row r="29" spans="1:12">
      <c r="A29" s="8"/>
      <c r="B29" s="31"/>
      <c r="C29" s="1"/>
      <c r="D29" s="1"/>
      <c r="E29" s="10"/>
      <c r="F29" s="69"/>
      <c r="G29" s="93"/>
      <c r="H29" s="65" t="str">
        <f t="shared" si="0"/>
        <v/>
      </c>
      <c r="J29" s="9"/>
      <c r="K29" s="103" t="str">
        <f t="shared" si="1"/>
        <v/>
      </c>
      <c r="L29" s="86" t="str">
        <f t="shared" si="2"/>
        <v/>
      </c>
    </row>
    <row r="30" spans="1:12">
      <c r="A30" s="8"/>
      <c r="B30" s="31"/>
      <c r="C30" s="1"/>
      <c r="D30" s="1"/>
      <c r="E30" s="10"/>
      <c r="F30" s="69"/>
      <c r="G30" s="93"/>
      <c r="H30" s="65" t="str">
        <f t="shared" si="0"/>
        <v/>
      </c>
      <c r="J30" s="9"/>
      <c r="K30" s="103" t="str">
        <f t="shared" si="1"/>
        <v/>
      </c>
      <c r="L30" s="86" t="str">
        <f t="shared" si="2"/>
        <v/>
      </c>
    </row>
    <row r="31" spans="1:12">
      <c r="A31" s="8"/>
      <c r="B31" s="31"/>
      <c r="C31" s="1"/>
      <c r="D31" s="1"/>
      <c r="E31" s="108"/>
      <c r="F31" s="69"/>
      <c r="G31" s="93"/>
      <c r="H31" s="65" t="str">
        <f t="shared" si="0"/>
        <v/>
      </c>
      <c r="J31" s="9"/>
      <c r="K31" s="103" t="str">
        <f t="shared" si="1"/>
        <v/>
      </c>
      <c r="L31" s="86" t="str">
        <f t="shared" si="2"/>
        <v/>
      </c>
    </row>
    <row r="32" spans="1:12">
      <c r="A32" s="8"/>
      <c r="B32" s="31"/>
      <c r="C32" s="1"/>
      <c r="D32" s="1"/>
      <c r="E32" s="10"/>
      <c r="F32" s="69"/>
      <c r="G32" s="93"/>
      <c r="H32" s="65" t="str">
        <f t="shared" si="0"/>
        <v/>
      </c>
      <c r="J32" s="9"/>
      <c r="K32" s="103" t="str">
        <f t="shared" si="1"/>
        <v/>
      </c>
      <c r="L32" s="86" t="str">
        <f t="shared" si="2"/>
        <v/>
      </c>
    </row>
    <row r="33" spans="1:12">
      <c r="A33" s="8"/>
      <c r="B33" s="31"/>
      <c r="C33" s="1"/>
      <c r="D33" s="43"/>
      <c r="E33" s="10"/>
      <c r="F33" s="69"/>
      <c r="G33" s="93"/>
      <c r="H33" s="65" t="str">
        <f t="shared" si="0"/>
        <v/>
      </c>
      <c r="J33" s="9"/>
      <c r="K33" s="103" t="str">
        <f t="shared" si="1"/>
        <v/>
      </c>
      <c r="L33" s="86" t="str">
        <f t="shared" si="2"/>
        <v/>
      </c>
    </row>
    <row r="34" spans="1:12">
      <c r="A34" s="8"/>
      <c r="B34" s="31"/>
      <c r="C34" s="1"/>
      <c r="D34" s="1"/>
      <c r="E34" s="10"/>
      <c r="F34" s="69"/>
      <c r="G34" s="93"/>
      <c r="H34" s="65" t="str">
        <f t="shared" si="0"/>
        <v/>
      </c>
      <c r="J34" s="9"/>
      <c r="K34" s="103" t="str">
        <f t="shared" si="1"/>
        <v/>
      </c>
      <c r="L34" s="86" t="str">
        <f t="shared" si="2"/>
        <v/>
      </c>
    </row>
    <row r="35" spans="1:12">
      <c r="A35" s="8"/>
      <c r="B35" s="31"/>
      <c r="C35" s="1"/>
      <c r="D35" s="1"/>
      <c r="E35" s="10"/>
      <c r="F35" s="69"/>
      <c r="G35" s="93"/>
      <c r="H35" s="65" t="str">
        <f t="shared" si="0"/>
        <v/>
      </c>
      <c r="J35" s="9"/>
      <c r="K35" s="103" t="str">
        <f t="shared" si="1"/>
        <v/>
      </c>
      <c r="L35" s="86" t="str">
        <f t="shared" si="2"/>
        <v/>
      </c>
    </row>
    <row r="36" spans="1:12">
      <c r="A36" s="8"/>
      <c r="B36" s="31"/>
      <c r="C36" s="1"/>
      <c r="D36" s="1"/>
      <c r="E36" s="10"/>
      <c r="F36" s="69"/>
      <c r="G36" s="93"/>
      <c r="H36" s="65" t="str">
        <f t="shared" si="0"/>
        <v/>
      </c>
      <c r="J36" s="9"/>
      <c r="K36" s="103" t="str">
        <f t="shared" si="1"/>
        <v/>
      </c>
      <c r="L36" s="86" t="str">
        <f t="shared" si="2"/>
        <v/>
      </c>
    </row>
    <row r="37" spans="1:12">
      <c r="A37" s="9"/>
      <c r="B37" s="63"/>
      <c r="C37" s="52"/>
      <c r="D37" s="52"/>
      <c r="E37" s="53"/>
      <c r="F37" s="69"/>
      <c r="G37" s="23"/>
      <c r="H37" s="65" t="str">
        <f t="shared" si="0"/>
        <v/>
      </c>
      <c r="J37" s="9"/>
      <c r="K37" s="103" t="str">
        <f t="shared" si="1"/>
        <v/>
      </c>
      <c r="L37" s="86" t="str">
        <f t="shared" si="2"/>
        <v/>
      </c>
    </row>
    <row r="38" spans="1:12">
      <c r="A38" s="9"/>
      <c r="B38" s="31"/>
      <c r="C38" s="1"/>
      <c r="D38" s="1"/>
      <c r="E38" s="10"/>
      <c r="F38" s="69"/>
      <c r="G38" s="23"/>
      <c r="H38" s="65" t="str">
        <f t="shared" si="0"/>
        <v/>
      </c>
      <c r="J38" s="9"/>
      <c r="K38" s="103" t="str">
        <f t="shared" si="1"/>
        <v/>
      </c>
      <c r="L38" s="86" t="str">
        <f t="shared" si="2"/>
        <v/>
      </c>
    </row>
    <row r="39" spans="1:12">
      <c r="A39" s="9"/>
      <c r="B39" s="31"/>
      <c r="C39" s="1"/>
      <c r="D39" s="1"/>
      <c r="E39" s="10"/>
      <c r="F39" s="69"/>
      <c r="G39" s="23"/>
      <c r="H39" s="65" t="str">
        <f t="shared" si="0"/>
        <v/>
      </c>
      <c r="J39" s="9"/>
      <c r="K39" s="103" t="str">
        <f t="shared" si="1"/>
        <v/>
      </c>
      <c r="L39" s="86" t="str">
        <f t="shared" si="2"/>
        <v/>
      </c>
    </row>
    <row r="40" spans="1:12">
      <c r="A40" s="9"/>
      <c r="B40" s="31"/>
      <c r="C40" s="1"/>
      <c r="D40" s="1"/>
      <c r="E40" s="10"/>
      <c r="F40" s="69"/>
      <c r="G40" s="23"/>
      <c r="H40" s="65" t="str">
        <f t="shared" si="0"/>
        <v/>
      </c>
      <c r="J40" s="9"/>
      <c r="K40" s="103" t="str">
        <f t="shared" si="1"/>
        <v/>
      </c>
      <c r="L40" s="86" t="str">
        <f t="shared" si="2"/>
        <v/>
      </c>
    </row>
    <row r="41" spans="1:12">
      <c r="A41" s="9"/>
      <c r="B41" s="31"/>
      <c r="C41" s="1"/>
      <c r="D41" s="1"/>
      <c r="E41" s="10"/>
      <c r="F41" s="69"/>
      <c r="G41" s="23"/>
      <c r="H41" s="65" t="str">
        <f t="shared" si="0"/>
        <v/>
      </c>
      <c r="J41" s="9"/>
      <c r="K41" s="103" t="str">
        <f t="shared" si="1"/>
        <v/>
      </c>
      <c r="L41" s="86" t="str">
        <f t="shared" si="2"/>
        <v/>
      </c>
    </row>
    <row r="42" spans="1:12">
      <c r="A42" s="9"/>
      <c r="B42" s="31"/>
      <c r="C42" s="1"/>
      <c r="D42" s="1"/>
      <c r="E42" s="10"/>
      <c r="F42" s="69"/>
      <c r="G42" s="23"/>
      <c r="H42" s="65" t="str">
        <f t="shared" si="0"/>
        <v/>
      </c>
      <c r="J42" s="9"/>
      <c r="K42" s="103" t="str">
        <f t="shared" si="1"/>
        <v/>
      </c>
      <c r="L42" s="86" t="str">
        <f t="shared" si="2"/>
        <v/>
      </c>
    </row>
    <row r="43" spans="1:12">
      <c r="A43" s="8"/>
      <c r="B43" s="31"/>
      <c r="C43" s="1"/>
      <c r="D43" s="1"/>
      <c r="E43" s="10"/>
      <c r="F43" s="69"/>
      <c r="G43" s="23"/>
      <c r="H43" s="65" t="str">
        <f t="shared" si="0"/>
        <v/>
      </c>
      <c r="J43" s="9"/>
      <c r="K43" s="103" t="str">
        <f t="shared" si="1"/>
        <v/>
      </c>
      <c r="L43" s="86" t="str">
        <f t="shared" si="2"/>
        <v/>
      </c>
    </row>
    <row r="44" spans="1:12">
      <c r="A44" s="8"/>
      <c r="B44" s="31"/>
      <c r="C44" s="1"/>
      <c r="D44" s="1"/>
      <c r="E44" s="10"/>
      <c r="F44" s="69"/>
      <c r="G44" s="23"/>
      <c r="H44" s="65" t="str">
        <f t="shared" si="0"/>
        <v/>
      </c>
      <c r="J44" s="9"/>
      <c r="K44" s="103" t="str">
        <f t="shared" si="1"/>
        <v/>
      </c>
      <c r="L44" s="86" t="str">
        <f t="shared" si="2"/>
        <v/>
      </c>
    </row>
    <row r="45" spans="1:12">
      <c r="A45" s="8"/>
      <c r="B45" s="31"/>
      <c r="C45" s="1"/>
      <c r="D45" s="1"/>
      <c r="E45" s="10"/>
      <c r="F45" s="69"/>
      <c r="G45" s="23"/>
      <c r="H45" s="65" t="str">
        <f t="shared" si="0"/>
        <v/>
      </c>
      <c r="J45" s="9"/>
      <c r="K45" s="103" t="str">
        <f t="shared" si="1"/>
        <v/>
      </c>
      <c r="L45" s="86" t="str">
        <f t="shared" si="2"/>
        <v/>
      </c>
    </row>
    <row r="46" spans="1:12">
      <c r="A46" s="8"/>
      <c r="B46" s="31"/>
      <c r="C46" s="1"/>
      <c r="D46" s="1"/>
      <c r="E46" s="10"/>
      <c r="F46" s="69"/>
      <c r="G46" s="23"/>
      <c r="H46" s="65" t="str">
        <f t="shared" si="0"/>
        <v/>
      </c>
      <c r="J46" s="9"/>
      <c r="K46" s="103" t="str">
        <f t="shared" si="1"/>
        <v/>
      </c>
      <c r="L46" s="86" t="str">
        <f t="shared" si="2"/>
        <v/>
      </c>
    </row>
    <row r="47" spans="1:12">
      <c r="A47" s="13"/>
      <c r="B47" s="64"/>
      <c r="C47" s="12"/>
      <c r="D47" s="12"/>
      <c r="E47" s="24"/>
      <c r="F47" s="71"/>
      <c r="G47" s="94"/>
      <c r="H47" s="66" t="str">
        <f t="shared" si="0"/>
        <v/>
      </c>
      <c r="J47" s="11"/>
      <c r="K47" s="104" t="str">
        <f t="shared" si="1"/>
        <v/>
      </c>
      <c r="L47" s="87" t="str">
        <f t="shared" si="2"/>
        <v/>
      </c>
    </row>
    <row r="48" spans="1:12">
      <c r="A48" s="9"/>
      <c r="B48" s="1"/>
      <c r="C48" s="1"/>
      <c r="D48" s="1"/>
      <c r="E48" s="55"/>
      <c r="F48" s="17"/>
      <c r="G48" s="17"/>
      <c r="H48" s="44">
        <f>SUM(H22:H47)</f>
        <v>0</v>
      </c>
      <c r="K48" s="88">
        <f>SUM(K22:K47)</f>
        <v>0</v>
      </c>
      <c r="L48" s="87">
        <f>SUM(L22:L47)</f>
        <v>0</v>
      </c>
    </row>
    <row r="49" spans="1:12">
      <c r="A49" s="9"/>
      <c r="B49" s="41"/>
      <c r="C49" s="41"/>
      <c r="D49" s="41"/>
      <c r="E49" s="45"/>
      <c r="F49" s="78" t="s">
        <v>487</v>
      </c>
      <c r="G49" s="36"/>
      <c r="H49" s="90">
        <f>K49</f>
        <v>0</v>
      </c>
      <c r="K49" s="89">
        <f>K48*8.5/100</f>
        <v>0</v>
      </c>
      <c r="L49" s="89">
        <f>L48*8.5/100</f>
        <v>0</v>
      </c>
    </row>
    <row r="50" spans="1:12" ht="13.5" thickBot="1">
      <c r="A50" s="9"/>
      <c r="B50" s="1"/>
      <c r="C50" s="1"/>
      <c r="D50" s="1"/>
      <c r="E50" s="10"/>
      <c r="F50" s="79" t="s">
        <v>488</v>
      </c>
      <c r="G50" s="37"/>
      <c r="H50" s="25">
        <f>L49</f>
        <v>0</v>
      </c>
    </row>
    <row r="51" spans="1:12">
      <c r="A51" s="9"/>
      <c r="B51" s="1"/>
      <c r="C51" s="1"/>
      <c r="D51" s="1"/>
      <c r="E51" s="10"/>
      <c r="F51" s="34"/>
      <c r="G51" s="34"/>
      <c r="H51" s="26">
        <v>0</v>
      </c>
    </row>
    <row r="52" spans="1:12" ht="13.5" thickBot="1">
      <c r="A52" s="11"/>
      <c r="B52" s="54"/>
      <c r="C52" s="54"/>
      <c r="D52" s="46"/>
      <c r="E52" s="39"/>
      <c r="F52" s="85" t="s">
        <v>376</v>
      </c>
      <c r="G52" s="35"/>
      <c r="H52" s="27">
        <f>+H48+H49</f>
        <v>0</v>
      </c>
    </row>
    <row r="54" spans="1:12">
      <c r="F54" s="2" t="s">
        <v>384</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5.xml><?xml version="1.0" encoding="utf-8"?>
<worksheet xmlns="http://schemas.openxmlformats.org/spreadsheetml/2006/main" xmlns:r="http://schemas.openxmlformats.org/officeDocument/2006/relationships">
  <sheetPr codeName="Feuil9"/>
  <dimension ref="A1:XFD26"/>
  <sheetViews>
    <sheetView showGridLines="0" workbookViewId="0">
      <selection activeCell="H24" sqref="H24"/>
    </sheetView>
  </sheetViews>
  <sheetFormatPr baseColWidth="10" defaultColWidth="3.7109375" defaultRowHeight="12.75"/>
  <cols>
    <col min="1" max="1" width="9.28515625" style="7" customWidth="1"/>
    <col min="2" max="2" width="18" style="7" customWidth="1"/>
    <col min="3" max="3" width="10.140625" style="7" customWidth="1"/>
    <col min="4" max="5" width="11.42578125" style="7" customWidth="1"/>
    <col min="6" max="6" width="13" style="565" customWidth="1"/>
    <col min="7" max="7" width="14.42578125" style="7" customWidth="1"/>
    <col min="8" max="8" width="11.42578125" style="7" customWidth="1"/>
    <col min="9" max="9" width="7.7109375" style="7" customWidth="1"/>
    <col min="10" max="10" width="12.42578125" style="7" customWidth="1"/>
    <col min="11" max="16384" width="3.7109375" style="7"/>
  </cols>
  <sheetData>
    <row r="1" spans="1:9" s="566" customFormat="1">
      <c r="A1" s="202" t="s">
        <v>179</v>
      </c>
      <c r="B1" s="571" t="s">
        <v>57</v>
      </c>
      <c r="C1" s="569" t="s">
        <v>0</v>
      </c>
      <c r="D1" s="569" t="s">
        <v>58</v>
      </c>
      <c r="E1" s="569"/>
      <c r="F1" s="573" t="s">
        <v>59</v>
      </c>
      <c r="G1" s="569" t="s">
        <v>60</v>
      </c>
    </row>
    <row r="2" spans="1:9">
      <c r="A2" s="564" t="s">
        <v>688</v>
      </c>
      <c r="B2" s="564" t="s">
        <v>61</v>
      </c>
      <c r="C2" s="203" t="s">
        <v>5</v>
      </c>
      <c r="D2" s="203">
        <v>1.5</v>
      </c>
      <c r="E2" s="203">
        <f>VLOOKUP(A2,BD_Prod!$A$1:$P$102,15,0)</f>
        <v>21.021161699999997</v>
      </c>
      <c r="F2" s="574">
        <f>D2*E2</f>
        <v>31.531742549999997</v>
      </c>
      <c r="G2" s="62"/>
      <c r="H2" s="145"/>
      <c r="I2" s="148"/>
    </row>
    <row r="3" spans="1:9">
      <c r="A3" s="564" t="s">
        <v>526</v>
      </c>
      <c r="B3" s="564" t="s">
        <v>62</v>
      </c>
      <c r="C3" s="203" t="s">
        <v>36</v>
      </c>
      <c r="D3" s="203">
        <v>400</v>
      </c>
      <c r="E3" s="203">
        <f>VLOOKUP(A3,BD_Prod!$A$1:$P$102,15,0)</f>
        <v>0.24806250000000002</v>
      </c>
      <c r="F3" s="574">
        <f t="shared" ref="F3:F5" si="0">D3*E3</f>
        <v>99.225000000000009</v>
      </c>
      <c r="G3" s="62"/>
      <c r="H3" s="145"/>
      <c r="I3" s="148"/>
    </row>
    <row r="4" spans="1:9">
      <c r="A4" s="564" t="s">
        <v>530</v>
      </c>
      <c r="B4" s="564" t="s">
        <v>63</v>
      </c>
      <c r="C4" s="203" t="s">
        <v>64</v>
      </c>
      <c r="D4" s="203">
        <v>1</v>
      </c>
      <c r="E4" s="203">
        <f>VLOOKUP(A4,BD_Prod!$A$1:$P$102,15,0)</f>
        <v>22.601250000000004</v>
      </c>
      <c r="F4" s="574">
        <f t="shared" si="0"/>
        <v>22.601250000000004</v>
      </c>
      <c r="G4" s="62"/>
      <c r="H4" s="145"/>
      <c r="I4" s="148"/>
    </row>
    <row r="5" spans="1:9">
      <c r="A5" s="564" t="s">
        <v>843</v>
      </c>
      <c r="B5" s="564" t="s">
        <v>65</v>
      </c>
      <c r="C5" s="203" t="s">
        <v>66</v>
      </c>
      <c r="D5" s="203">
        <v>0</v>
      </c>
      <c r="E5" s="203">
        <f>VLOOKUP(A5,BD_Prod!$A$1:$P$102,15,0)</f>
        <v>2.2050000000000001</v>
      </c>
      <c r="F5" s="574">
        <f t="shared" si="0"/>
        <v>0</v>
      </c>
      <c r="G5" s="62"/>
      <c r="H5" s="145"/>
      <c r="I5" s="148"/>
    </row>
    <row r="6" spans="1:9" s="566" customFormat="1">
      <c r="A6" s="202" t="s">
        <v>679</v>
      </c>
      <c r="B6" s="572" t="s">
        <v>118</v>
      </c>
      <c r="C6" s="570"/>
      <c r="D6" s="570"/>
      <c r="E6" s="202" t="s">
        <v>67</v>
      </c>
      <c r="F6" s="575">
        <f>SUM(F2:F5)</f>
        <v>153.35799255000001</v>
      </c>
      <c r="G6" s="576">
        <f>SUM(F3:F4)</f>
        <v>121.82625000000002</v>
      </c>
      <c r="H6" s="567"/>
      <c r="I6" s="568"/>
    </row>
    <row r="7" spans="1:9">
      <c r="A7" s="564" t="s">
        <v>688</v>
      </c>
      <c r="B7" s="564" t="s">
        <v>61</v>
      </c>
      <c r="C7" s="203" t="s">
        <v>5</v>
      </c>
      <c r="D7" s="203">
        <v>1.5</v>
      </c>
      <c r="E7" s="203">
        <f>VLOOKUP(A7,BD_Prod!$A$1:$P$102,15,0)</f>
        <v>21.021161699999997</v>
      </c>
      <c r="F7" s="574">
        <f>D7*E7</f>
        <v>31.531742549999997</v>
      </c>
      <c r="G7" s="577"/>
      <c r="H7" s="145"/>
      <c r="I7" s="148"/>
    </row>
    <row r="8" spans="1:9">
      <c r="A8" s="564" t="s">
        <v>526</v>
      </c>
      <c r="B8" s="564" t="s">
        <v>62</v>
      </c>
      <c r="C8" s="203" t="s">
        <v>36</v>
      </c>
      <c r="D8" s="203">
        <v>350</v>
      </c>
      <c r="E8" s="203">
        <f>VLOOKUP(A8,BD_Prod!$A$1:$P$102,15,0)</f>
        <v>0.24806250000000002</v>
      </c>
      <c r="F8" s="574">
        <f t="shared" ref="F8:F10" si="1">D8*E8</f>
        <v>86.821875000000006</v>
      </c>
      <c r="G8" s="62"/>
      <c r="H8" s="145"/>
      <c r="I8" s="148"/>
    </row>
    <row r="9" spans="1:9">
      <c r="A9" s="564" t="s">
        <v>531</v>
      </c>
      <c r="B9" s="564" t="s">
        <v>750</v>
      </c>
      <c r="C9" s="203" t="s">
        <v>64</v>
      </c>
      <c r="D9" s="203">
        <v>1</v>
      </c>
      <c r="E9" s="203">
        <f>VLOOKUP(A9,BD_Prod!$A$1:$P$102,15,0)</f>
        <v>32.52375</v>
      </c>
      <c r="F9" s="574">
        <f t="shared" si="1"/>
        <v>32.52375</v>
      </c>
      <c r="G9" s="62"/>
      <c r="H9" s="145"/>
      <c r="I9" s="148"/>
    </row>
    <row r="10" spans="1:9">
      <c r="A10" s="564" t="s">
        <v>843</v>
      </c>
      <c r="B10" s="564" t="s">
        <v>65</v>
      </c>
      <c r="C10" s="203" t="s">
        <v>66</v>
      </c>
      <c r="D10" s="203">
        <v>0</v>
      </c>
      <c r="E10" s="203">
        <f>VLOOKUP(A10,BD_Prod!$A$1:$P$102,15,0)</f>
        <v>2.2050000000000001</v>
      </c>
      <c r="F10" s="574">
        <f t="shared" si="1"/>
        <v>0</v>
      </c>
      <c r="G10" s="62"/>
    </row>
    <row r="11" spans="1:9" s="566" customFormat="1">
      <c r="A11" s="202" t="s">
        <v>680</v>
      </c>
      <c r="B11" s="572" t="s">
        <v>119</v>
      </c>
      <c r="C11" s="570"/>
      <c r="D11" s="570"/>
      <c r="E11" s="202" t="s">
        <v>67</v>
      </c>
      <c r="F11" s="575">
        <f>SUM(F7:F10)</f>
        <v>150.87736755</v>
      </c>
      <c r="G11" s="576">
        <f>SUM(F8:F9)</f>
        <v>119.34562500000001</v>
      </c>
    </row>
    <row r="12" spans="1:9">
      <c r="A12" s="564" t="s">
        <v>688</v>
      </c>
      <c r="B12" s="564" t="s">
        <v>61</v>
      </c>
      <c r="C12" s="203" t="s">
        <v>5</v>
      </c>
      <c r="D12" s="203">
        <v>1.5</v>
      </c>
      <c r="E12" s="203">
        <f>VLOOKUP(A12,BD_Prod!$A$1:$P$102,15,0)</f>
        <v>21.021161699999997</v>
      </c>
      <c r="F12" s="574">
        <f>D12*E12</f>
        <v>31.531742549999997</v>
      </c>
      <c r="G12" s="577"/>
    </row>
    <row r="13" spans="1:9">
      <c r="A13" s="564" t="s">
        <v>526</v>
      </c>
      <c r="B13" s="564" t="s">
        <v>62</v>
      </c>
      <c r="C13" s="203" t="s">
        <v>36</v>
      </c>
      <c r="D13" s="203">
        <v>250</v>
      </c>
      <c r="E13" s="203">
        <f>VLOOKUP(A13,BD_Prod!$A$1:$P$102,15,0)</f>
        <v>0.24806250000000002</v>
      </c>
      <c r="F13" s="574">
        <f t="shared" ref="F13:F15" si="2">D13*E13</f>
        <v>62.015625000000007</v>
      </c>
      <c r="G13" s="62"/>
    </row>
    <row r="14" spans="1:9">
      <c r="A14" s="564" t="s">
        <v>531</v>
      </c>
      <c r="B14" s="564" t="s">
        <v>750</v>
      </c>
      <c r="C14" s="203" t="s">
        <v>64</v>
      </c>
      <c r="D14" s="203">
        <v>1</v>
      </c>
      <c r="E14" s="203">
        <f>VLOOKUP(A14,BD_Prod!$A$1:$P$102,15,0)</f>
        <v>32.52375</v>
      </c>
      <c r="F14" s="574">
        <f t="shared" si="2"/>
        <v>32.52375</v>
      </c>
      <c r="G14" s="62"/>
    </row>
    <row r="15" spans="1:9">
      <c r="A15" s="564" t="s">
        <v>843</v>
      </c>
      <c r="B15" s="564" t="s">
        <v>65</v>
      </c>
      <c r="C15" s="203" t="s">
        <v>66</v>
      </c>
      <c r="D15" s="203">
        <v>0</v>
      </c>
      <c r="E15" s="203">
        <f>VLOOKUP(A15,BD_Prod!$A$1:$P$102,15,0)</f>
        <v>2.2050000000000001</v>
      </c>
      <c r="F15" s="574">
        <f t="shared" si="2"/>
        <v>0</v>
      </c>
      <c r="G15" s="62"/>
    </row>
    <row r="16" spans="1:9" s="566" customFormat="1">
      <c r="A16" s="202" t="s">
        <v>681</v>
      </c>
      <c r="B16" s="572" t="s">
        <v>120</v>
      </c>
      <c r="C16" s="570"/>
      <c r="D16" s="570"/>
      <c r="E16" s="202" t="s">
        <v>67</v>
      </c>
      <c r="F16" s="575">
        <f>SUM(F12:F15)</f>
        <v>126.07111755</v>
      </c>
      <c r="G16" s="576">
        <f>SUM(F13:F14)</f>
        <v>94.539375000000007</v>
      </c>
    </row>
    <row r="17" spans="1:7" ht="12.75" customHeight="1">
      <c r="A17" s="564" t="s">
        <v>688</v>
      </c>
      <c r="B17" s="564" t="s">
        <v>61</v>
      </c>
      <c r="C17" s="203" t="s">
        <v>5</v>
      </c>
      <c r="D17" s="203">
        <v>1.5</v>
      </c>
      <c r="E17" s="203">
        <f>VLOOKUP(A17,BD_Prod!$A$1:$P$102,15,0)</f>
        <v>21.021161699999997</v>
      </c>
      <c r="F17" s="574">
        <f>D17*E17</f>
        <v>31.531742549999997</v>
      </c>
      <c r="G17" s="577"/>
    </row>
    <row r="18" spans="1:7">
      <c r="A18" s="564" t="s">
        <v>526</v>
      </c>
      <c r="B18" s="564" t="s">
        <v>62</v>
      </c>
      <c r="C18" s="203" t="s">
        <v>36</v>
      </c>
      <c r="D18" s="203">
        <v>400</v>
      </c>
      <c r="E18" s="203">
        <f>VLOOKUP(A18,BD_Prod!$A$1:$P$102,15,0)</f>
        <v>0.24806250000000002</v>
      </c>
      <c r="F18" s="574">
        <f t="shared" ref="F18:F20" si="3">D18*E18</f>
        <v>99.225000000000009</v>
      </c>
      <c r="G18" s="62"/>
    </row>
    <row r="19" spans="1:7">
      <c r="A19" s="564" t="s">
        <v>528</v>
      </c>
      <c r="B19" s="564" t="s">
        <v>68</v>
      </c>
      <c r="C19" s="203" t="s">
        <v>64</v>
      </c>
      <c r="D19" s="203">
        <v>1</v>
      </c>
      <c r="E19" s="203">
        <f>VLOOKUP(A19,BD_Prod!$A$1:$P$102,15,0)</f>
        <v>170.88750000000002</v>
      </c>
      <c r="F19" s="574">
        <f t="shared" si="3"/>
        <v>170.88750000000002</v>
      </c>
      <c r="G19" s="62"/>
    </row>
    <row r="20" spans="1:7">
      <c r="A20" s="564" t="s">
        <v>843</v>
      </c>
      <c r="B20" s="564" t="s">
        <v>65</v>
      </c>
      <c r="C20" s="203" t="s">
        <v>66</v>
      </c>
      <c r="D20" s="203">
        <v>0</v>
      </c>
      <c r="E20" s="203">
        <f>VLOOKUP(A20,BD_Prod!$A$1:$P$102,15,0)</f>
        <v>2.2050000000000001</v>
      </c>
      <c r="F20" s="574">
        <f t="shared" si="3"/>
        <v>0</v>
      </c>
      <c r="G20" s="62"/>
    </row>
    <row r="21" spans="1:7" s="566" customFormat="1">
      <c r="A21" s="202" t="s">
        <v>682</v>
      </c>
      <c r="B21" s="572" t="s">
        <v>121</v>
      </c>
      <c r="C21" s="570"/>
      <c r="D21" s="570"/>
      <c r="E21" s="202" t="s">
        <v>67</v>
      </c>
      <c r="F21" s="575">
        <f>SUM(F17:F20)</f>
        <v>301.64424255000006</v>
      </c>
      <c r="G21" s="576">
        <f>SUM(F18:F19)</f>
        <v>270.11250000000001</v>
      </c>
    </row>
    <row r="22" spans="1:7">
      <c r="A22" s="564" t="s">
        <v>688</v>
      </c>
      <c r="B22" s="564" t="s">
        <v>61</v>
      </c>
      <c r="C22" s="203" t="s">
        <v>5</v>
      </c>
      <c r="D22" s="203">
        <v>1.5</v>
      </c>
      <c r="E22" s="203">
        <f>VLOOKUP(A22,BD_Prod!$A$1:$P$102,15,0)</f>
        <v>21.021161699999997</v>
      </c>
      <c r="F22" s="574">
        <f>D22*E22</f>
        <v>31.531742549999997</v>
      </c>
      <c r="G22" s="577"/>
    </row>
    <row r="23" spans="1:7">
      <c r="A23" s="564" t="s">
        <v>526</v>
      </c>
      <c r="B23" s="564" t="s">
        <v>62</v>
      </c>
      <c r="C23" s="203" t="s">
        <v>36</v>
      </c>
      <c r="D23" s="203">
        <v>400</v>
      </c>
      <c r="E23" s="203">
        <f>VLOOKUP(A23,BD_Prod!$A$1:$P$102,15,0)</f>
        <v>0.24806250000000002</v>
      </c>
      <c r="F23" s="574">
        <f t="shared" ref="F23:F25" si="4">D23*E23</f>
        <v>99.225000000000009</v>
      </c>
      <c r="G23" s="62"/>
    </row>
    <row r="24" spans="1:7">
      <c r="A24" s="564" t="s">
        <v>528</v>
      </c>
      <c r="B24" s="564" t="s">
        <v>68</v>
      </c>
      <c r="C24" s="203" t="s">
        <v>64</v>
      </c>
      <c r="D24" s="203">
        <v>1</v>
      </c>
      <c r="E24" s="203">
        <f>VLOOKUP(A24,BD_Prod!$A$1:$P$102,15,0)</f>
        <v>170.88750000000002</v>
      </c>
      <c r="F24" s="574">
        <f t="shared" si="4"/>
        <v>170.88750000000002</v>
      </c>
      <c r="G24" s="62"/>
    </row>
    <row r="25" spans="1:7">
      <c r="A25" s="564" t="s">
        <v>569</v>
      </c>
      <c r="B25" s="564" t="s">
        <v>27</v>
      </c>
      <c r="C25" s="203" t="s">
        <v>45</v>
      </c>
      <c r="D25" s="203">
        <v>8</v>
      </c>
      <c r="E25" s="203">
        <f>VLOOKUP(A25,BD_Prod!$A$1:$P$102,15,0)</f>
        <v>16.978500000000004</v>
      </c>
      <c r="F25" s="574">
        <f t="shared" si="4"/>
        <v>135.82800000000003</v>
      </c>
      <c r="G25" s="62"/>
    </row>
    <row r="26" spans="1:7" s="566" customFormat="1">
      <c r="A26" s="202" t="s">
        <v>683</v>
      </c>
      <c r="B26" s="572" t="s">
        <v>122</v>
      </c>
      <c r="C26" s="570"/>
      <c r="D26" s="570"/>
      <c r="E26" s="202" t="s">
        <v>67</v>
      </c>
      <c r="F26" s="575">
        <f>SUM(F22:F25)</f>
        <v>437.47224255000009</v>
      </c>
      <c r="G26" s="576">
        <f>SUM(F23:F25)</f>
        <v>405.94050000000004</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3"/>
  <dimension ref="A1:V104"/>
  <sheetViews>
    <sheetView workbookViewId="0">
      <pane ySplit="5" topLeftCell="A6" activePane="bottomLeft" state="frozen"/>
      <selection pane="bottomLeft" activeCell="J14" sqref="J14"/>
    </sheetView>
  </sheetViews>
  <sheetFormatPr baseColWidth="10" defaultRowHeight="12.75"/>
  <cols>
    <col min="1" max="1" width="6.7109375" style="140" customWidth="1"/>
    <col min="2" max="2" width="12.140625" style="146" customWidth="1"/>
    <col min="3" max="3" width="12.140625" style="140" customWidth="1"/>
    <col min="4" max="7" width="12.140625" style="141" customWidth="1"/>
    <col min="8" max="8" width="12.140625" style="142" customWidth="1"/>
    <col min="9" max="15" width="12.140625" style="141" customWidth="1"/>
    <col min="16" max="16" width="11.42578125" style="141" customWidth="1"/>
    <col min="17" max="18" width="6.7109375" style="140" customWidth="1"/>
    <col min="19" max="19" width="6.5703125" style="140" customWidth="1"/>
    <col min="20" max="16384" width="11.42578125" style="140"/>
  </cols>
  <sheetData>
    <row r="1" spans="1:18" s="136" customFormat="1" ht="43.5" customHeight="1">
      <c r="A1" s="578" t="s">
        <v>179</v>
      </c>
      <c r="B1" s="579" t="s">
        <v>7</v>
      </c>
      <c r="C1" s="578" t="s">
        <v>9</v>
      </c>
      <c r="D1" s="580" t="s">
        <v>185</v>
      </c>
      <c r="E1" s="580" t="s">
        <v>10</v>
      </c>
      <c r="F1" s="580" t="s">
        <v>11</v>
      </c>
      <c r="G1" s="580" t="s">
        <v>836</v>
      </c>
      <c r="H1" s="581" t="s">
        <v>8</v>
      </c>
      <c r="I1" s="580" t="s">
        <v>9</v>
      </c>
      <c r="J1" s="580" t="s">
        <v>185</v>
      </c>
      <c r="K1" s="580" t="s">
        <v>10</v>
      </c>
      <c r="L1" s="580" t="s">
        <v>11</v>
      </c>
      <c r="M1" s="580" t="s">
        <v>836</v>
      </c>
      <c r="N1" s="580" t="s">
        <v>13</v>
      </c>
      <c r="O1" s="580" t="s">
        <v>14</v>
      </c>
      <c r="P1" s="580" t="s">
        <v>12</v>
      </c>
    </row>
    <row r="2" spans="1:18" ht="24" customHeight="1">
      <c r="A2" s="140" t="s">
        <v>688</v>
      </c>
      <c r="B2" s="141">
        <v>2</v>
      </c>
      <c r="C2" s="141">
        <v>9.67</v>
      </c>
      <c r="D2" s="141">
        <f>C2*5/100</f>
        <v>0.48350000000000004</v>
      </c>
      <c r="E2" s="141">
        <f>(C2+D2)*0.22</f>
        <v>2.2337699999999998</v>
      </c>
      <c r="F2" s="141">
        <f>(C2+D2)*0.42</f>
        <v>4.2644699999999993</v>
      </c>
      <c r="G2" s="141">
        <f>(C2+D2+E2)*1.42</f>
        <v>17.589923399999996</v>
      </c>
      <c r="H2" s="141">
        <v>2</v>
      </c>
      <c r="I2" s="141">
        <v>10</v>
      </c>
      <c r="J2" s="141">
        <f>I2*5/100</f>
        <v>0.5</v>
      </c>
      <c r="K2" s="141">
        <f>(I2+J2)*0.22</f>
        <v>2.31</v>
      </c>
      <c r="L2" s="141">
        <f>(I2+J2)*0.42</f>
        <v>4.41</v>
      </c>
      <c r="M2" s="141">
        <f>(I2+J2+K2+L2)*1.42</f>
        <v>24.452399999999997</v>
      </c>
      <c r="N2" s="141">
        <f>(M2*H2)+(G2*B2)</f>
        <v>84.084646799999987</v>
      </c>
      <c r="O2" s="141">
        <f>N2/(B2+H2)</f>
        <v>21.021161699999997</v>
      </c>
      <c r="P2" s="141">
        <f>F2+L2</f>
        <v>8.6744699999999995</v>
      </c>
    </row>
    <row r="3" spans="1:18" ht="24" customHeight="1">
      <c r="B3" s="141"/>
      <c r="C3" s="141"/>
      <c r="G3" s="141" t="s">
        <v>847</v>
      </c>
      <c r="H3" s="141" t="s">
        <v>726</v>
      </c>
      <c r="I3" s="141" t="s">
        <v>848</v>
      </c>
    </row>
    <row r="4" spans="1:18" ht="66.75" customHeight="1">
      <c r="A4" s="151"/>
      <c r="B4" s="152"/>
      <c r="C4" s="151"/>
      <c r="D4" s="153"/>
      <c r="E4" s="153"/>
      <c r="F4" s="153"/>
      <c r="G4" s="153"/>
      <c r="H4" s="154" t="s">
        <v>614</v>
      </c>
      <c r="I4" s="153"/>
      <c r="J4" s="157" t="s">
        <v>620</v>
      </c>
      <c r="K4" s="157" t="s">
        <v>620</v>
      </c>
      <c r="L4" s="154" t="s">
        <v>615</v>
      </c>
      <c r="M4" s="154" t="s">
        <v>616</v>
      </c>
      <c r="N4" s="154" t="s">
        <v>617</v>
      </c>
      <c r="O4" s="154" t="s">
        <v>618</v>
      </c>
      <c r="P4" s="154" t="s">
        <v>619</v>
      </c>
      <c r="Q4" s="155" t="s">
        <v>621</v>
      </c>
      <c r="R4" s="155" t="s">
        <v>622</v>
      </c>
    </row>
    <row r="5" spans="1:18" s="145" customFormat="1" ht="20.25" customHeight="1">
      <c r="A5" s="143" t="s">
        <v>179</v>
      </c>
      <c r="B5" s="147" t="s">
        <v>178</v>
      </c>
      <c r="C5" s="143" t="s">
        <v>475</v>
      </c>
      <c r="D5" s="144" t="s">
        <v>605</v>
      </c>
      <c r="E5" s="144" t="s">
        <v>604</v>
      </c>
      <c r="F5" s="144" t="s">
        <v>524</v>
      </c>
      <c r="G5" s="144" t="s">
        <v>610</v>
      </c>
      <c r="H5" s="144" t="s">
        <v>603</v>
      </c>
      <c r="I5" s="158" t="s">
        <v>600</v>
      </c>
      <c r="J5" s="159" t="s">
        <v>601</v>
      </c>
      <c r="K5" s="159" t="s">
        <v>602</v>
      </c>
      <c r="L5" s="144" t="s">
        <v>607</v>
      </c>
      <c r="M5" s="144" t="s">
        <v>525</v>
      </c>
      <c r="N5" s="144" t="s">
        <v>606</v>
      </c>
      <c r="O5" s="144" t="s">
        <v>608</v>
      </c>
      <c r="P5" s="144" t="s">
        <v>609</v>
      </c>
      <c r="Q5" s="156">
        <v>1.05</v>
      </c>
      <c r="R5" s="156">
        <v>1.05</v>
      </c>
    </row>
    <row r="6" spans="1:18">
      <c r="A6" s="140" t="s">
        <v>526</v>
      </c>
      <c r="B6" s="148" t="s">
        <v>15</v>
      </c>
      <c r="C6" s="136" t="s">
        <v>472</v>
      </c>
      <c r="D6" s="137">
        <v>5</v>
      </c>
      <c r="E6" s="141">
        <v>25</v>
      </c>
      <c r="F6" s="141" t="s">
        <v>36</v>
      </c>
      <c r="G6" s="138" t="s">
        <v>174</v>
      </c>
      <c r="H6" s="142">
        <f>D6/E6</f>
        <v>0.2</v>
      </c>
      <c r="I6" s="142">
        <v>1000</v>
      </c>
      <c r="J6" s="142">
        <v>20</v>
      </c>
      <c r="K6" s="142">
        <v>5</v>
      </c>
      <c r="L6" s="141">
        <f t="shared" ref="L6:L37" si="0">(H6*I6)+SUM(J6:K6)</f>
        <v>225</v>
      </c>
      <c r="M6" s="141">
        <f>H6*P6/N6</f>
        <v>1</v>
      </c>
      <c r="N6" s="141">
        <f t="shared" ref="N6:N37" si="1">L6/I6</f>
        <v>0.22500000000000001</v>
      </c>
      <c r="O6" s="141">
        <f>N6*ALEA*AGM</f>
        <v>0.24806250000000002</v>
      </c>
      <c r="P6" s="141">
        <f t="shared" ref="P6:P37" si="2">(I6+SUM(J6:K6)/H6)/I6</f>
        <v>1.125</v>
      </c>
    </row>
    <row r="7" spans="1:18" s="136" customFormat="1">
      <c r="A7" s="140" t="s">
        <v>527</v>
      </c>
      <c r="B7" s="148" t="s">
        <v>16</v>
      </c>
      <c r="C7" s="136" t="s">
        <v>472</v>
      </c>
      <c r="D7" s="137">
        <v>5</v>
      </c>
      <c r="E7" s="138">
        <v>25</v>
      </c>
      <c r="F7" s="138" t="s">
        <v>36</v>
      </c>
      <c r="G7" s="138" t="s">
        <v>174</v>
      </c>
      <c r="H7" s="142">
        <f t="shared" ref="H7:H66" si="3">D7/E7</f>
        <v>0.2</v>
      </c>
      <c r="I7" s="138">
        <v>1000</v>
      </c>
      <c r="J7" s="142">
        <v>20</v>
      </c>
      <c r="K7" s="142">
        <v>5</v>
      </c>
      <c r="L7" s="141">
        <f t="shared" si="0"/>
        <v>225</v>
      </c>
      <c r="M7" s="141">
        <f>H7*P7/N7</f>
        <v>1</v>
      </c>
      <c r="N7" s="141">
        <f t="shared" si="1"/>
        <v>0.22500000000000001</v>
      </c>
      <c r="O7" s="141">
        <f>N7*ALEA*AGM</f>
        <v>0.24806250000000002</v>
      </c>
      <c r="P7" s="141">
        <f t="shared" si="2"/>
        <v>1.125</v>
      </c>
      <c r="Q7" s="138"/>
      <c r="R7" s="138"/>
    </row>
    <row r="8" spans="1:18" s="145" customFormat="1">
      <c r="A8" s="140" t="s">
        <v>528</v>
      </c>
      <c r="B8" s="148" t="s">
        <v>17</v>
      </c>
      <c r="C8" s="136" t="s">
        <v>611</v>
      </c>
      <c r="D8" s="137">
        <v>130</v>
      </c>
      <c r="E8" s="142">
        <v>1</v>
      </c>
      <c r="F8" s="142" t="s">
        <v>22</v>
      </c>
      <c r="G8" s="138" t="s">
        <v>177</v>
      </c>
      <c r="H8" s="142">
        <f t="shared" si="3"/>
        <v>130</v>
      </c>
      <c r="I8" s="142">
        <v>1</v>
      </c>
      <c r="J8" s="142">
        <v>20</v>
      </c>
      <c r="K8" s="142">
        <v>5</v>
      </c>
      <c r="L8" s="141">
        <f t="shared" si="0"/>
        <v>155</v>
      </c>
      <c r="M8" s="141">
        <f>H8*P8/N8</f>
        <v>1</v>
      </c>
      <c r="N8" s="141">
        <f t="shared" si="1"/>
        <v>155</v>
      </c>
      <c r="O8" s="141">
        <f>N8*ALEA*AGM</f>
        <v>170.88750000000002</v>
      </c>
      <c r="P8" s="141">
        <f t="shared" si="2"/>
        <v>1.1923076923076923</v>
      </c>
    </row>
    <row r="9" spans="1:18" s="145" customFormat="1">
      <c r="A9" s="140" t="s">
        <v>529</v>
      </c>
      <c r="B9" s="148" t="s">
        <v>230</v>
      </c>
      <c r="C9" s="136" t="s">
        <v>611</v>
      </c>
      <c r="D9" s="137">
        <v>35</v>
      </c>
      <c r="E9" s="142">
        <v>1</v>
      </c>
      <c r="F9" s="142" t="s">
        <v>22</v>
      </c>
      <c r="G9" s="138" t="s">
        <v>177</v>
      </c>
      <c r="H9" s="142">
        <f t="shared" si="3"/>
        <v>35</v>
      </c>
      <c r="I9" s="142">
        <v>1</v>
      </c>
      <c r="J9" s="142">
        <v>20</v>
      </c>
      <c r="K9" s="142">
        <v>5</v>
      </c>
      <c r="L9" s="141">
        <f t="shared" si="0"/>
        <v>60</v>
      </c>
      <c r="M9" s="141">
        <f>H9*P9/N9</f>
        <v>1.0000000000000002</v>
      </c>
      <c r="N9" s="141">
        <f t="shared" si="1"/>
        <v>60</v>
      </c>
      <c r="O9" s="141">
        <f>N9*ALEA*AGM</f>
        <v>66.150000000000006</v>
      </c>
      <c r="P9" s="141">
        <f t="shared" si="2"/>
        <v>1.7142857142857144</v>
      </c>
    </row>
    <row r="10" spans="1:18" s="145" customFormat="1">
      <c r="A10" s="140" t="s">
        <v>530</v>
      </c>
      <c r="B10" s="149" t="s">
        <v>519</v>
      </c>
      <c r="C10" s="136" t="s">
        <v>611</v>
      </c>
      <c r="D10" s="137">
        <v>180</v>
      </c>
      <c r="E10" s="142">
        <v>10</v>
      </c>
      <c r="F10" s="142" t="s">
        <v>22</v>
      </c>
      <c r="G10" s="138" t="s">
        <v>177</v>
      </c>
      <c r="H10" s="142">
        <f t="shared" si="3"/>
        <v>18</v>
      </c>
      <c r="I10" s="142">
        <v>10</v>
      </c>
      <c r="J10" s="142">
        <v>20</v>
      </c>
      <c r="K10" s="142">
        <v>5</v>
      </c>
      <c r="L10" s="141">
        <f t="shared" si="0"/>
        <v>205</v>
      </c>
      <c r="M10" s="141">
        <f>H10*P10/N10</f>
        <v>1</v>
      </c>
      <c r="N10" s="141">
        <f t="shared" si="1"/>
        <v>20.5</v>
      </c>
      <c r="O10" s="141">
        <f>N10*ALEA*AGM</f>
        <v>22.601250000000004</v>
      </c>
      <c r="P10" s="141">
        <f t="shared" si="2"/>
        <v>1.1388888888888888</v>
      </c>
    </row>
    <row r="11" spans="1:18" s="136" customFormat="1">
      <c r="A11" s="140" t="s">
        <v>531</v>
      </c>
      <c r="B11" s="149" t="s">
        <v>520</v>
      </c>
      <c r="C11" s="136" t="s">
        <v>611</v>
      </c>
      <c r="D11" s="137">
        <v>270</v>
      </c>
      <c r="E11" s="138">
        <v>10</v>
      </c>
      <c r="F11" s="138" t="s">
        <v>22</v>
      </c>
      <c r="G11" s="138" t="s">
        <v>177</v>
      </c>
      <c r="H11" s="142">
        <f t="shared" si="3"/>
        <v>27</v>
      </c>
      <c r="I11" s="138">
        <v>10</v>
      </c>
      <c r="J11" s="142">
        <v>20</v>
      </c>
      <c r="K11" s="142">
        <v>5</v>
      </c>
      <c r="L11" s="141">
        <f t="shared" si="0"/>
        <v>295</v>
      </c>
      <c r="M11" s="141">
        <f>H11*P11/N11</f>
        <v>1</v>
      </c>
      <c r="N11" s="141">
        <f t="shared" si="1"/>
        <v>29.5</v>
      </c>
      <c r="O11" s="141">
        <f>N11*ALEA*AGM</f>
        <v>32.52375</v>
      </c>
      <c r="P11" s="141">
        <f t="shared" si="2"/>
        <v>1.0925925925925926</v>
      </c>
      <c r="Q11" s="138"/>
      <c r="R11" s="138"/>
    </row>
    <row r="12" spans="1:18" s="145" customFormat="1">
      <c r="A12" s="140" t="s">
        <v>532</v>
      </c>
      <c r="B12" s="148" t="s">
        <v>19</v>
      </c>
      <c r="C12" s="136" t="s">
        <v>473</v>
      </c>
      <c r="D12" s="137">
        <v>1</v>
      </c>
      <c r="E12" s="142">
        <v>1</v>
      </c>
      <c r="F12" s="142" t="s">
        <v>34</v>
      </c>
      <c r="G12" s="138" t="s">
        <v>175</v>
      </c>
      <c r="H12" s="142">
        <f t="shared" si="3"/>
        <v>1</v>
      </c>
      <c r="I12" s="142">
        <v>630</v>
      </c>
      <c r="J12" s="142">
        <v>20</v>
      </c>
      <c r="K12" s="142">
        <v>5</v>
      </c>
      <c r="L12" s="141">
        <f t="shared" si="0"/>
        <v>655</v>
      </c>
      <c r="M12" s="141">
        <f>H12*P12/N12</f>
        <v>1</v>
      </c>
      <c r="N12" s="141">
        <f t="shared" si="1"/>
        <v>1.0396825396825398</v>
      </c>
      <c r="O12" s="141">
        <f>N12*ALEA*AGM</f>
        <v>1.1462500000000002</v>
      </c>
      <c r="P12" s="141">
        <f t="shared" si="2"/>
        <v>1.0396825396825398</v>
      </c>
    </row>
    <row r="13" spans="1:18" s="145" customFormat="1">
      <c r="A13" s="140" t="s">
        <v>533</v>
      </c>
      <c r="B13" s="148" t="s">
        <v>26</v>
      </c>
      <c r="C13" s="136" t="s">
        <v>473</v>
      </c>
      <c r="D13" s="137">
        <v>0.9</v>
      </c>
      <c r="E13" s="138">
        <v>1</v>
      </c>
      <c r="F13" s="138" t="s">
        <v>34</v>
      </c>
      <c r="G13" s="138" t="s">
        <v>175</v>
      </c>
      <c r="H13" s="142">
        <f t="shared" si="3"/>
        <v>0.9</v>
      </c>
      <c r="I13" s="138">
        <v>1260</v>
      </c>
      <c r="J13" s="142">
        <v>20</v>
      </c>
      <c r="K13" s="142">
        <v>5</v>
      </c>
      <c r="L13" s="141">
        <f t="shared" si="0"/>
        <v>1159</v>
      </c>
      <c r="M13" s="141">
        <f>H13*P13/N13</f>
        <v>1</v>
      </c>
      <c r="N13" s="141">
        <f t="shared" si="1"/>
        <v>0.91984126984126979</v>
      </c>
      <c r="O13" s="141">
        <f>N13*ALEA*AGM</f>
        <v>1.0141249999999999</v>
      </c>
      <c r="P13" s="141">
        <f t="shared" si="2"/>
        <v>1.0220458553791887</v>
      </c>
    </row>
    <row r="14" spans="1:18" s="145" customFormat="1">
      <c r="A14" s="140" t="s">
        <v>684</v>
      </c>
      <c r="B14" s="148" t="s">
        <v>21</v>
      </c>
      <c r="C14" s="136"/>
      <c r="D14" s="137">
        <v>170</v>
      </c>
      <c r="E14" s="142">
        <v>1</v>
      </c>
      <c r="F14" s="142" t="s">
        <v>22</v>
      </c>
      <c r="G14" s="138"/>
      <c r="H14" s="142">
        <f t="shared" si="3"/>
        <v>170</v>
      </c>
      <c r="I14" s="142">
        <v>1</v>
      </c>
      <c r="J14" s="142">
        <v>20</v>
      </c>
      <c r="K14" s="142">
        <v>5</v>
      </c>
      <c r="L14" s="141">
        <f t="shared" si="0"/>
        <v>195</v>
      </c>
      <c r="M14" s="141">
        <f>H14*P14/N14</f>
        <v>1</v>
      </c>
      <c r="N14" s="141">
        <f t="shared" si="1"/>
        <v>195</v>
      </c>
      <c r="O14" s="141">
        <f>N14*ALEA*AGM</f>
        <v>214.98750000000001</v>
      </c>
      <c r="P14" s="141">
        <f t="shared" si="2"/>
        <v>1.1470588235294117</v>
      </c>
    </row>
    <row r="15" spans="1:18" s="145" customFormat="1">
      <c r="A15" s="140" t="s">
        <v>534</v>
      </c>
      <c r="B15" s="148" t="s">
        <v>693</v>
      </c>
      <c r="C15" s="136" t="s">
        <v>472</v>
      </c>
      <c r="D15" s="137">
        <v>6</v>
      </c>
      <c r="E15" s="142">
        <v>7.92</v>
      </c>
      <c r="F15" s="142" t="s">
        <v>36</v>
      </c>
      <c r="G15" s="138" t="s">
        <v>176</v>
      </c>
      <c r="H15" s="142">
        <f t="shared" si="3"/>
        <v>0.75757575757575757</v>
      </c>
      <c r="I15" s="142">
        <v>1000</v>
      </c>
      <c r="J15" s="142">
        <v>20</v>
      </c>
      <c r="K15" s="142">
        <v>5</v>
      </c>
      <c r="L15" s="141">
        <f t="shared" si="0"/>
        <v>782.57575757575762</v>
      </c>
      <c r="M15" s="141">
        <f>H15*P15/N15</f>
        <v>0.99999999999999989</v>
      </c>
      <c r="N15" s="141">
        <f t="shared" si="1"/>
        <v>0.78257575757575759</v>
      </c>
      <c r="O15" s="141">
        <f>N15*ALEA*AGM</f>
        <v>0.86278977272727286</v>
      </c>
      <c r="P15" s="141">
        <f t="shared" si="2"/>
        <v>1.0329999999999999</v>
      </c>
    </row>
    <row r="16" spans="1:18">
      <c r="A16" s="140" t="s">
        <v>535</v>
      </c>
      <c r="B16" s="148" t="s">
        <v>23</v>
      </c>
      <c r="C16" s="136" t="s">
        <v>472</v>
      </c>
      <c r="D16" s="137">
        <v>500</v>
      </c>
      <c r="E16" s="141">
        <v>150</v>
      </c>
      <c r="F16" s="141" t="s">
        <v>39</v>
      </c>
      <c r="G16" s="138" t="s">
        <v>194</v>
      </c>
      <c r="H16" s="142">
        <f t="shared" si="3"/>
        <v>3.3333333333333335</v>
      </c>
      <c r="I16" s="142">
        <v>150</v>
      </c>
      <c r="J16" s="142">
        <v>20</v>
      </c>
      <c r="K16" s="142">
        <v>5</v>
      </c>
      <c r="L16" s="141">
        <f t="shared" si="0"/>
        <v>525</v>
      </c>
      <c r="M16" s="141">
        <f>H16*P16/N16</f>
        <v>1.0000000000000002</v>
      </c>
      <c r="N16" s="141">
        <f t="shared" si="1"/>
        <v>3.5</v>
      </c>
      <c r="O16" s="141">
        <f>N16*ALEA*AGM</f>
        <v>3.8587500000000006</v>
      </c>
      <c r="P16" s="141">
        <f t="shared" si="2"/>
        <v>1.05</v>
      </c>
    </row>
    <row r="17" spans="1:22">
      <c r="A17" s="140" t="s">
        <v>536</v>
      </c>
      <c r="B17" s="148" t="s">
        <v>25</v>
      </c>
      <c r="C17" s="136" t="s">
        <v>472</v>
      </c>
      <c r="D17" s="137">
        <v>15</v>
      </c>
      <c r="E17" s="141">
        <v>5.22</v>
      </c>
      <c r="F17" s="141" t="s">
        <v>36</v>
      </c>
      <c r="G17" s="138" t="s">
        <v>708</v>
      </c>
      <c r="H17" s="142">
        <f t="shared" si="3"/>
        <v>2.8735632183908049</v>
      </c>
      <c r="I17" s="142">
        <v>1000</v>
      </c>
      <c r="J17" s="142">
        <v>20</v>
      </c>
      <c r="K17" s="142">
        <v>5</v>
      </c>
      <c r="L17" s="141">
        <f t="shared" si="0"/>
        <v>2898.5632183908046</v>
      </c>
      <c r="M17" s="141">
        <f>H17*P17/N17</f>
        <v>1.0000000000000002</v>
      </c>
      <c r="N17" s="141">
        <f t="shared" si="1"/>
        <v>2.8985632183908048</v>
      </c>
      <c r="O17" s="141">
        <f>N17*ALEA*AGM</f>
        <v>3.1956659482758627</v>
      </c>
      <c r="P17" s="141">
        <f t="shared" si="2"/>
        <v>1.0087000000000002</v>
      </c>
      <c r="Q17" s="204"/>
      <c r="R17" s="205"/>
      <c r="S17" s="205"/>
      <c r="T17" s="136"/>
      <c r="U17" s="136"/>
      <c r="V17" s="136"/>
    </row>
    <row r="18" spans="1:22">
      <c r="A18" s="140" t="s">
        <v>537</v>
      </c>
      <c r="B18" s="148" t="s">
        <v>171</v>
      </c>
      <c r="C18" s="136" t="s">
        <v>472</v>
      </c>
      <c r="D18" s="137">
        <v>14</v>
      </c>
      <c r="E18" s="141">
        <v>0.9</v>
      </c>
      <c r="F18" s="141" t="s">
        <v>31</v>
      </c>
      <c r="G18" s="138" t="s">
        <v>172</v>
      </c>
      <c r="H18" s="142">
        <f t="shared" si="3"/>
        <v>15.555555555555555</v>
      </c>
      <c r="I18" s="142">
        <v>100</v>
      </c>
      <c r="J18" s="142">
        <v>20</v>
      </c>
      <c r="K18" s="142">
        <v>5</v>
      </c>
      <c r="L18" s="141">
        <f t="shared" si="0"/>
        <v>1580.5555555555554</v>
      </c>
      <c r="M18" s="141">
        <f>H18*P18/N18</f>
        <v>1</v>
      </c>
      <c r="N18" s="141">
        <f t="shared" si="1"/>
        <v>15.805555555555554</v>
      </c>
      <c r="O18" s="141">
        <f>N18*ALEA*AGM</f>
        <v>17.425625</v>
      </c>
      <c r="P18" s="141">
        <f t="shared" si="2"/>
        <v>1.0160714285714285</v>
      </c>
      <c r="Q18" s="204"/>
      <c r="R18" s="205"/>
      <c r="S18" s="205"/>
      <c r="T18" s="136"/>
      <c r="U18" s="136"/>
      <c r="V18" s="136"/>
    </row>
    <row r="19" spans="1:22">
      <c r="A19" s="140" t="s">
        <v>538</v>
      </c>
      <c r="B19" s="148" t="s">
        <v>123</v>
      </c>
      <c r="C19" s="136" t="s">
        <v>472</v>
      </c>
      <c r="D19" s="137">
        <v>17</v>
      </c>
      <c r="E19" s="141">
        <v>21.54</v>
      </c>
      <c r="F19" s="141" t="s">
        <v>36</v>
      </c>
      <c r="G19" s="138" t="s">
        <v>698</v>
      </c>
      <c r="H19" s="142">
        <f t="shared" si="3"/>
        <v>0.78922934076137419</v>
      </c>
      <c r="I19" s="142">
        <v>1000</v>
      </c>
      <c r="J19" s="142">
        <v>20</v>
      </c>
      <c r="K19" s="142">
        <v>5</v>
      </c>
      <c r="L19" s="141">
        <f t="shared" si="0"/>
        <v>814.22934076137415</v>
      </c>
      <c r="M19" s="141">
        <f>H19*P19/N19</f>
        <v>1.0000000000000002</v>
      </c>
      <c r="N19" s="141">
        <f t="shared" si="1"/>
        <v>0.8142293407613741</v>
      </c>
      <c r="O19" s="141">
        <f>N19*ALEA*AGM</f>
        <v>0.89768784818941494</v>
      </c>
      <c r="P19" s="141">
        <f t="shared" si="2"/>
        <v>1.0316764705882353</v>
      </c>
      <c r="Q19" s="204"/>
      <c r="R19" s="205"/>
      <c r="S19" s="205"/>
      <c r="T19" s="136"/>
      <c r="U19" s="136"/>
      <c r="V19" s="136"/>
    </row>
    <row r="20" spans="1:22">
      <c r="A20" s="140" t="s">
        <v>539</v>
      </c>
      <c r="B20" s="148" t="s">
        <v>147</v>
      </c>
      <c r="C20" s="136" t="s">
        <v>472</v>
      </c>
      <c r="D20" s="137">
        <v>40</v>
      </c>
      <c r="E20" s="141">
        <v>17.32</v>
      </c>
      <c r="F20" s="141" t="s">
        <v>36</v>
      </c>
      <c r="G20" s="138" t="s">
        <v>695</v>
      </c>
      <c r="H20" s="142">
        <f t="shared" si="3"/>
        <v>2.3094688221709005</v>
      </c>
      <c r="I20" s="142">
        <v>100</v>
      </c>
      <c r="J20" s="142">
        <v>20</v>
      </c>
      <c r="K20" s="142">
        <v>5</v>
      </c>
      <c r="L20" s="141">
        <f t="shared" si="0"/>
        <v>255.94688221709006</v>
      </c>
      <c r="M20" s="141">
        <f>H20*P20/N20</f>
        <v>1</v>
      </c>
      <c r="N20" s="141">
        <f t="shared" si="1"/>
        <v>2.5594688221709005</v>
      </c>
      <c r="O20" s="141">
        <f>N20*ALEA*AGM</f>
        <v>2.821814376443418</v>
      </c>
      <c r="P20" s="141">
        <f t="shared" si="2"/>
        <v>1.10825</v>
      </c>
      <c r="Q20" s="204"/>
      <c r="R20" s="205"/>
      <c r="S20" s="206"/>
      <c r="T20" s="205"/>
      <c r="U20" s="206"/>
      <c r="V20" s="136"/>
    </row>
    <row r="21" spans="1:22">
      <c r="A21" s="140" t="s">
        <v>540</v>
      </c>
      <c r="B21" s="148" t="s">
        <v>169</v>
      </c>
      <c r="C21" s="136" t="s">
        <v>472</v>
      </c>
      <c r="D21" s="137">
        <v>25</v>
      </c>
      <c r="E21" s="141">
        <v>14.76</v>
      </c>
      <c r="F21" s="141" t="s">
        <v>36</v>
      </c>
      <c r="G21" s="138" t="s">
        <v>699</v>
      </c>
      <c r="H21" s="142">
        <f t="shared" si="3"/>
        <v>1.6937669376693767</v>
      </c>
      <c r="I21" s="142">
        <v>1000</v>
      </c>
      <c r="J21" s="142">
        <v>20</v>
      </c>
      <c r="K21" s="142">
        <v>5</v>
      </c>
      <c r="L21" s="141">
        <f t="shared" si="0"/>
        <v>1718.7669376693766</v>
      </c>
      <c r="M21" s="141">
        <f>H21*P21/N21</f>
        <v>1</v>
      </c>
      <c r="N21" s="141">
        <f t="shared" si="1"/>
        <v>1.7187669376693766</v>
      </c>
      <c r="O21" s="141">
        <f>N21*ALEA*AGM</f>
        <v>1.8949405487804878</v>
      </c>
      <c r="P21" s="141">
        <f t="shared" si="2"/>
        <v>1.0147599999999999</v>
      </c>
      <c r="Q21" s="204"/>
      <c r="R21" s="205"/>
      <c r="S21" s="206"/>
      <c r="T21" s="205"/>
      <c r="U21" s="206"/>
      <c r="V21" s="136"/>
    </row>
    <row r="22" spans="1:22">
      <c r="A22" s="140" t="s">
        <v>541</v>
      </c>
      <c r="B22" s="148" t="s">
        <v>168</v>
      </c>
      <c r="C22" s="136" t="s">
        <v>472</v>
      </c>
      <c r="D22" s="137">
        <v>45</v>
      </c>
      <c r="E22" s="141">
        <v>48.6</v>
      </c>
      <c r="F22" s="141" t="s">
        <v>36</v>
      </c>
      <c r="G22" s="138" t="s">
        <v>696</v>
      </c>
      <c r="H22" s="142">
        <f t="shared" si="3"/>
        <v>0.92592592592592593</v>
      </c>
      <c r="I22" s="142">
        <v>1000</v>
      </c>
      <c r="J22" s="142">
        <v>20</v>
      </c>
      <c r="K22" s="142">
        <v>5</v>
      </c>
      <c r="L22" s="141">
        <f t="shared" si="0"/>
        <v>950.92592592592598</v>
      </c>
      <c r="M22" s="141">
        <f>H22*P22/N22</f>
        <v>0.99999999999999989</v>
      </c>
      <c r="N22" s="141">
        <f t="shared" si="1"/>
        <v>0.95092592592592595</v>
      </c>
      <c r="O22" s="141">
        <f>N22*ALEA*AGM</f>
        <v>1.0483958333333334</v>
      </c>
      <c r="P22" s="141">
        <f t="shared" si="2"/>
        <v>1.0269999999999999</v>
      </c>
      <c r="Q22" s="204"/>
      <c r="R22" s="205"/>
      <c r="S22" s="206"/>
      <c r="T22" s="205"/>
      <c r="U22" s="206"/>
      <c r="V22" s="136"/>
    </row>
    <row r="23" spans="1:22">
      <c r="A23" s="140" t="s">
        <v>542</v>
      </c>
      <c r="B23" s="148" t="s">
        <v>146</v>
      </c>
      <c r="C23" s="136" t="s">
        <v>472</v>
      </c>
      <c r="D23" s="137">
        <v>20</v>
      </c>
      <c r="E23" s="141">
        <v>8.58</v>
      </c>
      <c r="F23" s="141" t="s">
        <v>36</v>
      </c>
      <c r="G23" s="138" t="s">
        <v>697</v>
      </c>
      <c r="H23" s="142">
        <f t="shared" si="3"/>
        <v>2.3310023310023311</v>
      </c>
      <c r="I23" s="142">
        <v>1000</v>
      </c>
      <c r="J23" s="142">
        <v>20</v>
      </c>
      <c r="K23" s="142">
        <v>5</v>
      </c>
      <c r="L23" s="141">
        <f t="shared" si="0"/>
        <v>2356.0023310023312</v>
      </c>
      <c r="M23" s="141">
        <f>H23*P23/N23</f>
        <v>1.0000000000000002</v>
      </c>
      <c r="N23" s="141">
        <f t="shared" si="1"/>
        <v>2.356002331002331</v>
      </c>
      <c r="O23" s="141">
        <f>N23*ALEA*AGM</f>
        <v>2.5974925699300702</v>
      </c>
      <c r="P23" s="141">
        <f t="shared" si="2"/>
        <v>1.0107250000000001</v>
      </c>
      <c r="Q23" s="204"/>
      <c r="R23" s="205"/>
      <c r="S23" s="206"/>
      <c r="T23" s="205"/>
      <c r="U23" s="206"/>
      <c r="V23" s="136"/>
    </row>
    <row r="24" spans="1:22">
      <c r="A24" s="140" t="s">
        <v>543</v>
      </c>
      <c r="B24" s="148" t="s">
        <v>187</v>
      </c>
      <c r="C24" s="136" t="s">
        <v>472</v>
      </c>
      <c r="D24" s="137">
        <v>11</v>
      </c>
      <c r="E24" s="141">
        <v>5</v>
      </c>
      <c r="F24" s="141" t="s">
        <v>36</v>
      </c>
      <c r="G24" s="138" t="s">
        <v>186</v>
      </c>
      <c r="H24" s="142">
        <f t="shared" si="3"/>
        <v>2.2000000000000002</v>
      </c>
      <c r="I24" s="142">
        <v>1000</v>
      </c>
      <c r="J24" s="142">
        <v>20</v>
      </c>
      <c r="K24" s="142">
        <v>5</v>
      </c>
      <c r="L24" s="141">
        <f t="shared" si="0"/>
        <v>2225</v>
      </c>
      <c r="M24" s="141">
        <f>H24*P24/N24</f>
        <v>1.0000000000000002</v>
      </c>
      <c r="N24" s="141">
        <f t="shared" si="1"/>
        <v>2.2250000000000001</v>
      </c>
      <c r="O24" s="141">
        <f>N24*ALEA*AGM</f>
        <v>2.4530625000000001</v>
      </c>
      <c r="P24" s="141">
        <f t="shared" si="2"/>
        <v>1.0113636363636365</v>
      </c>
      <c r="Q24" s="136"/>
      <c r="R24" s="136"/>
      <c r="S24" s="136"/>
      <c r="T24" s="136"/>
      <c r="U24" s="136"/>
      <c r="V24" s="136"/>
    </row>
    <row r="25" spans="1:22">
      <c r="A25" s="140" t="s">
        <v>685</v>
      </c>
      <c r="B25" s="148" t="s">
        <v>133</v>
      </c>
      <c r="C25" s="136" t="s">
        <v>612</v>
      </c>
      <c r="D25" s="137">
        <v>17</v>
      </c>
      <c r="E25" s="141">
        <v>25</v>
      </c>
      <c r="F25" s="141" t="s">
        <v>36</v>
      </c>
      <c r="G25" s="138" t="s">
        <v>709</v>
      </c>
      <c r="H25" s="142">
        <f t="shared" si="3"/>
        <v>0.68</v>
      </c>
      <c r="I25" s="142">
        <v>1000</v>
      </c>
      <c r="J25" s="142">
        <v>20</v>
      </c>
      <c r="K25" s="142">
        <v>5</v>
      </c>
      <c r="L25" s="141">
        <f t="shared" si="0"/>
        <v>705</v>
      </c>
      <c r="M25" s="141">
        <f>H25*P25/N25</f>
        <v>1.0000000000000002</v>
      </c>
      <c r="N25" s="141">
        <f t="shared" si="1"/>
        <v>0.70499999999999996</v>
      </c>
      <c r="O25" s="141">
        <f>N25*ALEA*AGM</f>
        <v>0.77726249999999997</v>
      </c>
      <c r="P25" s="141">
        <f t="shared" si="2"/>
        <v>1.036764705882353</v>
      </c>
      <c r="Q25" s="136"/>
      <c r="R25" s="136"/>
      <c r="S25" s="136"/>
      <c r="T25" s="136"/>
      <c r="U25" s="136"/>
      <c r="V25" s="136"/>
    </row>
    <row r="26" spans="1:22">
      <c r="A26" s="140" t="s">
        <v>544</v>
      </c>
      <c r="B26" s="148" t="s">
        <v>134</v>
      </c>
      <c r="C26" s="136" t="s">
        <v>472</v>
      </c>
      <c r="D26" s="137">
        <v>80</v>
      </c>
      <c r="E26" s="141">
        <v>25</v>
      </c>
      <c r="F26" s="141" t="s">
        <v>36</v>
      </c>
      <c r="G26" s="138" t="s">
        <v>710</v>
      </c>
      <c r="H26" s="142">
        <f t="shared" si="3"/>
        <v>3.2</v>
      </c>
      <c r="I26" s="142">
        <v>1000</v>
      </c>
      <c r="J26" s="142">
        <v>20</v>
      </c>
      <c r="K26" s="142">
        <v>5</v>
      </c>
      <c r="L26" s="141">
        <f t="shared" si="0"/>
        <v>3225</v>
      </c>
      <c r="M26" s="141">
        <f>H26*P26/N26</f>
        <v>1</v>
      </c>
      <c r="N26" s="141">
        <f t="shared" si="1"/>
        <v>3.2250000000000001</v>
      </c>
      <c r="O26" s="141">
        <f>N26*ALEA*AGM</f>
        <v>3.5555625000000006</v>
      </c>
      <c r="P26" s="141">
        <f t="shared" si="2"/>
        <v>1.0078125</v>
      </c>
      <c r="Q26" s="136"/>
      <c r="R26" s="136"/>
      <c r="S26" s="136"/>
      <c r="T26" s="136"/>
      <c r="U26" s="136"/>
      <c r="V26" s="136"/>
    </row>
    <row r="27" spans="1:22">
      <c r="A27" s="140" t="s">
        <v>545</v>
      </c>
      <c r="B27" s="148" t="s">
        <v>183</v>
      </c>
      <c r="C27" s="136" t="s">
        <v>472</v>
      </c>
      <c r="D27" s="137">
        <v>11</v>
      </c>
      <c r="E27" s="141">
        <v>1</v>
      </c>
      <c r="F27" s="141" t="s">
        <v>34</v>
      </c>
      <c r="G27" s="138" t="s">
        <v>184</v>
      </c>
      <c r="H27" s="142">
        <f t="shared" si="3"/>
        <v>11</v>
      </c>
      <c r="I27" s="142">
        <v>1000</v>
      </c>
      <c r="J27" s="142">
        <v>20</v>
      </c>
      <c r="K27" s="142">
        <v>5</v>
      </c>
      <c r="L27" s="141">
        <f t="shared" si="0"/>
        <v>11025</v>
      </c>
      <c r="M27" s="141">
        <f>H27*P27/N27</f>
        <v>0.99999999999999989</v>
      </c>
      <c r="N27" s="141">
        <f t="shared" si="1"/>
        <v>11.025</v>
      </c>
      <c r="O27" s="141">
        <f>N27*ALEA*AGM</f>
        <v>12.155062500000001</v>
      </c>
      <c r="P27" s="141">
        <f t="shared" si="2"/>
        <v>1.0022727272727272</v>
      </c>
      <c r="Q27" s="136"/>
      <c r="R27" s="136"/>
      <c r="S27" s="136"/>
      <c r="T27" s="136"/>
      <c r="U27" s="136"/>
      <c r="V27" s="136"/>
    </row>
    <row r="28" spans="1:22">
      <c r="A28" s="140" t="s">
        <v>546</v>
      </c>
      <c r="B28" s="150" t="s">
        <v>40</v>
      </c>
      <c r="C28" s="136" t="s">
        <v>472</v>
      </c>
      <c r="D28" s="137">
        <v>35</v>
      </c>
      <c r="E28" s="141">
        <v>1</v>
      </c>
      <c r="F28" s="141" t="s">
        <v>31</v>
      </c>
      <c r="G28" s="138" t="s">
        <v>181</v>
      </c>
      <c r="H28" s="142">
        <f t="shared" si="3"/>
        <v>35</v>
      </c>
      <c r="I28" s="142">
        <v>1000</v>
      </c>
      <c r="J28" s="142">
        <v>20</v>
      </c>
      <c r="K28" s="142">
        <v>5</v>
      </c>
      <c r="L28" s="141">
        <f t="shared" si="0"/>
        <v>35025</v>
      </c>
      <c r="M28" s="141">
        <f>H28*P28/N28</f>
        <v>1</v>
      </c>
      <c r="N28" s="141">
        <f t="shared" si="1"/>
        <v>35.024999999999999</v>
      </c>
      <c r="O28" s="141">
        <f>N28*ALEA*AGM</f>
        <v>38.615062500000001</v>
      </c>
      <c r="P28" s="141">
        <f t="shared" si="2"/>
        <v>1.0007142857142857</v>
      </c>
      <c r="Q28" s="136"/>
      <c r="R28" s="136"/>
      <c r="S28" s="136"/>
      <c r="T28" s="136"/>
      <c r="U28" s="136"/>
      <c r="V28" s="136"/>
    </row>
    <row r="29" spans="1:22">
      <c r="A29" s="140" t="s">
        <v>547</v>
      </c>
      <c r="B29" s="150" t="s">
        <v>41</v>
      </c>
      <c r="C29" s="136" t="s">
        <v>472</v>
      </c>
      <c r="D29" s="137">
        <v>17</v>
      </c>
      <c r="E29" s="141">
        <v>1</v>
      </c>
      <c r="F29" s="141" t="s">
        <v>31</v>
      </c>
      <c r="G29" s="138" t="s">
        <v>204</v>
      </c>
      <c r="H29" s="142">
        <f t="shared" si="3"/>
        <v>17</v>
      </c>
      <c r="I29" s="142">
        <v>1000</v>
      </c>
      <c r="J29" s="142">
        <v>20</v>
      </c>
      <c r="K29" s="142">
        <v>5</v>
      </c>
      <c r="L29" s="141">
        <f t="shared" si="0"/>
        <v>17025</v>
      </c>
      <c r="M29" s="141">
        <f>H29*P29/N29</f>
        <v>1</v>
      </c>
      <c r="N29" s="141">
        <f t="shared" si="1"/>
        <v>17.024999999999999</v>
      </c>
      <c r="O29" s="141">
        <f>N29*ALEA*AGM</f>
        <v>18.770062499999998</v>
      </c>
      <c r="P29" s="141">
        <f t="shared" si="2"/>
        <v>1.0014705882352941</v>
      </c>
      <c r="Q29" s="136"/>
      <c r="R29" s="136"/>
      <c r="S29" s="136"/>
      <c r="T29" s="136"/>
      <c r="U29" s="136"/>
      <c r="V29" s="136"/>
    </row>
    <row r="30" spans="1:22">
      <c r="A30" s="140" t="s">
        <v>548</v>
      </c>
      <c r="B30" s="150" t="s">
        <v>42</v>
      </c>
      <c r="C30" s="136" t="s">
        <v>472</v>
      </c>
      <c r="D30" s="137">
        <v>17</v>
      </c>
      <c r="E30" s="141">
        <v>1</v>
      </c>
      <c r="F30" s="141" t="s">
        <v>31</v>
      </c>
      <c r="G30" s="138" t="s">
        <v>204</v>
      </c>
      <c r="H30" s="142">
        <f t="shared" si="3"/>
        <v>17</v>
      </c>
      <c r="I30" s="142">
        <v>1000</v>
      </c>
      <c r="J30" s="142">
        <v>20</v>
      </c>
      <c r="K30" s="142">
        <v>5</v>
      </c>
      <c r="L30" s="141">
        <f t="shared" si="0"/>
        <v>17025</v>
      </c>
      <c r="M30" s="141">
        <f>H30*P30/N30</f>
        <v>1</v>
      </c>
      <c r="N30" s="141">
        <f t="shared" si="1"/>
        <v>17.024999999999999</v>
      </c>
      <c r="O30" s="141">
        <f>N30*ALEA*AGM</f>
        <v>18.770062499999998</v>
      </c>
      <c r="P30" s="141">
        <f t="shared" si="2"/>
        <v>1.0014705882352941</v>
      </c>
      <c r="Q30" s="136"/>
      <c r="R30" s="136"/>
      <c r="S30" s="136"/>
      <c r="T30" s="136"/>
      <c r="U30" s="136"/>
      <c r="V30" s="136"/>
    </row>
    <row r="31" spans="1:22">
      <c r="A31" s="140" t="s">
        <v>549</v>
      </c>
      <c r="B31" s="150" t="s">
        <v>43</v>
      </c>
      <c r="C31" s="136" t="s">
        <v>472</v>
      </c>
      <c r="D31" s="137">
        <v>17</v>
      </c>
      <c r="E31" s="141">
        <v>1</v>
      </c>
      <c r="F31" s="141" t="s">
        <v>31</v>
      </c>
      <c r="G31" s="138" t="s">
        <v>205</v>
      </c>
      <c r="H31" s="142">
        <f t="shared" si="3"/>
        <v>17</v>
      </c>
      <c r="I31" s="142">
        <v>1000</v>
      </c>
      <c r="J31" s="142">
        <v>20</v>
      </c>
      <c r="K31" s="142">
        <v>5</v>
      </c>
      <c r="L31" s="141">
        <f t="shared" si="0"/>
        <v>17025</v>
      </c>
      <c r="M31" s="141">
        <f>H31*P31/N31</f>
        <v>1</v>
      </c>
      <c r="N31" s="141">
        <f t="shared" si="1"/>
        <v>17.024999999999999</v>
      </c>
      <c r="O31" s="141">
        <f>N31*ALEA*AGM</f>
        <v>18.770062499999998</v>
      </c>
      <c r="P31" s="141">
        <f t="shared" si="2"/>
        <v>1.0014705882352941</v>
      </c>
      <c r="Q31" s="136"/>
      <c r="R31" s="136"/>
      <c r="S31" s="136"/>
      <c r="T31" s="136"/>
      <c r="U31" s="136"/>
      <c r="V31" s="136"/>
    </row>
    <row r="32" spans="1:22">
      <c r="A32" s="140" t="s">
        <v>550</v>
      </c>
      <c r="B32" s="150" t="s">
        <v>44</v>
      </c>
      <c r="C32" s="136" t="s">
        <v>472</v>
      </c>
      <c r="D32" s="137">
        <v>35</v>
      </c>
      <c r="E32" s="141">
        <v>1</v>
      </c>
      <c r="F32" s="141" t="s">
        <v>31</v>
      </c>
      <c r="G32" s="138" t="s">
        <v>204</v>
      </c>
      <c r="H32" s="142">
        <f t="shared" si="3"/>
        <v>35</v>
      </c>
      <c r="I32" s="142">
        <v>1000</v>
      </c>
      <c r="J32" s="142">
        <v>20</v>
      </c>
      <c r="K32" s="142">
        <v>5</v>
      </c>
      <c r="L32" s="141">
        <f t="shared" si="0"/>
        <v>35025</v>
      </c>
      <c r="M32" s="141">
        <f>H32*P32/N32</f>
        <v>1</v>
      </c>
      <c r="N32" s="141">
        <f t="shared" si="1"/>
        <v>35.024999999999999</v>
      </c>
      <c r="O32" s="141">
        <f>N32*ALEA*AGM</f>
        <v>38.615062500000001</v>
      </c>
      <c r="P32" s="141">
        <f t="shared" si="2"/>
        <v>1.0007142857142857</v>
      </c>
      <c r="Q32" s="136"/>
      <c r="R32" s="136"/>
      <c r="S32" s="136"/>
      <c r="T32" s="136"/>
      <c r="U32" s="136"/>
      <c r="V32" s="136"/>
    </row>
    <row r="33" spans="1:22">
      <c r="A33" s="140" t="s">
        <v>551</v>
      </c>
      <c r="B33" s="150" t="s">
        <v>47</v>
      </c>
      <c r="C33" s="136" t="s">
        <v>472</v>
      </c>
      <c r="D33" s="137">
        <v>35</v>
      </c>
      <c r="E33" s="141">
        <v>1</v>
      </c>
      <c r="F33" s="141" t="s">
        <v>31</v>
      </c>
      <c r="G33" s="138" t="s">
        <v>206</v>
      </c>
      <c r="H33" s="142">
        <f t="shared" si="3"/>
        <v>35</v>
      </c>
      <c r="I33" s="142">
        <v>1000</v>
      </c>
      <c r="J33" s="142">
        <v>20</v>
      </c>
      <c r="K33" s="142">
        <v>5</v>
      </c>
      <c r="L33" s="141">
        <f t="shared" si="0"/>
        <v>35025</v>
      </c>
      <c r="M33" s="141">
        <f>H33*P33/N33</f>
        <v>1</v>
      </c>
      <c r="N33" s="141">
        <f t="shared" si="1"/>
        <v>35.024999999999999</v>
      </c>
      <c r="O33" s="141">
        <f>N33*ALEA*AGM</f>
        <v>38.615062500000001</v>
      </c>
      <c r="P33" s="141">
        <f t="shared" si="2"/>
        <v>1.0007142857142857</v>
      </c>
      <c r="Q33" s="136"/>
      <c r="R33" s="136"/>
      <c r="S33" s="136"/>
      <c r="T33" s="136"/>
      <c r="U33" s="136"/>
      <c r="V33" s="136"/>
    </row>
    <row r="34" spans="1:22">
      <c r="A34" s="140" t="s">
        <v>552</v>
      </c>
      <c r="B34" s="150" t="s">
        <v>49</v>
      </c>
      <c r="C34" s="136" t="s">
        <v>472</v>
      </c>
      <c r="D34" s="137">
        <v>35</v>
      </c>
      <c r="E34" s="141">
        <v>1</v>
      </c>
      <c r="F34" s="141" t="s">
        <v>31</v>
      </c>
      <c r="G34" s="138" t="s">
        <v>206</v>
      </c>
      <c r="H34" s="142">
        <f t="shared" si="3"/>
        <v>35</v>
      </c>
      <c r="I34" s="142">
        <v>1000</v>
      </c>
      <c r="J34" s="142">
        <v>20</v>
      </c>
      <c r="K34" s="142">
        <v>5</v>
      </c>
      <c r="L34" s="141">
        <f t="shared" si="0"/>
        <v>35025</v>
      </c>
      <c r="M34" s="141">
        <f>H34*P34/N34</f>
        <v>1</v>
      </c>
      <c r="N34" s="141">
        <f t="shared" si="1"/>
        <v>35.024999999999999</v>
      </c>
      <c r="O34" s="141">
        <f>N34*ALEA*AGM</f>
        <v>38.615062500000001</v>
      </c>
      <c r="P34" s="141">
        <f t="shared" si="2"/>
        <v>1.0007142857142857</v>
      </c>
      <c r="Q34" s="136"/>
      <c r="R34" s="136"/>
      <c r="S34" s="136"/>
      <c r="T34" s="136"/>
      <c r="U34" s="136"/>
      <c r="V34" s="136"/>
    </row>
    <row r="35" spans="1:22">
      <c r="A35" s="140" t="s">
        <v>553</v>
      </c>
      <c r="B35" s="150" t="s">
        <v>50</v>
      </c>
      <c r="C35" s="136" t="s">
        <v>472</v>
      </c>
      <c r="D35" s="137">
        <v>25</v>
      </c>
      <c r="E35" s="141">
        <v>1</v>
      </c>
      <c r="F35" s="141" t="s">
        <v>31</v>
      </c>
      <c r="G35" s="138" t="s">
        <v>207</v>
      </c>
      <c r="H35" s="142">
        <f t="shared" si="3"/>
        <v>25</v>
      </c>
      <c r="I35" s="142">
        <v>1000</v>
      </c>
      <c r="J35" s="142">
        <v>20</v>
      </c>
      <c r="K35" s="142">
        <v>5</v>
      </c>
      <c r="L35" s="141">
        <f t="shared" si="0"/>
        <v>25025</v>
      </c>
      <c r="M35" s="141">
        <f>H35*P35/N35</f>
        <v>1</v>
      </c>
      <c r="N35" s="141">
        <f t="shared" si="1"/>
        <v>25.024999999999999</v>
      </c>
      <c r="O35" s="141">
        <f>N35*ALEA*AGM</f>
        <v>27.590062500000002</v>
      </c>
      <c r="P35" s="141">
        <f t="shared" si="2"/>
        <v>1.0009999999999999</v>
      </c>
      <c r="Q35" s="136"/>
      <c r="R35" s="136"/>
      <c r="S35" s="136"/>
      <c r="T35" s="136"/>
      <c r="U35" s="136"/>
      <c r="V35" s="136"/>
    </row>
    <row r="36" spans="1:22">
      <c r="A36" s="140" t="s">
        <v>554</v>
      </c>
      <c r="B36" s="150" t="s">
        <v>46</v>
      </c>
      <c r="C36" s="136" t="s">
        <v>472</v>
      </c>
      <c r="D36" s="137">
        <v>25</v>
      </c>
      <c r="E36" s="141">
        <v>100</v>
      </c>
      <c r="F36" s="141" t="s">
        <v>34</v>
      </c>
      <c r="G36" s="138" t="s">
        <v>188</v>
      </c>
      <c r="H36" s="142">
        <f t="shared" si="3"/>
        <v>0.25</v>
      </c>
      <c r="I36" s="142">
        <v>100</v>
      </c>
      <c r="J36" s="142">
        <v>20</v>
      </c>
      <c r="K36" s="142">
        <v>5</v>
      </c>
      <c r="L36" s="141">
        <f t="shared" si="0"/>
        <v>50</v>
      </c>
      <c r="M36" s="141">
        <f>H36*P36/N36</f>
        <v>1</v>
      </c>
      <c r="N36" s="141">
        <f t="shared" si="1"/>
        <v>0.5</v>
      </c>
      <c r="O36" s="141">
        <f>N36*ALEA*AGM</f>
        <v>0.55125000000000002</v>
      </c>
      <c r="P36" s="141">
        <f t="shared" si="2"/>
        <v>2</v>
      </c>
      <c r="Q36" s="136"/>
      <c r="R36" s="136"/>
      <c r="S36" s="136"/>
      <c r="T36" s="136"/>
      <c r="U36" s="136"/>
      <c r="V36" s="136"/>
    </row>
    <row r="37" spans="1:22">
      <c r="A37" s="140" t="s">
        <v>555</v>
      </c>
      <c r="B37" s="150" t="s">
        <v>28</v>
      </c>
      <c r="C37" s="139" t="s">
        <v>476</v>
      </c>
      <c r="D37" s="137">
        <v>133</v>
      </c>
      <c r="E37" s="141">
        <v>25</v>
      </c>
      <c r="F37" s="141" t="s">
        <v>36</v>
      </c>
      <c r="G37" s="138" t="s">
        <v>711</v>
      </c>
      <c r="H37" s="142">
        <f t="shared" si="3"/>
        <v>5.32</v>
      </c>
      <c r="I37" s="142">
        <v>100</v>
      </c>
      <c r="J37" s="142">
        <v>20</v>
      </c>
      <c r="K37" s="142">
        <v>5</v>
      </c>
      <c r="L37" s="141">
        <f t="shared" si="0"/>
        <v>557</v>
      </c>
      <c r="M37" s="141">
        <f>H37*P37/N37</f>
        <v>1</v>
      </c>
      <c r="N37" s="141">
        <f t="shared" si="1"/>
        <v>5.57</v>
      </c>
      <c r="O37" s="141">
        <f>N37*ALEA*AGM</f>
        <v>6.1409250000000011</v>
      </c>
      <c r="P37" s="141">
        <f t="shared" si="2"/>
        <v>1.0469924812030076</v>
      </c>
      <c r="Q37" s="136"/>
      <c r="R37" s="136"/>
      <c r="S37" s="136"/>
      <c r="T37" s="136"/>
      <c r="U37" s="136"/>
      <c r="V37" s="136"/>
    </row>
    <row r="38" spans="1:22">
      <c r="A38" s="140" t="s">
        <v>556</v>
      </c>
      <c r="B38" s="150" t="s">
        <v>29</v>
      </c>
      <c r="C38" s="139" t="s">
        <v>476</v>
      </c>
      <c r="D38" s="137">
        <v>85</v>
      </c>
      <c r="E38" s="141">
        <v>25</v>
      </c>
      <c r="F38" s="141" t="s">
        <v>36</v>
      </c>
      <c r="G38" s="138" t="s">
        <v>712</v>
      </c>
      <c r="H38" s="142">
        <f t="shared" si="3"/>
        <v>3.4</v>
      </c>
      <c r="I38" s="142">
        <v>100</v>
      </c>
      <c r="J38" s="142">
        <v>20</v>
      </c>
      <c r="K38" s="142">
        <v>5</v>
      </c>
      <c r="L38" s="141">
        <f t="shared" ref="L38:L69" si="4">(H38*I38)+SUM(J38:K38)</f>
        <v>365</v>
      </c>
      <c r="M38" s="141">
        <f>H38*P38/N38</f>
        <v>1</v>
      </c>
      <c r="N38" s="141">
        <f t="shared" ref="N38:N69" si="5">L38/I38</f>
        <v>3.65</v>
      </c>
      <c r="O38" s="141">
        <f>N38*ALEA*AGM</f>
        <v>4.0241250000000006</v>
      </c>
      <c r="P38" s="141">
        <f t="shared" ref="P38:P69" si="6">(I38+SUM(J38:K38)/H38)/I38</f>
        <v>1.0735294117647058</v>
      </c>
      <c r="Q38" s="136"/>
      <c r="R38" s="136"/>
      <c r="S38" s="136"/>
      <c r="T38" s="136"/>
      <c r="U38" s="136"/>
      <c r="V38" s="136"/>
    </row>
    <row r="39" spans="1:22">
      <c r="A39" s="140" t="s">
        <v>557</v>
      </c>
      <c r="B39" s="150" t="s">
        <v>30</v>
      </c>
      <c r="C39" s="139" t="s">
        <v>476</v>
      </c>
      <c r="D39" s="137">
        <v>115</v>
      </c>
      <c r="E39" s="141">
        <v>25</v>
      </c>
      <c r="F39" s="141" t="s">
        <v>36</v>
      </c>
      <c r="G39" s="138" t="s">
        <v>713</v>
      </c>
      <c r="H39" s="142">
        <f t="shared" si="3"/>
        <v>4.5999999999999996</v>
      </c>
      <c r="I39" s="142">
        <v>100</v>
      </c>
      <c r="J39" s="142">
        <v>20</v>
      </c>
      <c r="K39" s="142">
        <v>5</v>
      </c>
      <c r="L39" s="141">
        <f t="shared" si="4"/>
        <v>484.99999999999994</v>
      </c>
      <c r="M39" s="141">
        <f>H39*P39/N39</f>
        <v>1</v>
      </c>
      <c r="N39" s="141">
        <f t="shared" si="5"/>
        <v>4.8499999999999996</v>
      </c>
      <c r="O39" s="141">
        <f>N39*ALEA*AGM</f>
        <v>5.3471250000000001</v>
      </c>
      <c r="P39" s="141">
        <f t="shared" si="6"/>
        <v>1.0543478260869565</v>
      </c>
      <c r="Q39" s="136"/>
      <c r="R39" s="136"/>
      <c r="S39" s="136"/>
      <c r="T39" s="136"/>
      <c r="U39" s="136"/>
      <c r="V39" s="136"/>
    </row>
    <row r="40" spans="1:22">
      <c r="A40" s="140" t="s">
        <v>558</v>
      </c>
      <c r="B40" s="150" t="s">
        <v>196</v>
      </c>
      <c r="C40" s="139" t="s">
        <v>476</v>
      </c>
      <c r="D40" s="137">
        <v>80</v>
      </c>
      <c r="E40" s="141">
        <v>50</v>
      </c>
      <c r="F40" s="141" t="s">
        <v>31</v>
      </c>
      <c r="G40" s="138" t="s">
        <v>232</v>
      </c>
      <c r="H40" s="142">
        <f t="shared" si="3"/>
        <v>1.6</v>
      </c>
      <c r="I40" s="142">
        <v>50</v>
      </c>
      <c r="J40" s="142">
        <v>20</v>
      </c>
      <c r="K40" s="142">
        <v>5</v>
      </c>
      <c r="L40" s="141">
        <f t="shared" si="4"/>
        <v>105</v>
      </c>
      <c r="M40" s="141">
        <f>H40*P40/N40</f>
        <v>1</v>
      </c>
      <c r="N40" s="141">
        <f t="shared" si="5"/>
        <v>2.1</v>
      </c>
      <c r="O40" s="141">
        <f>N40*ALEA*AGM</f>
        <v>2.3152500000000003</v>
      </c>
      <c r="P40" s="141">
        <f t="shared" si="6"/>
        <v>1.3125</v>
      </c>
      <c r="Q40" s="136"/>
      <c r="R40" s="136"/>
      <c r="S40" s="136"/>
      <c r="T40" s="136"/>
      <c r="U40" s="136"/>
      <c r="V40" s="136"/>
    </row>
    <row r="41" spans="1:22">
      <c r="A41" s="140" t="s">
        <v>559</v>
      </c>
      <c r="B41" s="150" t="s">
        <v>32</v>
      </c>
      <c r="C41" s="139" t="s">
        <v>476</v>
      </c>
      <c r="D41" s="137">
        <v>73</v>
      </c>
      <c r="E41" s="141">
        <v>25</v>
      </c>
      <c r="F41" s="141" t="s">
        <v>36</v>
      </c>
      <c r="G41" s="138" t="s">
        <v>714</v>
      </c>
      <c r="H41" s="142">
        <f t="shared" si="3"/>
        <v>2.92</v>
      </c>
      <c r="I41" s="142">
        <v>100</v>
      </c>
      <c r="J41" s="142">
        <v>20</v>
      </c>
      <c r="K41" s="142">
        <v>5</v>
      </c>
      <c r="L41" s="141">
        <f t="shared" si="4"/>
        <v>317</v>
      </c>
      <c r="M41" s="141">
        <f>H41*P41/N41</f>
        <v>1</v>
      </c>
      <c r="N41" s="141">
        <f t="shared" si="5"/>
        <v>3.17</v>
      </c>
      <c r="O41" s="141">
        <f>N41*ALEA*AGM</f>
        <v>3.4949250000000003</v>
      </c>
      <c r="P41" s="141">
        <f t="shared" si="6"/>
        <v>1.0856164383561644</v>
      </c>
      <c r="Q41" s="136"/>
      <c r="R41" s="136"/>
      <c r="S41" s="136"/>
      <c r="T41" s="136"/>
      <c r="U41" s="136"/>
      <c r="V41" s="136"/>
    </row>
    <row r="42" spans="1:22">
      <c r="A42" s="140" t="s">
        <v>560</v>
      </c>
      <c r="B42" s="150" t="s">
        <v>35</v>
      </c>
      <c r="C42" s="139" t="s">
        <v>476</v>
      </c>
      <c r="D42" s="137">
        <v>259</v>
      </c>
      <c r="E42" s="141">
        <v>25</v>
      </c>
      <c r="F42" s="141" t="s">
        <v>36</v>
      </c>
      <c r="G42" s="138" t="s">
        <v>715</v>
      </c>
      <c r="H42" s="142">
        <f t="shared" si="3"/>
        <v>10.36</v>
      </c>
      <c r="I42" s="142">
        <v>1000</v>
      </c>
      <c r="J42" s="142">
        <v>20</v>
      </c>
      <c r="K42" s="142">
        <v>5</v>
      </c>
      <c r="L42" s="141">
        <f t="shared" si="4"/>
        <v>10385</v>
      </c>
      <c r="M42" s="141">
        <f>H42*P42/N42</f>
        <v>1</v>
      </c>
      <c r="N42" s="141">
        <f t="shared" si="5"/>
        <v>10.385</v>
      </c>
      <c r="O42" s="141">
        <f>N42*ALEA*AGM</f>
        <v>11.449462500000001</v>
      </c>
      <c r="P42" s="141">
        <f t="shared" si="6"/>
        <v>1.0024131274131274</v>
      </c>
      <c r="Q42" s="136"/>
      <c r="R42" s="136"/>
      <c r="S42" s="136"/>
      <c r="T42" s="136"/>
      <c r="U42" s="136"/>
      <c r="V42" s="136"/>
    </row>
    <row r="43" spans="1:22">
      <c r="A43" s="140" t="s">
        <v>561</v>
      </c>
      <c r="B43" s="150" t="s">
        <v>162</v>
      </c>
      <c r="C43" s="139" t="s">
        <v>476</v>
      </c>
      <c r="D43" s="137">
        <v>60</v>
      </c>
      <c r="E43" s="141">
        <v>1.2</v>
      </c>
      <c r="F43" s="141" t="s">
        <v>31</v>
      </c>
      <c r="G43" s="138" t="s">
        <v>189</v>
      </c>
      <c r="H43" s="142">
        <f t="shared" si="3"/>
        <v>50</v>
      </c>
      <c r="I43" s="142">
        <v>100</v>
      </c>
      <c r="J43" s="142">
        <v>20</v>
      </c>
      <c r="K43" s="142">
        <v>5</v>
      </c>
      <c r="L43" s="141">
        <f t="shared" si="4"/>
        <v>5025</v>
      </c>
      <c r="M43" s="141">
        <f>H43*P43/N43</f>
        <v>0.99999999999999989</v>
      </c>
      <c r="N43" s="141">
        <f t="shared" si="5"/>
        <v>50.25</v>
      </c>
      <c r="O43" s="141">
        <f>N43*ALEA*AGM</f>
        <v>55.400625000000005</v>
      </c>
      <c r="P43" s="141">
        <f t="shared" si="6"/>
        <v>1.0049999999999999</v>
      </c>
      <c r="Q43" s="136"/>
      <c r="R43" s="136"/>
      <c r="S43" s="136"/>
      <c r="T43" s="136"/>
      <c r="U43" s="136"/>
      <c r="V43" s="136"/>
    </row>
    <row r="44" spans="1:22">
      <c r="A44" s="140" t="s">
        <v>562</v>
      </c>
      <c r="B44" s="150" t="s">
        <v>51</v>
      </c>
      <c r="C44" s="139" t="s">
        <v>613</v>
      </c>
      <c r="D44" s="137">
        <v>20</v>
      </c>
      <c r="E44" s="141">
        <v>1</v>
      </c>
      <c r="F44" s="141" t="s">
        <v>39</v>
      </c>
      <c r="G44" s="138" t="s">
        <v>190</v>
      </c>
      <c r="H44" s="142">
        <f t="shared" si="3"/>
        <v>20</v>
      </c>
      <c r="I44" s="142">
        <v>1000</v>
      </c>
      <c r="J44" s="142">
        <v>20</v>
      </c>
      <c r="K44" s="142">
        <v>5</v>
      </c>
      <c r="L44" s="141">
        <f t="shared" si="4"/>
        <v>20025</v>
      </c>
      <c r="M44" s="141">
        <f>H44*P44/N44</f>
        <v>1</v>
      </c>
      <c r="N44" s="141">
        <f t="shared" si="5"/>
        <v>20.024999999999999</v>
      </c>
      <c r="O44" s="141">
        <f>N44*ALEA*AGM</f>
        <v>22.077562500000003</v>
      </c>
      <c r="P44" s="141">
        <f t="shared" si="6"/>
        <v>1.00125</v>
      </c>
      <c r="Q44" s="136"/>
      <c r="R44" s="136"/>
      <c r="S44" s="136"/>
      <c r="T44" s="136"/>
      <c r="U44" s="136"/>
      <c r="V44" s="136"/>
    </row>
    <row r="45" spans="1:22">
      <c r="A45" s="140" t="s">
        <v>563</v>
      </c>
      <c r="B45" s="150" t="s">
        <v>52</v>
      </c>
      <c r="C45" s="139" t="s">
        <v>613</v>
      </c>
      <c r="D45" s="137">
        <v>20</v>
      </c>
      <c r="E45" s="141">
        <v>1</v>
      </c>
      <c r="F45" s="141" t="s">
        <v>39</v>
      </c>
      <c r="G45" s="138" t="s">
        <v>191</v>
      </c>
      <c r="H45" s="142">
        <f t="shared" si="3"/>
        <v>20</v>
      </c>
      <c r="I45" s="142">
        <v>1000</v>
      </c>
      <c r="J45" s="142">
        <v>20</v>
      </c>
      <c r="K45" s="142">
        <v>5</v>
      </c>
      <c r="L45" s="141">
        <f t="shared" si="4"/>
        <v>20025</v>
      </c>
      <c r="M45" s="141">
        <f>H45*P45/N45</f>
        <v>1</v>
      </c>
      <c r="N45" s="141">
        <f t="shared" si="5"/>
        <v>20.024999999999999</v>
      </c>
      <c r="O45" s="141">
        <f>N45*ALEA*AGM</f>
        <v>22.077562500000003</v>
      </c>
      <c r="P45" s="141">
        <f t="shared" si="6"/>
        <v>1.00125</v>
      </c>
      <c r="Q45" s="136"/>
      <c r="R45" s="136"/>
      <c r="S45" s="136"/>
      <c r="T45" s="136"/>
      <c r="U45" s="136"/>
      <c r="V45" s="136"/>
    </row>
    <row r="46" spans="1:22">
      <c r="A46" s="140" t="s">
        <v>564</v>
      </c>
      <c r="B46" s="150" t="s">
        <v>54</v>
      </c>
      <c r="C46" s="139" t="s">
        <v>472</v>
      </c>
      <c r="D46" s="137">
        <v>17</v>
      </c>
      <c r="E46" s="141">
        <v>3.12</v>
      </c>
      <c r="F46" s="141" t="s">
        <v>39</v>
      </c>
      <c r="G46" s="138" t="s">
        <v>192</v>
      </c>
      <c r="H46" s="142">
        <f t="shared" si="3"/>
        <v>5.4487179487179489</v>
      </c>
      <c r="I46" s="142">
        <v>100</v>
      </c>
      <c r="J46" s="142">
        <v>20</v>
      </c>
      <c r="K46" s="142">
        <v>5</v>
      </c>
      <c r="L46" s="141">
        <f t="shared" si="4"/>
        <v>569.87179487179492</v>
      </c>
      <c r="M46" s="141">
        <f>H46*P46/N46</f>
        <v>1</v>
      </c>
      <c r="N46" s="141">
        <f t="shared" si="5"/>
        <v>5.6987179487179489</v>
      </c>
      <c r="O46" s="141">
        <f>N46*ALEA*AGM</f>
        <v>6.2828365384615399</v>
      </c>
      <c r="P46" s="141">
        <f t="shared" si="6"/>
        <v>1.0458823529411765</v>
      </c>
      <c r="Q46" s="136"/>
      <c r="R46" s="136"/>
      <c r="S46" s="136"/>
      <c r="T46" s="136"/>
      <c r="U46" s="136"/>
      <c r="V46" s="136"/>
    </row>
    <row r="47" spans="1:22">
      <c r="A47" s="140" t="s">
        <v>565</v>
      </c>
      <c r="B47" s="150" t="s">
        <v>201</v>
      </c>
      <c r="C47" s="139" t="s">
        <v>472</v>
      </c>
      <c r="D47" s="137">
        <v>3.9</v>
      </c>
      <c r="E47" s="141">
        <v>2.6</v>
      </c>
      <c r="F47" s="141" t="s">
        <v>31</v>
      </c>
      <c r="G47" s="138" t="s">
        <v>202</v>
      </c>
      <c r="H47" s="142">
        <f t="shared" si="3"/>
        <v>1.5</v>
      </c>
      <c r="I47" s="142">
        <v>1000</v>
      </c>
      <c r="J47" s="142">
        <v>20</v>
      </c>
      <c r="K47" s="142">
        <v>5</v>
      </c>
      <c r="L47" s="141">
        <f t="shared" si="4"/>
        <v>1525</v>
      </c>
      <c r="M47" s="141">
        <f>H47*P47/N47</f>
        <v>1</v>
      </c>
      <c r="N47" s="141">
        <f t="shared" si="5"/>
        <v>1.5249999999999999</v>
      </c>
      <c r="O47" s="141">
        <f>N47*ALEA*AGM</f>
        <v>1.6813125000000002</v>
      </c>
      <c r="P47" s="141">
        <f t="shared" si="6"/>
        <v>1.0166666666666666</v>
      </c>
      <c r="Q47" s="136"/>
      <c r="R47" s="136"/>
      <c r="S47" s="136"/>
      <c r="T47" s="136"/>
      <c r="U47" s="136"/>
      <c r="V47" s="136"/>
    </row>
    <row r="48" spans="1:22">
      <c r="A48" s="140" t="s">
        <v>686</v>
      </c>
      <c r="B48" s="150" t="s">
        <v>200</v>
      </c>
      <c r="C48" s="139" t="s">
        <v>472</v>
      </c>
      <c r="D48" s="137">
        <v>3.1</v>
      </c>
      <c r="E48" s="141">
        <v>3</v>
      </c>
      <c r="F48" s="141" t="s">
        <v>31</v>
      </c>
      <c r="G48" s="138" t="s">
        <v>203</v>
      </c>
      <c r="H48" s="142">
        <f t="shared" si="3"/>
        <v>1.0333333333333334</v>
      </c>
      <c r="I48" s="142">
        <v>1000</v>
      </c>
      <c r="J48" s="142">
        <v>20</v>
      </c>
      <c r="K48" s="142">
        <v>5</v>
      </c>
      <c r="L48" s="141">
        <f t="shared" si="4"/>
        <v>1058.3333333333335</v>
      </c>
      <c r="M48" s="141">
        <f>H48*P48/N48</f>
        <v>0.99999999999999978</v>
      </c>
      <c r="N48" s="141">
        <f t="shared" si="5"/>
        <v>1.0583333333333336</v>
      </c>
      <c r="O48" s="141">
        <f>N48*ALEA*AGM</f>
        <v>1.1668125000000003</v>
      </c>
      <c r="P48" s="141">
        <f t="shared" si="6"/>
        <v>1.0241935483870968</v>
      </c>
      <c r="Q48" s="136"/>
      <c r="R48" s="136"/>
      <c r="S48" s="136"/>
      <c r="T48" s="136"/>
      <c r="U48" s="136"/>
      <c r="V48" s="136"/>
    </row>
    <row r="49" spans="1:22">
      <c r="A49" s="140" t="s">
        <v>566</v>
      </c>
      <c r="B49" s="150" t="s">
        <v>193</v>
      </c>
      <c r="C49" s="139" t="s">
        <v>476</v>
      </c>
      <c r="D49" s="137">
        <v>17</v>
      </c>
      <c r="E49" s="141">
        <v>25</v>
      </c>
      <c r="F49" s="141" t="s">
        <v>36</v>
      </c>
      <c r="G49" s="138" t="s">
        <v>716</v>
      </c>
      <c r="H49" s="142">
        <f t="shared" si="3"/>
        <v>0.68</v>
      </c>
      <c r="I49" s="142">
        <v>1000</v>
      </c>
      <c r="J49" s="142">
        <v>20</v>
      </c>
      <c r="K49" s="142">
        <v>5</v>
      </c>
      <c r="L49" s="141">
        <f t="shared" si="4"/>
        <v>705</v>
      </c>
      <c r="M49" s="141">
        <f>H49*P49/N49</f>
        <v>1.0000000000000002</v>
      </c>
      <c r="N49" s="141">
        <f t="shared" si="5"/>
        <v>0.70499999999999996</v>
      </c>
      <c r="O49" s="141">
        <f>N49*ALEA*AGM</f>
        <v>0.77726249999999997</v>
      </c>
      <c r="P49" s="141">
        <f t="shared" si="6"/>
        <v>1.036764705882353</v>
      </c>
      <c r="Q49" s="136"/>
      <c r="R49" s="136"/>
      <c r="S49" s="136"/>
      <c r="T49" s="136"/>
      <c r="U49" s="136"/>
      <c r="V49" s="136"/>
    </row>
    <row r="50" spans="1:22">
      <c r="A50" s="140" t="s">
        <v>567</v>
      </c>
      <c r="B50" s="150" t="s">
        <v>197</v>
      </c>
      <c r="C50" s="139" t="s">
        <v>476</v>
      </c>
      <c r="D50" s="137">
        <v>20</v>
      </c>
      <c r="E50" s="141">
        <v>150</v>
      </c>
      <c r="F50" s="141" t="s">
        <v>31</v>
      </c>
      <c r="G50" s="138" t="s">
        <v>198</v>
      </c>
      <c r="H50" s="142">
        <f t="shared" si="3"/>
        <v>0.13333333333333333</v>
      </c>
      <c r="I50" s="142">
        <v>150</v>
      </c>
      <c r="J50" s="142">
        <v>20</v>
      </c>
      <c r="K50" s="142">
        <v>5</v>
      </c>
      <c r="L50" s="141">
        <f t="shared" si="4"/>
        <v>45</v>
      </c>
      <c r="M50" s="141">
        <f>H50*P50/N50</f>
        <v>1</v>
      </c>
      <c r="N50" s="141">
        <f t="shared" si="5"/>
        <v>0.3</v>
      </c>
      <c r="O50" s="141">
        <f>N50*ALEA*AGM</f>
        <v>0.33075000000000004</v>
      </c>
      <c r="P50" s="141">
        <f t="shared" si="6"/>
        <v>2.25</v>
      </c>
      <c r="Q50" s="136"/>
      <c r="R50" s="136"/>
      <c r="S50" s="136"/>
      <c r="T50" s="136"/>
      <c r="U50" s="136"/>
      <c r="V50" s="136"/>
    </row>
    <row r="51" spans="1:22">
      <c r="A51" s="140" t="s">
        <v>568</v>
      </c>
      <c r="B51" s="150" t="s">
        <v>195</v>
      </c>
      <c r="C51" s="139" t="s">
        <v>472</v>
      </c>
      <c r="D51" s="137">
        <v>250</v>
      </c>
      <c r="E51" s="141">
        <v>50</v>
      </c>
      <c r="F51" s="141" t="s">
        <v>31</v>
      </c>
      <c r="G51" s="138" t="s">
        <v>234</v>
      </c>
      <c r="H51" s="142">
        <f t="shared" si="3"/>
        <v>5</v>
      </c>
      <c r="I51" s="142">
        <v>100</v>
      </c>
      <c r="J51" s="142">
        <v>20</v>
      </c>
      <c r="K51" s="142">
        <v>5</v>
      </c>
      <c r="L51" s="141">
        <f t="shared" si="4"/>
        <v>525</v>
      </c>
      <c r="M51" s="141">
        <f>H51*P51/N51</f>
        <v>1</v>
      </c>
      <c r="N51" s="141">
        <f t="shared" si="5"/>
        <v>5.25</v>
      </c>
      <c r="O51" s="141">
        <f>N51*ALEA*AGM</f>
        <v>5.7881250000000009</v>
      </c>
      <c r="P51" s="141">
        <f t="shared" si="6"/>
        <v>1.05</v>
      </c>
      <c r="Q51" s="136"/>
      <c r="R51" s="136"/>
      <c r="S51" s="136"/>
      <c r="T51" s="136"/>
      <c r="U51" s="136"/>
      <c r="V51" s="136"/>
    </row>
    <row r="52" spans="1:22">
      <c r="A52" s="140" t="s">
        <v>569</v>
      </c>
      <c r="B52" s="150" t="s">
        <v>27</v>
      </c>
      <c r="C52" s="139" t="s">
        <v>472</v>
      </c>
      <c r="D52" s="137">
        <v>52</v>
      </c>
      <c r="E52" s="141">
        <v>5</v>
      </c>
      <c r="F52" s="141" t="s">
        <v>521</v>
      </c>
      <c r="G52" s="138" t="s">
        <v>209</v>
      </c>
      <c r="H52" s="142">
        <f t="shared" si="3"/>
        <v>10.4</v>
      </c>
      <c r="I52" s="142">
        <v>5</v>
      </c>
      <c r="J52" s="142">
        <v>20</v>
      </c>
      <c r="K52" s="142">
        <v>5</v>
      </c>
      <c r="L52" s="141">
        <f t="shared" si="4"/>
        <v>77</v>
      </c>
      <c r="M52" s="141">
        <f>H52*P52/N52</f>
        <v>0.99999999999999989</v>
      </c>
      <c r="N52" s="141">
        <f t="shared" si="5"/>
        <v>15.4</v>
      </c>
      <c r="O52" s="141">
        <f>N52*ALEA*AGM</f>
        <v>16.978500000000004</v>
      </c>
      <c r="P52" s="141">
        <f t="shared" si="6"/>
        <v>1.4807692307692306</v>
      </c>
      <c r="Q52" s="136"/>
      <c r="R52" s="136"/>
      <c r="S52" s="136"/>
      <c r="T52" s="136"/>
      <c r="U52" s="136"/>
      <c r="V52" s="136"/>
    </row>
    <row r="53" spans="1:22">
      <c r="A53" s="140" t="s">
        <v>570</v>
      </c>
      <c r="B53" s="150" t="s">
        <v>37</v>
      </c>
      <c r="C53" s="139" t="s">
        <v>612</v>
      </c>
      <c r="D53" s="137">
        <v>8</v>
      </c>
      <c r="E53" s="141">
        <v>5</v>
      </c>
      <c r="F53" s="141" t="s">
        <v>36</v>
      </c>
      <c r="G53" s="138" t="s">
        <v>235</v>
      </c>
      <c r="H53" s="142">
        <f t="shared" si="3"/>
        <v>1.6</v>
      </c>
      <c r="I53" s="142">
        <v>1000</v>
      </c>
      <c r="J53" s="142">
        <v>20</v>
      </c>
      <c r="K53" s="142">
        <v>5</v>
      </c>
      <c r="L53" s="141">
        <f t="shared" si="4"/>
        <v>1625</v>
      </c>
      <c r="M53" s="141">
        <f>H53*P53/N53</f>
        <v>1</v>
      </c>
      <c r="N53" s="141">
        <f t="shared" si="5"/>
        <v>1.625</v>
      </c>
      <c r="O53" s="141">
        <f>N53*ALEA*AGM</f>
        <v>1.7915625000000002</v>
      </c>
      <c r="P53" s="141">
        <f t="shared" si="6"/>
        <v>1.015625</v>
      </c>
      <c r="Q53" s="136"/>
      <c r="R53" s="136"/>
      <c r="S53" s="136"/>
      <c r="T53" s="136"/>
      <c r="U53" s="136"/>
      <c r="V53" s="136"/>
    </row>
    <row r="54" spans="1:22">
      <c r="A54" s="140" t="s">
        <v>687</v>
      </c>
      <c r="B54" s="150" t="s">
        <v>38</v>
      </c>
      <c r="C54" s="139" t="s">
        <v>612</v>
      </c>
      <c r="D54" s="137">
        <v>11</v>
      </c>
      <c r="E54" s="141">
        <v>0.83</v>
      </c>
      <c r="F54" s="141" t="s">
        <v>39</v>
      </c>
      <c r="G54" s="138" t="s">
        <v>236</v>
      </c>
      <c r="H54" s="142">
        <f t="shared" si="3"/>
        <v>13.253012048192772</v>
      </c>
      <c r="I54" s="142">
        <v>100</v>
      </c>
      <c r="J54" s="142">
        <v>20</v>
      </c>
      <c r="K54" s="142">
        <v>5</v>
      </c>
      <c r="L54" s="141">
        <f t="shared" si="4"/>
        <v>1350.3012048192772</v>
      </c>
      <c r="M54" s="141">
        <f>H54*P54/N54</f>
        <v>1</v>
      </c>
      <c r="N54" s="141">
        <f t="shared" si="5"/>
        <v>13.503012048192772</v>
      </c>
      <c r="O54" s="141">
        <f>N54*ALEA*AGM</f>
        <v>14.887070783132533</v>
      </c>
      <c r="P54" s="141">
        <f t="shared" si="6"/>
        <v>1.0188636363636363</v>
      </c>
      <c r="Q54" s="136"/>
      <c r="R54" s="136"/>
      <c r="S54" s="136"/>
      <c r="T54" s="136"/>
      <c r="U54" s="136"/>
      <c r="V54" s="136"/>
    </row>
    <row r="55" spans="1:22">
      <c r="A55" s="140" t="s">
        <v>571</v>
      </c>
      <c r="B55" s="150" t="s">
        <v>233</v>
      </c>
      <c r="C55" s="139" t="s">
        <v>476</v>
      </c>
      <c r="D55" s="137">
        <v>60</v>
      </c>
      <c r="E55" s="141">
        <v>25</v>
      </c>
      <c r="F55" s="141" t="s">
        <v>36</v>
      </c>
      <c r="G55" s="138" t="s">
        <v>717</v>
      </c>
      <c r="H55" s="142">
        <f t="shared" si="3"/>
        <v>2.4</v>
      </c>
      <c r="I55" s="142">
        <v>100</v>
      </c>
      <c r="J55" s="142">
        <v>20</v>
      </c>
      <c r="K55" s="142">
        <v>5</v>
      </c>
      <c r="L55" s="141">
        <f t="shared" si="4"/>
        <v>265</v>
      </c>
      <c r="M55" s="141">
        <f>H55*P55/N55</f>
        <v>1</v>
      </c>
      <c r="N55" s="141">
        <f t="shared" si="5"/>
        <v>2.65</v>
      </c>
      <c r="O55" s="141">
        <f>N55*ALEA*AGM</f>
        <v>2.9216250000000001</v>
      </c>
      <c r="P55" s="141">
        <f t="shared" si="6"/>
        <v>1.1041666666666667</v>
      </c>
      <c r="Q55" s="205"/>
      <c r="R55" s="205"/>
      <c r="S55" s="136"/>
      <c r="T55" s="136"/>
      <c r="U55" s="136"/>
      <c r="V55" s="136"/>
    </row>
    <row r="56" spans="1:22">
      <c r="A56" s="140" t="s">
        <v>572</v>
      </c>
      <c r="B56" s="150" t="s">
        <v>229</v>
      </c>
      <c r="C56" s="139" t="s">
        <v>476</v>
      </c>
      <c r="D56" s="137">
        <v>130</v>
      </c>
      <c r="E56" s="141">
        <v>25</v>
      </c>
      <c r="F56" s="141" t="s">
        <v>36</v>
      </c>
      <c r="G56" s="138" t="s">
        <v>718</v>
      </c>
      <c r="H56" s="142">
        <f t="shared" si="3"/>
        <v>5.2</v>
      </c>
      <c r="I56" s="142">
        <v>100</v>
      </c>
      <c r="J56" s="142">
        <v>20</v>
      </c>
      <c r="K56" s="142">
        <v>5</v>
      </c>
      <c r="L56" s="141">
        <f t="shared" si="4"/>
        <v>545</v>
      </c>
      <c r="M56" s="141">
        <f>H56*P56/N56</f>
        <v>1</v>
      </c>
      <c r="N56" s="141">
        <f t="shared" si="5"/>
        <v>5.45</v>
      </c>
      <c r="O56" s="141">
        <f>N56*ALEA*AGM</f>
        <v>6.0086250000000003</v>
      </c>
      <c r="P56" s="141">
        <f t="shared" si="6"/>
        <v>1.0480769230769231</v>
      </c>
      <c r="Q56" s="205"/>
      <c r="R56" s="205"/>
      <c r="S56" s="136"/>
      <c r="T56" s="136"/>
      <c r="U56" s="136"/>
      <c r="V56" s="136"/>
    </row>
    <row r="57" spans="1:22">
      <c r="A57" s="140" t="s">
        <v>573</v>
      </c>
      <c r="B57" s="148" t="s">
        <v>199</v>
      </c>
      <c r="C57" s="136" t="s">
        <v>473</v>
      </c>
      <c r="D57" s="137">
        <v>2200</v>
      </c>
      <c r="E57" s="141">
        <v>50</v>
      </c>
      <c r="F57" s="141" t="s">
        <v>39</v>
      </c>
      <c r="G57" s="138" t="s">
        <v>522</v>
      </c>
      <c r="H57" s="142">
        <f t="shared" si="3"/>
        <v>44</v>
      </c>
      <c r="I57" s="142">
        <v>50</v>
      </c>
      <c r="J57" s="142">
        <v>20</v>
      </c>
      <c r="K57" s="142">
        <v>5</v>
      </c>
      <c r="L57" s="141">
        <f t="shared" si="4"/>
        <v>2225</v>
      </c>
      <c r="M57" s="141">
        <f>H57*P57/N57</f>
        <v>1.0000000000000002</v>
      </c>
      <c r="N57" s="141">
        <f t="shared" si="5"/>
        <v>44.5</v>
      </c>
      <c r="O57" s="141">
        <f>N57*ALEA*AGM</f>
        <v>49.061250000000001</v>
      </c>
      <c r="P57" s="141">
        <f t="shared" si="6"/>
        <v>1.0113636363636365</v>
      </c>
      <c r="Q57" s="136"/>
      <c r="R57" s="136"/>
      <c r="S57" s="136"/>
      <c r="T57" s="136"/>
      <c r="U57" s="136"/>
      <c r="V57" s="136"/>
    </row>
    <row r="58" spans="1:22">
      <c r="A58" s="140" t="s">
        <v>574</v>
      </c>
      <c r="B58" s="148" t="s">
        <v>317</v>
      </c>
      <c r="C58" s="136" t="s">
        <v>472</v>
      </c>
      <c r="D58" s="137">
        <v>200</v>
      </c>
      <c r="E58" s="141">
        <v>1</v>
      </c>
      <c r="F58" s="141" t="s">
        <v>34</v>
      </c>
      <c r="G58" s="138" t="s">
        <v>523</v>
      </c>
      <c r="H58" s="142">
        <f t="shared" si="3"/>
        <v>200</v>
      </c>
      <c r="I58" s="142">
        <v>1</v>
      </c>
      <c r="J58" s="142">
        <v>20</v>
      </c>
      <c r="K58" s="142">
        <v>5</v>
      </c>
      <c r="L58" s="141">
        <f t="shared" si="4"/>
        <v>225</v>
      </c>
      <c r="M58" s="141">
        <f>H58*P58/N58</f>
        <v>1</v>
      </c>
      <c r="N58" s="141">
        <f t="shared" si="5"/>
        <v>225</v>
      </c>
      <c r="O58" s="141">
        <f>N58*ALEA*AGM</f>
        <v>248.0625</v>
      </c>
      <c r="P58" s="141">
        <f t="shared" si="6"/>
        <v>1.125</v>
      </c>
      <c r="Q58" s="136"/>
      <c r="R58" s="136"/>
      <c r="S58" s="136"/>
      <c r="T58" s="136"/>
      <c r="U58" s="136"/>
      <c r="V58" s="136"/>
    </row>
    <row r="59" spans="1:22">
      <c r="A59" s="140" t="s">
        <v>575</v>
      </c>
      <c r="B59" s="148" t="s">
        <v>318</v>
      </c>
      <c r="C59" s="136" t="s">
        <v>472</v>
      </c>
      <c r="D59" s="137">
        <v>150</v>
      </c>
      <c r="E59" s="141">
        <v>1</v>
      </c>
      <c r="F59" s="141" t="s">
        <v>34</v>
      </c>
      <c r="G59" s="138" t="s">
        <v>523</v>
      </c>
      <c r="H59" s="142">
        <f t="shared" si="3"/>
        <v>150</v>
      </c>
      <c r="I59" s="142">
        <v>1</v>
      </c>
      <c r="J59" s="142">
        <v>20</v>
      </c>
      <c r="K59" s="142">
        <v>5</v>
      </c>
      <c r="L59" s="141">
        <f t="shared" si="4"/>
        <v>175</v>
      </c>
      <c r="M59" s="141">
        <f>H59*P59/N59</f>
        <v>1</v>
      </c>
      <c r="N59" s="141">
        <f t="shared" si="5"/>
        <v>175</v>
      </c>
      <c r="O59" s="141">
        <f>N59*ALEA*AGM</f>
        <v>192.9375</v>
      </c>
      <c r="P59" s="141">
        <f t="shared" si="6"/>
        <v>1.1666666666666667</v>
      </c>
      <c r="Q59" s="136"/>
      <c r="R59" s="136"/>
      <c r="S59" s="136"/>
      <c r="T59" s="136"/>
      <c r="U59" s="136"/>
      <c r="V59" s="136"/>
    </row>
    <row r="60" spans="1:22">
      <c r="A60" s="140" t="s">
        <v>576</v>
      </c>
      <c r="B60" s="148" t="s">
        <v>335</v>
      </c>
      <c r="C60" s="136" t="s">
        <v>472</v>
      </c>
      <c r="D60" s="137">
        <v>160</v>
      </c>
      <c r="E60" s="141">
        <v>1</v>
      </c>
      <c r="F60" s="141" t="s">
        <v>34</v>
      </c>
      <c r="G60" s="138" t="s">
        <v>523</v>
      </c>
      <c r="H60" s="142">
        <f t="shared" si="3"/>
        <v>160</v>
      </c>
      <c r="I60" s="142">
        <v>1</v>
      </c>
      <c r="J60" s="142">
        <v>20</v>
      </c>
      <c r="K60" s="142">
        <v>5</v>
      </c>
      <c r="L60" s="141">
        <f t="shared" si="4"/>
        <v>185</v>
      </c>
      <c r="M60" s="141">
        <f>H60*P60/N60</f>
        <v>1</v>
      </c>
      <c r="N60" s="141">
        <f t="shared" si="5"/>
        <v>185</v>
      </c>
      <c r="O60" s="141">
        <f>N60*ALEA*AGM</f>
        <v>203.96250000000001</v>
      </c>
      <c r="P60" s="141">
        <f t="shared" si="6"/>
        <v>1.15625</v>
      </c>
      <c r="Q60" s="136"/>
      <c r="R60" s="136"/>
      <c r="S60" s="136"/>
      <c r="T60" s="136"/>
      <c r="U60" s="136"/>
      <c r="V60" s="136"/>
    </row>
    <row r="61" spans="1:22">
      <c r="A61" s="140" t="s">
        <v>577</v>
      </c>
      <c r="B61" s="148" t="s">
        <v>319</v>
      </c>
      <c r="C61" s="136" t="s">
        <v>472</v>
      </c>
      <c r="D61" s="137">
        <v>100</v>
      </c>
      <c r="E61" s="141">
        <v>1</v>
      </c>
      <c r="F61" s="141" t="s">
        <v>34</v>
      </c>
      <c r="G61" s="138" t="s">
        <v>523</v>
      </c>
      <c r="H61" s="142">
        <f t="shared" si="3"/>
        <v>100</v>
      </c>
      <c r="I61" s="142">
        <v>1</v>
      </c>
      <c r="J61" s="142">
        <v>20</v>
      </c>
      <c r="K61" s="142">
        <v>5</v>
      </c>
      <c r="L61" s="141">
        <f t="shared" si="4"/>
        <v>125</v>
      </c>
      <c r="M61" s="141">
        <f>H61*P61/N61</f>
        <v>1</v>
      </c>
      <c r="N61" s="141">
        <f t="shared" si="5"/>
        <v>125</v>
      </c>
      <c r="O61" s="141">
        <f>N61*ALEA*AGM</f>
        <v>137.8125</v>
      </c>
      <c r="P61" s="141">
        <f t="shared" si="6"/>
        <v>1.25</v>
      </c>
      <c r="Q61" s="136"/>
      <c r="R61" s="136"/>
      <c r="S61" s="136"/>
      <c r="T61" s="136"/>
      <c r="U61" s="136"/>
      <c r="V61" s="136"/>
    </row>
    <row r="62" spans="1:22">
      <c r="A62" s="140" t="s">
        <v>578</v>
      </c>
      <c r="B62" s="148" t="s">
        <v>325</v>
      </c>
      <c r="C62" s="136" t="s">
        <v>472</v>
      </c>
      <c r="D62" s="137">
        <v>150</v>
      </c>
      <c r="E62" s="141">
        <v>1</v>
      </c>
      <c r="F62" s="141" t="s">
        <v>34</v>
      </c>
      <c r="G62" s="138" t="s">
        <v>523</v>
      </c>
      <c r="H62" s="142">
        <f t="shared" si="3"/>
        <v>150</v>
      </c>
      <c r="I62" s="142">
        <v>1</v>
      </c>
      <c r="J62" s="142">
        <v>20</v>
      </c>
      <c r="K62" s="142">
        <v>5</v>
      </c>
      <c r="L62" s="141">
        <f t="shared" si="4"/>
        <v>175</v>
      </c>
      <c r="M62" s="141">
        <f>H62*P62/N62</f>
        <v>1</v>
      </c>
      <c r="N62" s="141">
        <f t="shared" si="5"/>
        <v>175</v>
      </c>
      <c r="O62" s="141">
        <f>N62*ALEA*AGM</f>
        <v>192.9375</v>
      </c>
      <c r="P62" s="141">
        <f t="shared" si="6"/>
        <v>1.1666666666666667</v>
      </c>
      <c r="Q62" s="136"/>
      <c r="R62" s="136"/>
      <c r="S62" s="136"/>
      <c r="T62" s="136"/>
      <c r="U62" s="136"/>
      <c r="V62" s="136"/>
    </row>
    <row r="63" spans="1:22">
      <c r="A63" s="140" t="s">
        <v>579</v>
      </c>
      <c r="B63" s="148" t="s">
        <v>320</v>
      </c>
      <c r="C63" s="136" t="s">
        <v>472</v>
      </c>
      <c r="D63" s="137">
        <v>100</v>
      </c>
      <c r="E63" s="141">
        <v>1</v>
      </c>
      <c r="F63" s="141" t="s">
        <v>34</v>
      </c>
      <c r="G63" s="138" t="s">
        <v>523</v>
      </c>
      <c r="H63" s="142">
        <f t="shared" si="3"/>
        <v>100</v>
      </c>
      <c r="I63" s="142">
        <v>1</v>
      </c>
      <c r="J63" s="142">
        <v>20</v>
      </c>
      <c r="K63" s="142">
        <v>5</v>
      </c>
      <c r="L63" s="141">
        <f t="shared" si="4"/>
        <v>125</v>
      </c>
      <c r="M63" s="141">
        <f>H63*P63/N63</f>
        <v>1</v>
      </c>
      <c r="N63" s="141">
        <f t="shared" si="5"/>
        <v>125</v>
      </c>
      <c r="O63" s="141">
        <f>N63*ALEA*AGM</f>
        <v>137.8125</v>
      </c>
      <c r="P63" s="141">
        <f t="shared" si="6"/>
        <v>1.25</v>
      </c>
      <c r="Q63" s="136"/>
      <c r="R63" s="136"/>
      <c r="S63" s="136"/>
      <c r="T63" s="136"/>
      <c r="U63" s="136"/>
      <c r="V63" s="136"/>
    </row>
    <row r="64" spans="1:22">
      <c r="A64" s="140" t="s">
        <v>580</v>
      </c>
      <c r="B64" s="148" t="s">
        <v>321</v>
      </c>
      <c r="C64" s="136" t="s">
        <v>472</v>
      </c>
      <c r="D64" s="137">
        <v>25</v>
      </c>
      <c r="E64" s="141">
        <v>1</v>
      </c>
      <c r="F64" s="141" t="s">
        <v>34</v>
      </c>
      <c r="G64" s="138" t="s">
        <v>523</v>
      </c>
      <c r="H64" s="142">
        <f t="shared" si="3"/>
        <v>25</v>
      </c>
      <c r="I64" s="142">
        <v>1</v>
      </c>
      <c r="J64" s="142">
        <v>20</v>
      </c>
      <c r="K64" s="142">
        <v>5</v>
      </c>
      <c r="L64" s="141">
        <f t="shared" si="4"/>
        <v>50</v>
      </c>
      <c r="M64" s="141">
        <f>H64*P64/N64</f>
        <v>1</v>
      </c>
      <c r="N64" s="141">
        <f t="shared" si="5"/>
        <v>50</v>
      </c>
      <c r="O64" s="141">
        <f>N64*ALEA*AGM</f>
        <v>55.125</v>
      </c>
      <c r="P64" s="141">
        <f t="shared" si="6"/>
        <v>2</v>
      </c>
      <c r="Q64" s="136"/>
      <c r="R64" s="136"/>
      <c r="S64" s="136"/>
      <c r="T64" s="136"/>
      <c r="U64" s="136"/>
      <c r="V64" s="136"/>
    </row>
    <row r="65" spans="1:22">
      <c r="A65" s="140" t="s">
        <v>581</v>
      </c>
      <c r="B65" s="148" t="s">
        <v>322</v>
      </c>
      <c r="C65" s="136" t="s">
        <v>472</v>
      </c>
      <c r="D65" s="137">
        <v>25</v>
      </c>
      <c r="E65" s="141">
        <v>1</v>
      </c>
      <c r="F65" s="141" t="s">
        <v>34</v>
      </c>
      <c r="G65" s="138" t="s">
        <v>523</v>
      </c>
      <c r="H65" s="142">
        <f t="shared" si="3"/>
        <v>25</v>
      </c>
      <c r="I65" s="142">
        <v>1</v>
      </c>
      <c r="J65" s="142">
        <v>20</v>
      </c>
      <c r="K65" s="142">
        <v>5</v>
      </c>
      <c r="L65" s="141">
        <f t="shared" si="4"/>
        <v>50</v>
      </c>
      <c r="M65" s="141">
        <f>H65*P65/N65</f>
        <v>1</v>
      </c>
      <c r="N65" s="141">
        <f t="shared" si="5"/>
        <v>50</v>
      </c>
      <c r="O65" s="141">
        <f>N65*ALEA*AGM</f>
        <v>55.125</v>
      </c>
      <c r="P65" s="141">
        <f t="shared" si="6"/>
        <v>2</v>
      </c>
      <c r="Q65" s="136"/>
      <c r="R65" s="136"/>
      <c r="S65" s="136"/>
      <c r="T65" s="136"/>
      <c r="U65" s="136"/>
      <c r="V65" s="136"/>
    </row>
    <row r="66" spans="1:22">
      <c r="A66" s="140" t="s">
        <v>582</v>
      </c>
      <c r="B66" s="148" t="s">
        <v>323</v>
      </c>
      <c r="C66" s="136" t="s">
        <v>472</v>
      </c>
      <c r="D66" s="137">
        <v>25</v>
      </c>
      <c r="E66" s="141">
        <v>1</v>
      </c>
      <c r="F66" s="141" t="s">
        <v>34</v>
      </c>
      <c r="G66" s="138" t="s">
        <v>523</v>
      </c>
      <c r="H66" s="142">
        <f t="shared" si="3"/>
        <v>25</v>
      </c>
      <c r="I66" s="142">
        <v>1</v>
      </c>
      <c r="J66" s="142">
        <v>20</v>
      </c>
      <c r="K66" s="142">
        <v>5</v>
      </c>
      <c r="L66" s="141">
        <f t="shared" si="4"/>
        <v>50</v>
      </c>
      <c r="M66" s="141">
        <f>H66*P66/N66</f>
        <v>1</v>
      </c>
      <c r="N66" s="141">
        <f t="shared" si="5"/>
        <v>50</v>
      </c>
      <c r="O66" s="141">
        <f>N66*ALEA*AGM</f>
        <v>55.125</v>
      </c>
      <c r="P66" s="141">
        <f t="shared" si="6"/>
        <v>2</v>
      </c>
      <c r="Q66" s="136"/>
      <c r="R66" s="136"/>
      <c r="S66" s="136"/>
      <c r="T66" s="136"/>
      <c r="U66" s="136"/>
      <c r="V66" s="136"/>
    </row>
    <row r="67" spans="1:22">
      <c r="A67" s="140" t="s">
        <v>583</v>
      </c>
      <c r="B67" s="148" t="s">
        <v>324</v>
      </c>
      <c r="C67" s="136" t="s">
        <v>472</v>
      </c>
      <c r="D67" s="137">
        <v>15</v>
      </c>
      <c r="E67" s="141">
        <v>1</v>
      </c>
      <c r="F67" s="141" t="s">
        <v>34</v>
      </c>
      <c r="G67" s="138" t="s">
        <v>523</v>
      </c>
      <c r="H67" s="142">
        <f t="shared" ref="H67:H79" si="7">D67/E67</f>
        <v>15</v>
      </c>
      <c r="I67" s="142">
        <v>1</v>
      </c>
      <c r="J67" s="142">
        <v>20</v>
      </c>
      <c r="K67" s="142">
        <v>5</v>
      </c>
      <c r="L67" s="141">
        <f t="shared" si="4"/>
        <v>40</v>
      </c>
      <c r="M67" s="141">
        <f>H67*P67/N67</f>
        <v>1.0000000000000002</v>
      </c>
      <c r="N67" s="141">
        <f t="shared" si="5"/>
        <v>40</v>
      </c>
      <c r="O67" s="141">
        <f>N67*ALEA*AGM</f>
        <v>44.1</v>
      </c>
      <c r="P67" s="141">
        <f t="shared" si="6"/>
        <v>2.666666666666667</v>
      </c>
      <c r="Q67" s="136"/>
      <c r="R67" s="136"/>
      <c r="S67" s="136"/>
      <c r="T67" s="136"/>
      <c r="U67" s="136"/>
      <c r="V67" s="136"/>
    </row>
    <row r="68" spans="1:22">
      <c r="A68" s="140" t="s">
        <v>584</v>
      </c>
      <c r="B68" s="148" t="s">
        <v>326</v>
      </c>
      <c r="C68" s="136" t="s">
        <v>472</v>
      </c>
      <c r="D68" s="137">
        <v>17</v>
      </c>
      <c r="E68" s="141">
        <v>1</v>
      </c>
      <c r="F68" s="141" t="s">
        <v>34</v>
      </c>
      <c r="G68" s="138" t="s">
        <v>523</v>
      </c>
      <c r="H68" s="142">
        <f t="shared" si="7"/>
        <v>17</v>
      </c>
      <c r="I68" s="142">
        <v>1</v>
      </c>
      <c r="J68" s="142">
        <v>20</v>
      </c>
      <c r="K68" s="142">
        <v>5</v>
      </c>
      <c r="L68" s="141">
        <f t="shared" si="4"/>
        <v>42</v>
      </c>
      <c r="M68" s="141">
        <f>H68*P68/N68</f>
        <v>1</v>
      </c>
      <c r="N68" s="141">
        <f t="shared" si="5"/>
        <v>42</v>
      </c>
      <c r="O68" s="141">
        <f>N68*ALEA*AGM</f>
        <v>46.305000000000007</v>
      </c>
      <c r="P68" s="141">
        <f t="shared" si="6"/>
        <v>2.4705882352941178</v>
      </c>
      <c r="Q68" s="136"/>
      <c r="R68" s="136"/>
      <c r="S68" s="136"/>
      <c r="T68" s="136"/>
      <c r="U68" s="136"/>
      <c r="V68" s="136"/>
    </row>
    <row r="69" spans="1:22">
      <c r="A69" s="140" t="s">
        <v>585</v>
      </c>
      <c r="B69" s="148" t="s">
        <v>327</v>
      </c>
      <c r="C69" s="136" t="s">
        <v>472</v>
      </c>
      <c r="D69" s="137">
        <v>1.5</v>
      </c>
      <c r="E69" s="141">
        <v>1</v>
      </c>
      <c r="F69" s="141" t="s">
        <v>31</v>
      </c>
      <c r="G69" s="138" t="s">
        <v>523</v>
      </c>
      <c r="H69" s="142">
        <f t="shared" si="7"/>
        <v>1.5</v>
      </c>
      <c r="I69" s="142">
        <v>1</v>
      </c>
      <c r="J69" s="142">
        <v>20</v>
      </c>
      <c r="K69" s="142">
        <v>5</v>
      </c>
      <c r="L69" s="141">
        <f t="shared" si="4"/>
        <v>26.5</v>
      </c>
      <c r="M69" s="141">
        <f>H69*P69/N69</f>
        <v>1</v>
      </c>
      <c r="N69" s="141">
        <f t="shared" si="5"/>
        <v>26.5</v>
      </c>
      <c r="O69" s="141">
        <f>N69*ALEA*AGM</f>
        <v>29.216250000000006</v>
      </c>
      <c r="P69" s="141">
        <f t="shared" si="6"/>
        <v>17.666666666666668</v>
      </c>
      <c r="Q69" s="136"/>
      <c r="R69" s="136"/>
      <c r="S69" s="136"/>
      <c r="T69" s="136"/>
      <c r="U69" s="136"/>
      <c r="V69" s="136"/>
    </row>
    <row r="70" spans="1:22">
      <c r="A70" s="140" t="s">
        <v>586</v>
      </c>
      <c r="B70" s="148" t="s">
        <v>328</v>
      </c>
      <c r="C70" s="136" t="s">
        <v>472</v>
      </c>
      <c r="D70" s="137">
        <v>8</v>
      </c>
      <c r="E70" s="141">
        <v>1</v>
      </c>
      <c r="F70" s="141" t="s">
        <v>164</v>
      </c>
      <c r="G70" s="138" t="s">
        <v>365</v>
      </c>
      <c r="H70" s="142">
        <f t="shared" si="7"/>
        <v>8</v>
      </c>
      <c r="I70" s="142">
        <v>1</v>
      </c>
      <c r="J70" s="142">
        <v>20</v>
      </c>
      <c r="K70" s="142">
        <v>5</v>
      </c>
      <c r="L70" s="141">
        <f t="shared" ref="L70:L79" si="8">(H70*I70)+SUM(J70:K70)</f>
        <v>33</v>
      </c>
      <c r="M70" s="141">
        <f>H70*P70/N70</f>
        <v>1</v>
      </c>
      <c r="N70" s="141">
        <f t="shared" ref="N70:N79" si="9">L70/I70</f>
        <v>33</v>
      </c>
      <c r="O70" s="141">
        <f>N70*ALEA*AGM</f>
        <v>36.3825</v>
      </c>
      <c r="P70" s="141">
        <f t="shared" ref="P70:P79" si="10">(I70+SUM(J70:K70)/H70)/I70</f>
        <v>4.125</v>
      </c>
      <c r="Q70" s="136"/>
      <c r="R70" s="136"/>
      <c r="S70" s="136"/>
      <c r="T70" s="136"/>
      <c r="U70" s="136"/>
      <c r="V70" s="136"/>
    </row>
    <row r="71" spans="1:22">
      <c r="A71" s="140" t="s">
        <v>587</v>
      </c>
      <c r="B71" s="148" t="s">
        <v>334</v>
      </c>
      <c r="C71" s="136" t="s">
        <v>472</v>
      </c>
      <c r="D71" s="137">
        <v>17</v>
      </c>
      <c r="E71" s="141">
        <v>1</v>
      </c>
      <c r="F71" s="141" t="s">
        <v>34</v>
      </c>
      <c r="G71" s="138" t="s">
        <v>523</v>
      </c>
      <c r="H71" s="142">
        <f t="shared" si="7"/>
        <v>17</v>
      </c>
      <c r="I71" s="142">
        <v>1</v>
      </c>
      <c r="J71" s="142">
        <v>20</v>
      </c>
      <c r="K71" s="142">
        <v>5</v>
      </c>
      <c r="L71" s="141">
        <f t="shared" si="8"/>
        <v>42</v>
      </c>
      <c r="M71" s="141">
        <f>H71*P71/N71</f>
        <v>1</v>
      </c>
      <c r="N71" s="141">
        <f t="shared" si="9"/>
        <v>42</v>
      </c>
      <c r="O71" s="141">
        <f>N71*ALEA*AGM</f>
        <v>46.305000000000007</v>
      </c>
      <c r="P71" s="141">
        <f t="shared" si="10"/>
        <v>2.4705882352941178</v>
      </c>
      <c r="Q71" s="136"/>
      <c r="R71" s="136"/>
      <c r="S71" s="136"/>
      <c r="T71" s="136"/>
      <c r="U71" s="136"/>
      <c r="V71" s="136"/>
    </row>
    <row r="72" spans="1:22">
      <c r="A72" s="140" t="s">
        <v>588</v>
      </c>
      <c r="B72" s="148" t="s">
        <v>329</v>
      </c>
      <c r="C72" s="136" t="s">
        <v>472</v>
      </c>
      <c r="D72" s="137">
        <v>12</v>
      </c>
      <c r="E72" s="141">
        <v>1</v>
      </c>
      <c r="F72" s="141" t="s">
        <v>34</v>
      </c>
      <c r="G72" s="138" t="s">
        <v>523</v>
      </c>
      <c r="H72" s="142">
        <f t="shared" si="7"/>
        <v>12</v>
      </c>
      <c r="I72" s="142">
        <v>1</v>
      </c>
      <c r="J72" s="142">
        <v>20</v>
      </c>
      <c r="K72" s="142">
        <v>5</v>
      </c>
      <c r="L72" s="141">
        <f t="shared" si="8"/>
        <v>37</v>
      </c>
      <c r="M72" s="141">
        <f>H72*P72/N72</f>
        <v>1</v>
      </c>
      <c r="N72" s="141">
        <f t="shared" si="9"/>
        <v>37</v>
      </c>
      <c r="O72" s="141">
        <f>N72*ALEA*AGM</f>
        <v>40.792500000000004</v>
      </c>
      <c r="P72" s="141">
        <f t="shared" si="10"/>
        <v>3.0833333333333335</v>
      </c>
      <c r="Q72" s="136"/>
      <c r="R72" s="136"/>
      <c r="S72" s="136"/>
      <c r="T72" s="136"/>
      <c r="U72" s="136"/>
      <c r="V72" s="136"/>
    </row>
    <row r="73" spans="1:22">
      <c r="A73" s="140" t="s">
        <v>589</v>
      </c>
      <c r="B73" s="148" t="s">
        <v>330</v>
      </c>
      <c r="C73" s="136" t="s">
        <v>472</v>
      </c>
      <c r="D73" s="137">
        <v>20</v>
      </c>
      <c r="E73" s="141">
        <v>1</v>
      </c>
      <c r="F73" s="141" t="s">
        <v>34</v>
      </c>
      <c r="G73" s="138" t="s">
        <v>523</v>
      </c>
      <c r="H73" s="142">
        <f t="shared" si="7"/>
        <v>20</v>
      </c>
      <c r="I73" s="142">
        <v>1</v>
      </c>
      <c r="J73" s="142">
        <v>20</v>
      </c>
      <c r="K73" s="142">
        <v>5</v>
      </c>
      <c r="L73" s="141">
        <f t="shared" si="8"/>
        <v>45</v>
      </c>
      <c r="M73" s="141">
        <f>H73*P73/N73</f>
        <v>1</v>
      </c>
      <c r="N73" s="141">
        <f t="shared" si="9"/>
        <v>45</v>
      </c>
      <c r="O73" s="141">
        <f>N73*ALEA*AGM</f>
        <v>49.612500000000004</v>
      </c>
      <c r="P73" s="141">
        <f t="shared" si="10"/>
        <v>2.25</v>
      </c>
      <c r="Q73" s="136"/>
      <c r="R73" s="136"/>
      <c r="S73" s="136"/>
      <c r="T73" s="136"/>
      <c r="U73" s="136"/>
      <c r="V73" s="136"/>
    </row>
    <row r="74" spans="1:22">
      <c r="A74" s="140" t="s">
        <v>590</v>
      </c>
      <c r="B74" s="148" t="s">
        <v>331</v>
      </c>
      <c r="C74" s="136" t="s">
        <v>612</v>
      </c>
      <c r="D74" s="137">
        <v>2.4</v>
      </c>
      <c r="E74" s="141">
        <v>1</v>
      </c>
      <c r="F74" s="141" t="s">
        <v>31</v>
      </c>
      <c r="G74" s="138" t="s">
        <v>523</v>
      </c>
      <c r="H74" s="142">
        <f t="shared" si="7"/>
        <v>2.4</v>
      </c>
      <c r="I74" s="142">
        <v>100</v>
      </c>
      <c r="J74" s="142">
        <v>20</v>
      </c>
      <c r="K74" s="142">
        <v>5</v>
      </c>
      <c r="L74" s="141">
        <f t="shared" si="8"/>
        <v>265</v>
      </c>
      <c r="M74" s="141">
        <f>H74*P74/N74</f>
        <v>1</v>
      </c>
      <c r="N74" s="141">
        <f t="shared" si="9"/>
        <v>2.65</v>
      </c>
      <c r="O74" s="141">
        <f>N74*ALEA*AGM</f>
        <v>2.9216250000000001</v>
      </c>
      <c r="P74" s="141">
        <f t="shared" si="10"/>
        <v>1.1041666666666667</v>
      </c>
      <c r="Q74" s="136"/>
      <c r="R74" s="136"/>
      <c r="S74" s="136"/>
      <c r="T74" s="136"/>
      <c r="U74" s="136"/>
      <c r="V74" s="136"/>
    </row>
    <row r="75" spans="1:22">
      <c r="A75" s="140" t="s">
        <v>591</v>
      </c>
      <c r="B75" s="148" t="s">
        <v>332</v>
      </c>
      <c r="C75" s="136" t="s">
        <v>612</v>
      </c>
      <c r="D75" s="137">
        <v>3</v>
      </c>
      <c r="E75" s="141">
        <v>1</v>
      </c>
      <c r="F75" s="141" t="s">
        <v>31</v>
      </c>
      <c r="G75" s="138" t="s">
        <v>523</v>
      </c>
      <c r="H75" s="142">
        <f t="shared" si="7"/>
        <v>3</v>
      </c>
      <c r="I75" s="142">
        <v>100</v>
      </c>
      <c r="J75" s="142">
        <v>20</v>
      </c>
      <c r="K75" s="142">
        <v>5</v>
      </c>
      <c r="L75" s="141">
        <f t="shared" si="8"/>
        <v>325</v>
      </c>
      <c r="M75" s="141">
        <f>H75*P75/N75</f>
        <v>1</v>
      </c>
      <c r="N75" s="141">
        <f t="shared" si="9"/>
        <v>3.25</v>
      </c>
      <c r="O75" s="141">
        <f>N75*ALEA*AGM</f>
        <v>3.5831250000000003</v>
      </c>
      <c r="P75" s="141">
        <f t="shared" si="10"/>
        <v>1.0833333333333333</v>
      </c>
      <c r="Q75" s="136"/>
      <c r="R75" s="136"/>
      <c r="S75" s="136"/>
      <c r="T75" s="136"/>
      <c r="U75" s="136"/>
      <c r="V75" s="136"/>
    </row>
    <row r="76" spans="1:22">
      <c r="A76" s="140" t="s">
        <v>592</v>
      </c>
      <c r="B76" s="148" t="s">
        <v>333</v>
      </c>
      <c r="C76" s="136" t="s">
        <v>612</v>
      </c>
      <c r="D76" s="137">
        <v>1.5</v>
      </c>
      <c r="E76" s="141">
        <v>1</v>
      </c>
      <c r="F76" s="141" t="s">
        <v>31</v>
      </c>
      <c r="G76" s="138" t="s">
        <v>523</v>
      </c>
      <c r="H76" s="142">
        <f t="shared" si="7"/>
        <v>1.5</v>
      </c>
      <c r="I76" s="142">
        <v>100</v>
      </c>
      <c r="J76" s="142">
        <v>20</v>
      </c>
      <c r="K76" s="142">
        <v>5</v>
      </c>
      <c r="L76" s="141">
        <f t="shared" si="8"/>
        <v>175</v>
      </c>
      <c r="M76" s="141">
        <f>H76*P76/N76</f>
        <v>1</v>
      </c>
      <c r="N76" s="141">
        <f t="shared" si="9"/>
        <v>1.75</v>
      </c>
      <c r="O76" s="141">
        <f>N76*ALEA*AGM</f>
        <v>1.9293750000000003</v>
      </c>
      <c r="P76" s="141">
        <f t="shared" si="10"/>
        <v>1.1666666666666667</v>
      </c>
    </row>
    <row r="77" spans="1:22">
      <c r="A77" s="140" t="s">
        <v>593</v>
      </c>
      <c r="B77" s="148" t="s">
        <v>336</v>
      </c>
      <c r="C77" s="136" t="s">
        <v>612</v>
      </c>
      <c r="D77" s="137">
        <v>2</v>
      </c>
      <c r="E77" s="141">
        <v>1</v>
      </c>
      <c r="F77" s="141" t="s">
        <v>164</v>
      </c>
      <c r="G77" s="138" t="s">
        <v>523</v>
      </c>
      <c r="H77" s="142">
        <f t="shared" si="7"/>
        <v>2</v>
      </c>
      <c r="I77" s="142">
        <v>100</v>
      </c>
      <c r="J77" s="142">
        <v>20</v>
      </c>
      <c r="K77" s="142">
        <v>5</v>
      </c>
      <c r="L77" s="141">
        <f t="shared" si="8"/>
        <v>225</v>
      </c>
      <c r="M77" s="141">
        <f>H77*P77/N77</f>
        <v>1</v>
      </c>
      <c r="N77" s="141">
        <f t="shared" si="9"/>
        <v>2.25</v>
      </c>
      <c r="O77" s="141">
        <f>N77*ALEA*AGM</f>
        <v>2.4806250000000003</v>
      </c>
      <c r="P77" s="141">
        <f t="shared" si="10"/>
        <v>1.125</v>
      </c>
    </row>
    <row r="78" spans="1:22">
      <c r="A78" s="140" t="s">
        <v>594</v>
      </c>
      <c r="B78" s="148" t="s">
        <v>349</v>
      </c>
      <c r="C78" s="136" t="s">
        <v>612</v>
      </c>
      <c r="D78" s="137">
        <v>50</v>
      </c>
      <c r="E78" s="141">
        <v>1</v>
      </c>
      <c r="F78" s="141" t="s">
        <v>34</v>
      </c>
      <c r="G78" s="138" t="s">
        <v>523</v>
      </c>
      <c r="H78" s="142">
        <f t="shared" si="7"/>
        <v>50</v>
      </c>
      <c r="I78" s="142">
        <v>1</v>
      </c>
      <c r="J78" s="142">
        <v>20</v>
      </c>
      <c r="K78" s="142">
        <v>5</v>
      </c>
      <c r="L78" s="141">
        <f t="shared" si="8"/>
        <v>75</v>
      </c>
      <c r="M78" s="141">
        <f>H78*P78/N78</f>
        <v>1</v>
      </c>
      <c r="N78" s="141">
        <f t="shared" si="9"/>
        <v>75</v>
      </c>
      <c r="O78" s="141">
        <f>N78*ALEA*AGM</f>
        <v>82.6875</v>
      </c>
      <c r="P78" s="141">
        <f t="shared" si="10"/>
        <v>1.5</v>
      </c>
    </row>
    <row r="79" spans="1:22">
      <c r="A79" s="140" t="s">
        <v>595</v>
      </c>
      <c r="B79" s="150" t="s">
        <v>53</v>
      </c>
      <c r="C79" s="136" t="s">
        <v>612</v>
      </c>
      <c r="D79" s="137">
        <v>25</v>
      </c>
      <c r="E79" s="141">
        <v>25</v>
      </c>
      <c r="F79" s="141" t="s">
        <v>36</v>
      </c>
      <c r="G79" s="138" t="s">
        <v>719</v>
      </c>
      <c r="H79" s="142">
        <f t="shared" si="7"/>
        <v>1</v>
      </c>
      <c r="I79" s="142">
        <v>100</v>
      </c>
      <c r="J79" s="142">
        <v>20</v>
      </c>
      <c r="K79" s="142">
        <v>5</v>
      </c>
      <c r="L79" s="141">
        <f t="shared" si="8"/>
        <v>125</v>
      </c>
      <c r="M79" s="141">
        <f>H79*P79/N79</f>
        <v>1</v>
      </c>
      <c r="N79" s="141">
        <f t="shared" si="9"/>
        <v>1.25</v>
      </c>
      <c r="O79" s="141">
        <f>N79*ALEA*AGM</f>
        <v>1.378125</v>
      </c>
      <c r="P79" s="141">
        <f t="shared" si="10"/>
        <v>1.25</v>
      </c>
    </row>
    <row r="80" spans="1:22">
      <c r="A80" s="140" t="s">
        <v>596</v>
      </c>
      <c r="B80" s="146" t="s">
        <v>689</v>
      </c>
      <c r="C80" s="136" t="s">
        <v>612</v>
      </c>
      <c r="D80" s="137">
        <v>16</v>
      </c>
      <c r="E80" s="141">
        <v>5</v>
      </c>
      <c r="F80" s="141" t="s">
        <v>34</v>
      </c>
      <c r="G80" s="142" t="s">
        <v>690</v>
      </c>
      <c r="H80" s="142">
        <f t="shared" ref="H80:H81" si="11">D80/E80</f>
        <v>3.2</v>
      </c>
      <c r="I80" s="142">
        <v>50</v>
      </c>
      <c r="J80" s="142">
        <v>5</v>
      </c>
      <c r="K80" s="142">
        <v>5</v>
      </c>
      <c r="L80" s="141">
        <f t="shared" ref="L80:L81" si="12">(H80*I80)+SUM(J80:K80)</f>
        <v>170</v>
      </c>
      <c r="M80" s="141">
        <f>H80*P80/N80</f>
        <v>1.0000000000000002</v>
      </c>
      <c r="N80" s="141">
        <f t="shared" ref="N80:N81" si="13">L80/I80</f>
        <v>3.4</v>
      </c>
      <c r="O80" s="141">
        <f>N80*ALEA*AGM</f>
        <v>3.7484999999999999</v>
      </c>
      <c r="P80" s="141">
        <f t="shared" ref="P80:P81" si="14">(I80+SUM(J80:K80)/H80)/I80</f>
        <v>1.0625</v>
      </c>
    </row>
    <row r="81" spans="1:16">
      <c r="A81" s="140" t="s">
        <v>597</v>
      </c>
      <c r="B81" s="150" t="s">
        <v>703</v>
      </c>
      <c r="C81" s="136" t="s">
        <v>472</v>
      </c>
      <c r="D81" s="137">
        <v>17</v>
      </c>
      <c r="E81" s="141">
        <v>1</v>
      </c>
      <c r="F81" s="141" t="s">
        <v>31</v>
      </c>
      <c r="G81" s="138" t="s">
        <v>204</v>
      </c>
      <c r="H81" s="142">
        <f t="shared" si="11"/>
        <v>17</v>
      </c>
      <c r="I81" s="142">
        <v>100</v>
      </c>
      <c r="J81" s="142">
        <v>20</v>
      </c>
      <c r="K81" s="142">
        <v>5</v>
      </c>
      <c r="L81" s="141">
        <f t="shared" si="12"/>
        <v>1725</v>
      </c>
      <c r="M81" s="141">
        <f>H81*P81/N81</f>
        <v>1</v>
      </c>
      <c r="N81" s="141">
        <f t="shared" si="13"/>
        <v>17.25</v>
      </c>
      <c r="O81" s="141">
        <f>N81*ALEA*AGM</f>
        <v>19.018125000000001</v>
      </c>
      <c r="P81" s="141">
        <f t="shared" si="14"/>
        <v>1.0147058823529411</v>
      </c>
    </row>
    <row r="82" spans="1:16">
      <c r="A82" s="140" t="s">
        <v>598</v>
      </c>
      <c r="B82" s="241" t="s">
        <v>747</v>
      </c>
      <c r="C82" s="136" t="s">
        <v>472</v>
      </c>
      <c r="D82" s="137">
        <v>2.76</v>
      </c>
      <c r="E82" s="141">
        <v>1</v>
      </c>
      <c r="F82" s="141" t="s">
        <v>39</v>
      </c>
      <c r="G82" s="138" t="s">
        <v>748</v>
      </c>
      <c r="H82" s="142">
        <f t="shared" ref="H82:H83" si="15">D82/E82</f>
        <v>2.76</v>
      </c>
      <c r="I82" s="142">
        <v>30</v>
      </c>
      <c r="J82" s="142">
        <v>20</v>
      </c>
      <c r="K82" s="142">
        <v>5</v>
      </c>
      <c r="L82" s="141">
        <f t="shared" ref="L82" si="16">(H82*I82)+SUM(J82:K82)</f>
        <v>107.8</v>
      </c>
      <c r="M82" s="141">
        <f>H82*P82/N82</f>
        <v>0.99999999999999978</v>
      </c>
      <c r="N82" s="141">
        <f t="shared" ref="N82" si="17">L82/I82</f>
        <v>3.5933333333333333</v>
      </c>
      <c r="O82" s="141">
        <f>N82*ALEA*AGM</f>
        <v>3.9616500000000001</v>
      </c>
      <c r="P82" s="141">
        <f t="shared" ref="P82" si="18">(I82+SUM(J82:K82)/H82)/I82</f>
        <v>1.3019323671497582</v>
      </c>
    </row>
    <row r="83" spans="1:16">
      <c r="A83" s="140" t="s">
        <v>599</v>
      </c>
      <c r="B83" s="562" t="s">
        <v>20</v>
      </c>
      <c r="C83" s="136" t="s">
        <v>472</v>
      </c>
      <c r="D83" s="141">
        <v>15</v>
      </c>
      <c r="E83" s="141">
        <v>3.2000000000000001E-2</v>
      </c>
      <c r="F83" s="141" t="s">
        <v>22</v>
      </c>
      <c r="G83" s="142" t="s">
        <v>839</v>
      </c>
      <c r="H83" s="142">
        <f t="shared" si="15"/>
        <v>468.75</v>
      </c>
      <c r="I83" s="142">
        <v>1000</v>
      </c>
      <c r="J83" s="142">
        <v>20</v>
      </c>
      <c r="K83" s="142">
        <v>5</v>
      </c>
      <c r="L83" s="141">
        <f t="shared" ref="L83" si="19">(H83*I83)+SUM(J83:K83)</f>
        <v>468775</v>
      </c>
      <c r="M83" s="141">
        <f>H83*P83/N83</f>
        <v>1</v>
      </c>
      <c r="N83" s="141">
        <f t="shared" ref="N83" si="20">L83/I83</f>
        <v>468.77499999999998</v>
      </c>
      <c r="O83" s="141">
        <f>N83*ALEA*AGM</f>
        <v>516.82443750000004</v>
      </c>
      <c r="P83" s="141">
        <f t="shared" ref="P83" si="21">(I83+SUM(J83:K83)/H83)/I83</f>
        <v>1.0000533333333332</v>
      </c>
    </row>
    <row r="84" spans="1:16">
      <c r="A84" s="140" t="s">
        <v>838</v>
      </c>
      <c r="B84" s="146" t="s">
        <v>48</v>
      </c>
      <c r="C84" s="136" t="s">
        <v>472</v>
      </c>
      <c r="D84" s="141">
        <v>15</v>
      </c>
      <c r="E84" s="141">
        <v>1</v>
      </c>
      <c r="F84" s="141" t="s">
        <v>39</v>
      </c>
      <c r="G84" s="142" t="s">
        <v>837</v>
      </c>
      <c r="H84" s="142">
        <f t="shared" ref="H84" si="22">D84/E84</f>
        <v>15</v>
      </c>
      <c r="I84" s="142">
        <v>100</v>
      </c>
      <c r="J84" s="142">
        <v>20</v>
      </c>
      <c r="K84" s="142">
        <v>5</v>
      </c>
      <c r="L84" s="141">
        <f t="shared" ref="L84" si="23">(H84*I84)+SUM(J84:K84)</f>
        <v>1525</v>
      </c>
      <c r="M84" s="141">
        <f>H84*P84/N84</f>
        <v>1</v>
      </c>
      <c r="N84" s="141">
        <f t="shared" ref="N84" si="24">L84/I84</f>
        <v>15.25</v>
      </c>
      <c r="O84" s="141">
        <f>N84*ALEA*AGM</f>
        <v>16.813124999999999</v>
      </c>
      <c r="P84" s="141">
        <f t="shared" ref="P84" si="25">(I84+SUM(J84:K84)/H84)/I84</f>
        <v>1.0166666666666666</v>
      </c>
    </row>
    <row r="85" spans="1:16">
      <c r="A85" s="140" t="s">
        <v>842</v>
      </c>
      <c r="B85" s="563" t="s">
        <v>114</v>
      </c>
      <c r="C85" s="140" t="s">
        <v>611</v>
      </c>
      <c r="D85" s="141">
        <v>250</v>
      </c>
      <c r="E85" s="141">
        <v>1</v>
      </c>
      <c r="F85" s="141" t="s">
        <v>164</v>
      </c>
      <c r="G85" s="142" t="s">
        <v>841</v>
      </c>
      <c r="H85" s="142">
        <f>D85/E85</f>
        <v>250</v>
      </c>
      <c r="I85" s="142">
        <v>1</v>
      </c>
      <c r="J85" s="142">
        <v>0</v>
      </c>
      <c r="K85" s="142">
        <v>5</v>
      </c>
      <c r="L85" s="141">
        <f>(H85*I85)+SUM(J85:K85)</f>
        <v>255</v>
      </c>
      <c r="M85" s="141">
        <f>H85*P85/N85</f>
        <v>1</v>
      </c>
      <c r="N85" s="141">
        <f>L85/I85</f>
        <v>255</v>
      </c>
      <c r="O85" s="141">
        <f>N85*ALEA*AGM</f>
        <v>281.13749999999999</v>
      </c>
      <c r="P85" s="141">
        <f>(I85+SUM(J85:K85)/H85)/I85</f>
        <v>1.02</v>
      </c>
    </row>
    <row r="86" spans="1:16">
      <c r="A86" s="140" t="s">
        <v>843</v>
      </c>
      <c r="B86" s="563" t="s">
        <v>227</v>
      </c>
      <c r="D86" s="141">
        <v>2</v>
      </c>
      <c r="E86" s="141">
        <v>1</v>
      </c>
      <c r="F86" s="141" t="s">
        <v>725</v>
      </c>
      <c r="G86" s="142" t="s">
        <v>840</v>
      </c>
      <c r="H86" s="142">
        <f t="shared" ref="H86" si="26">D86/E86</f>
        <v>2</v>
      </c>
      <c r="I86" s="142">
        <v>1000</v>
      </c>
      <c r="J86" s="142">
        <v>0</v>
      </c>
      <c r="K86" s="142">
        <v>0</v>
      </c>
      <c r="L86" s="141">
        <f t="shared" ref="L86" si="27">(H86*I86)+SUM(J86:K86)</f>
        <v>2000</v>
      </c>
      <c r="M86" s="141">
        <f>H86*P86/N86</f>
        <v>1</v>
      </c>
      <c r="N86" s="141">
        <f t="shared" ref="N86" si="28">L86/I86</f>
        <v>2</v>
      </c>
      <c r="O86" s="141">
        <f>N86*ALEA*AGM</f>
        <v>2.2050000000000001</v>
      </c>
      <c r="P86" s="141">
        <f t="shared" ref="P86" si="29">(I86+SUM(J86:K86)/H86)/I86</f>
        <v>1</v>
      </c>
    </row>
    <row r="87" spans="1:16">
      <c r="A87" s="140" t="s">
        <v>845</v>
      </c>
      <c r="B87" s="563" t="s">
        <v>96</v>
      </c>
      <c r="C87" s="140" t="s">
        <v>611</v>
      </c>
      <c r="D87" s="141">
        <v>250</v>
      </c>
      <c r="E87" s="141">
        <v>30</v>
      </c>
      <c r="F87" s="141" t="s">
        <v>22</v>
      </c>
      <c r="G87" s="142" t="s">
        <v>844</v>
      </c>
      <c r="H87" s="142">
        <f t="shared" ref="H87" si="30">D87/E87</f>
        <v>8.3333333333333339</v>
      </c>
      <c r="I87" s="142">
        <v>1</v>
      </c>
      <c r="J87" s="142">
        <v>0</v>
      </c>
      <c r="K87" s="142">
        <v>5</v>
      </c>
      <c r="L87" s="141">
        <f t="shared" ref="L87" si="31">(H87*I87)+SUM(J87:K87)</f>
        <v>13.333333333333334</v>
      </c>
      <c r="M87" s="141">
        <f>H87*P87/N87</f>
        <v>1.0000000000000002</v>
      </c>
      <c r="N87" s="141">
        <f t="shared" ref="N87" si="32">L87/I87</f>
        <v>13.333333333333334</v>
      </c>
      <c r="O87" s="141">
        <f>N87*ALEA*AGM</f>
        <v>14.700000000000003</v>
      </c>
      <c r="P87" s="141">
        <f t="shared" ref="P87" si="33">(I87+SUM(J87:K87)/H87)/I87</f>
        <v>1.6</v>
      </c>
    </row>
    <row r="88" spans="1:16">
      <c r="G88" s="142"/>
    </row>
    <row r="89" spans="1:16">
      <c r="G89" s="142"/>
    </row>
    <row r="90" spans="1:16">
      <c r="G90" s="142"/>
    </row>
    <row r="91" spans="1:16">
      <c r="G91" s="142"/>
    </row>
    <row r="92" spans="1:16">
      <c r="G92" s="142"/>
    </row>
    <row r="93" spans="1:16">
      <c r="G93" s="142"/>
    </row>
    <row r="94" spans="1:16">
      <c r="G94" s="142"/>
    </row>
    <row r="95" spans="1:16">
      <c r="G95" s="142"/>
    </row>
    <row r="96" spans="1:16">
      <c r="G96" s="142"/>
    </row>
    <row r="97" spans="7:7">
      <c r="G97" s="142"/>
    </row>
    <row r="98" spans="7:7">
      <c r="G98" s="142"/>
    </row>
    <row r="99" spans="7:7">
      <c r="G99" s="142"/>
    </row>
    <row r="100" spans="7:7">
      <c r="G100" s="142"/>
    </row>
    <row r="101" spans="7:7">
      <c r="G101" s="142"/>
    </row>
    <row r="102" spans="7:7">
      <c r="G102" s="142"/>
    </row>
    <row r="103" spans="7:7">
      <c r="G103" s="142"/>
    </row>
    <row r="104" spans="7:7">
      <c r="G104" s="142"/>
    </row>
  </sheetData>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sheetPr codeName="Feuil4"/>
  <dimension ref="A1:I347"/>
  <sheetViews>
    <sheetView tabSelected="1" zoomScale="115" zoomScaleNormal="115" workbookViewId="0">
      <selection activeCell="C8" sqref="C8"/>
    </sheetView>
  </sheetViews>
  <sheetFormatPr baseColWidth="10" defaultRowHeight="12"/>
  <cols>
    <col min="1" max="1" width="11.42578125" style="207"/>
    <col min="2" max="2" width="7.140625" style="199" customWidth="1"/>
    <col min="3" max="3" width="26.28515625" style="199" customWidth="1"/>
    <col min="4" max="4" width="4.85546875" style="199" customWidth="1"/>
    <col min="5" max="5" width="7.140625" style="199" customWidth="1"/>
    <col min="6" max="6" width="8.140625" style="199" customWidth="1"/>
    <col min="7" max="7" width="11.28515625" style="199" customWidth="1"/>
    <col min="8" max="8" width="10.5703125" style="199" customWidth="1"/>
    <col min="9" max="16384" width="11.42578125" style="199"/>
  </cols>
  <sheetData>
    <row r="1" spans="1:9" ht="36" customHeight="1">
      <c r="F1" s="199" t="s">
        <v>835</v>
      </c>
      <c r="G1" s="213" t="s">
        <v>723</v>
      </c>
      <c r="H1" s="211" t="s">
        <v>722</v>
      </c>
    </row>
    <row r="2" spans="1:9" s="201" customFormat="1">
      <c r="A2" s="582" t="s">
        <v>623</v>
      </c>
      <c r="B2" s="218" t="s">
        <v>849</v>
      </c>
      <c r="C2" s="582" t="s">
        <v>57</v>
      </c>
      <c r="D2" s="582" t="s">
        <v>0</v>
      </c>
      <c r="E2" s="582" t="s">
        <v>745</v>
      </c>
      <c r="F2" s="583" t="s">
        <v>744</v>
      </c>
      <c r="G2" s="584" t="s">
        <v>59</v>
      </c>
      <c r="H2" s="582" t="s">
        <v>69</v>
      </c>
      <c r="I2" s="585" t="s">
        <v>724</v>
      </c>
    </row>
    <row r="3" spans="1:9" s="207" customFormat="1" ht="18.75" customHeight="1">
      <c r="A3" s="207" t="s">
        <v>504</v>
      </c>
      <c r="B3" s="207" t="s">
        <v>504</v>
      </c>
      <c r="C3" s="207" t="s">
        <v>156</v>
      </c>
      <c r="D3" s="207" t="s">
        <v>365</v>
      </c>
      <c r="E3" s="587">
        <f>E7</f>
        <v>6</v>
      </c>
      <c r="F3" s="588">
        <f>F7</f>
        <v>21.021161699999997</v>
      </c>
      <c r="G3" s="220">
        <f>SUM(H4:H6)</f>
        <v>971.70013500000005</v>
      </c>
      <c r="H3" s="589">
        <f>SUM(H4:H7)*FDF</f>
        <v>1152.71846046</v>
      </c>
      <c r="I3" s="209">
        <f>H3*BENEF</f>
        <v>1498.5339985979999</v>
      </c>
    </row>
    <row r="4" spans="1:9">
      <c r="A4" s="207" t="s">
        <v>504</v>
      </c>
      <c r="B4" s="199" t="s">
        <v>599</v>
      </c>
      <c r="C4" s="199" t="s">
        <v>70</v>
      </c>
      <c r="D4" s="199" t="s">
        <v>22</v>
      </c>
      <c r="E4" s="199">
        <v>0.26</v>
      </c>
      <c r="G4" s="212">
        <f>VLOOKUP(B4,BD_Prod!$A$6:$O$104,15,0)</f>
        <v>516.82443750000004</v>
      </c>
      <c r="H4" s="212">
        <f>E4*G4</f>
        <v>134.37435375000001</v>
      </c>
    </row>
    <row r="5" spans="1:9">
      <c r="A5" s="207" t="s">
        <v>504</v>
      </c>
      <c r="B5" s="199" t="s">
        <v>537</v>
      </c>
      <c r="C5" s="199" t="s">
        <v>71</v>
      </c>
      <c r="D5" s="199" t="s">
        <v>31</v>
      </c>
      <c r="E5" s="199">
        <v>48</v>
      </c>
      <c r="G5" s="212">
        <f>VLOOKUP(B5,BD_Prod!$A$6:$O$104,15,0)</f>
        <v>17.425625</v>
      </c>
      <c r="H5" s="212">
        <f>E5*G5</f>
        <v>836.43000000000006</v>
      </c>
    </row>
    <row r="6" spans="1:9">
      <c r="A6" s="207" t="s">
        <v>504</v>
      </c>
      <c r="B6" s="199" t="s">
        <v>570</v>
      </c>
      <c r="C6" s="199" t="s">
        <v>72</v>
      </c>
      <c r="D6" s="199" t="s">
        <v>36</v>
      </c>
      <c r="E6" s="199">
        <v>0.5</v>
      </c>
      <c r="G6" s="212">
        <f>VLOOKUP(B6,BD_Prod!$A$6:$O$104,15,0)</f>
        <v>1.7915625000000002</v>
      </c>
      <c r="H6" s="212">
        <f>E6*G6</f>
        <v>0.89578125000000008</v>
      </c>
    </row>
    <row r="7" spans="1:9">
      <c r="A7" s="207" t="s">
        <v>504</v>
      </c>
      <c r="B7" s="199" t="s">
        <v>688</v>
      </c>
      <c r="C7" s="199" t="s">
        <v>1</v>
      </c>
      <c r="D7" s="199" t="s">
        <v>5</v>
      </c>
      <c r="E7" s="199">
        <v>6</v>
      </c>
      <c r="F7" s="212">
        <f>VLOOKUP(B7,BD_Prod!$A$1:$O$104,15,0)</f>
        <v>21.021161699999997</v>
      </c>
      <c r="G7" s="212"/>
      <c r="H7" s="212">
        <f>E7*F7</f>
        <v>126.12697019999999</v>
      </c>
    </row>
    <row r="8" spans="1:9" s="201" customFormat="1" ht="15">
      <c r="A8" s="201" t="s">
        <v>634</v>
      </c>
      <c r="B8" s="201" t="s">
        <v>634</v>
      </c>
      <c r="C8" s="201" t="s">
        <v>74</v>
      </c>
      <c r="D8" s="201" t="s">
        <v>365</v>
      </c>
      <c r="E8" s="586">
        <f>E12</f>
        <v>2</v>
      </c>
      <c r="F8" s="586">
        <f>F12</f>
        <v>21.021161699999997</v>
      </c>
      <c r="G8" s="219">
        <f>SUM(H9:H11)</f>
        <v>232.94281500000002</v>
      </c>
      <c r="H8" s="219">
        <f>SUM(H9:H12)*FDF</f>
        <v>288.73439532000003</v>
      </c>
      <c r="I8" s="219">
        <f>H8*BENEF</f>
        <v>375.35471391600004</v>
      </c>
    </row>
    <row r="9" spans="1:9">
      <c r="A9" s="207" t="s">
        <v>634</v>
      </c>
      <c r="B9" s="199" t="s">
        <v>599</v>
      </c>
      <c r="C9" s="199" t="s">
        <v>70</v>
      </c>
      <c r="D9" s="199" t="s">
        <v>22</v>
      </c>
      <c r="E9" s="199">
        <v>0.44</v>
      </c>
      <c r="G9" s="212">
        <f>VLOOKUP(B9,BD_Prod!$A$6:$O$104,15,0)</f>
        <v>516.82443750000004</v>
      </c>
      <c r="H9" s="212">
        <f>E9*G9</f>
        <v>227.40275250000002</v>
      </c>
    </row>
    <row r="10" spans="1:9">
      <c r="A10" s="207" t="s">
        <v>634</v>
      </c>
      <c r="B10" s="199" t="s">
        <v>596</v>
      </c>
      <c r="C10" s="199" t="s">
        <v>75</v>
      </c>
      <c r="D10" s="199" t="s">
        <v>0</v>
      </c>
      <c r="E10" s="199">
        <v>1</v>
      </c>
      <c r="G10" s="212">
        <f>VLOOKUP(B10,BD_Prod!$A$6:$O$104,15,0)</f>
        <v>3.7484999999999999</v>
      </c>
      <c r="H10" s="212">
        <f t="shared" ref="H10:H11" si="0">E10*G10</f>
        <v>3.7484999999999999</v>
      </c>
    </row>
    <row r="11" spans="1:9">
      <c r="A11" s="207" t="s">
        <v>634</v>
      </c>
      <c r="B11" s="199" t="s">
        <v>570</v>
      </c>
      <c r="C11" s="199" t="s">
        <v>72</v>
      </c>
      <c r="D11" s="199" t="s">
        <v>36</v>
      </c>
      <c r="E11" s="199">
        <v>1</v>
      </c>
      <c r="G11" s="212">
        <f>VLOOKUP(B11,BD_Prod!$A$6:$O$104,15,0)</f>
        <v>1.7915625000000002</v>
      </c>
      <c r="H11" s="212">
        <f t="shared" si="0"/>
        <v>1.7915625000000002</v>
      </c>
    </row>
    <row r="12" spans="1:9">
      <c r="A12" s="207" t="s">
        <v>634</v>
      </c>
      <c r="B12" s="199" t="s">
        <v>688</v>
      </c>
      <c r="C12" s="199" t="s">
        <v>1</v>
      </c>
      <c r="D12" s="199" t="s">
        <v>5</v>
      </c>
      <c r="E12" s="199">
        <v>2</v>
      </c>
      <c r="F12" s="212">
        <f>VLOOKUP(B12,BD_Prod!$A$1:$O$104,15,0)</f>
        <v>21.021161699999997</v>
      </c>
      <c r="G12" s="212"/>
      <c r="H12" s="212">
        <f>E12*F12</f>
        <v>42.042323399999994</v>
      </c>
    </row>
    <row r="13" spans="1:9" s="201" customFormat="1" ht="15">
      <c r="A13" s="201" t="s">
        <v>73</v>
      </c>
      <c r="C13" s="201" t="s">
        <v>79</v>
      </c>
      <c r="D13" s="201" t="s">
        <v>22</v>
      </c>
      <c r="E13" s="586">
        <f>E14</f>
        <v>1</v>
      </c>
      <c r="F13" s="586">
        <f>F14</f>
        <v>0</v>
      </c>
      <c r="G13" s="219">
        <f>SUM(H14)</f>
        <v>14.700000000000003</v>
      </c>
      <c r="H13" s="219">
        <f>SUM(H14)*FDF</f>
        <v>15.435000000000004</v>
      </c>
      <c r="I13" s="219">
        <f>H13*BENEF</f>
        <v>20.065500000000007</v>
      </c>
    </row>
    <row r="14" spans="1:9">
      <c r="A14" s="207" t="s">
        <v>73</v>
      </c>
      <c r="B14" s="199" t="s">
        <v>845</v>
      </c>
      <c r="C14" s="199" t="s">
        <v>76</v>
      </c>
      <c r="D14" s="199" t="s">
        <v>77</v>
      </c>
      <c r="E14" s="199">
        <v>1</v>
      </c>
      <c r="G14" s="212">
        <f>VLOOKUP(B14,BD_Prod!$A$6:$O$104,15,0)</f>
        <v>14.700000000000003</v>
      </c>
      <c r="H14" s="212">
        <f>E14*G14</f>
        <v>14.700000000000003</v>
      </c>
    </row>
    <row r="15" spans="1:9" s="201" customFormat="1" ht="15">
      <c r="A15" s="201" t="s">
        <v>73</v>
      </c>
      <c r="B15" s="201" t="s">
        <v>635</v>
      </c>
      <c r="C15" s="201" t="s">
        <v>157</v>
      </c>
      <c r="D15" s="201" t="s">
        <v>39</v>
      </c>
      <c r="E15" s="586">
        <f>E17</f>
        <v>0.08</v>
      </c>
      <c r="F15" s="586">
        <f>F17</f>
        <v>21.021161699999997</v>
      </c>
      <c r="G15" s="219">
        <f>SUM(H16)</f>
        <v>3.8587500000000006</v>
      </c>
      <c r="H15" s="219">
        <f>SUM(H16:H17)*FDF</f>
        <v>5.8174650828000001</v>
      </c>
      <c r="I15" s="219">
        <f>H15*BENEF</f>
        <v>7.5627046076400006</v>
      </c>
    </row>
    <row r="16" spans="1:9">
      <c r="A16" s="207" t="s">
        <v>73</v>
      </c>
      <c r="B16" s="199" t="s">
        <v>535</v>
      </c>
      <c r="C16" s="199" t="s">
        <v>24</v>
      </c>
      <c r="D16" s="199" t="s">
        <v>39</v>
      </c>
      <c r="E16" s="199">
        <v>1</v>
      </c>
      <c r="G16" s="212">
        <f>VLOOKUP(B16,BD_Prod!$A$6:$O$104,15,0)</f>
        <v>3.8587500000000006</v>
      </c>
      <c r="H16" s="212">
        <f>E16*G16</f>
        <v>3.8587500000000006</v>
      </c>
    </row>
    <row r="17" spans="1:9">
      <c r="A17" s="207" t="s">
        <v>73</v>
      </c>
      <c r="B17" s="199" t="s">
        <v>688</v>
      </c>
      <c r="C17" s="199" t="s">
        <v>1</v>
      </c>
      <c r="D17" s="199" t="s">
        <v>5</v>
      </c>
      <c r="E17" s="199">
        <v>0.08</v>
      </c>
      <c r="F17" s="212">
        <f>VLOOKUP(B17,BD_Prod!$A$1:$O$104,15,0)</f>
        <v>21.021161699999997</v>
      </c>
      <c r="G17" s="212"/>
      <c r="H17" s="212">
        <f>E17*F17</f>
        <v>1.6816929359999997</v>
      </c>
    </row>
    <row r="18" spans="1:9" s="201" customFormat="1" ht="15">
      <c r="A18" s="201" t="s">
        <v>636</v>
      </c>
      <c r="C18" s="201" t="s">
        <v>116</v>
      </c>
      <c r="D18" s="201" t="s">
        <v>31</v>
      </c>
      <c r="E18" s="586">
        <f>E22</f>
        <v>0.16</v>
      </c>
      <c r="F18" s="586">
        <f>F22</f>
        <v>21.021161699999997</v>
      </c>
      <c r="G18" s="219">
        <f>SUM(H19:H21)</f>
        <v>23.804904375000003</v>
      </c>
      <c r="H18" s="219">
        <f>SUM(H19:H22)*FDF</f>
        <v>28.526704759350004</v>
      </c>
      <c r="I18" s="219">
        <f>H18*BENEF</f>
        <v>37.084716187155003</v>
      </c>
    </row>
    <row r="19" spans="1:9">
      <c r="A19" s="207" t="s">
        <v>636</v>
      </c>
      <c r="B19" s="199" t="s">
        <v>680</v>
      </c>
      <c r="C19" s="199" t="s">
        <v>84</v>
      </c>
      <c r="D19" s="199" t="s">
        <v>18</v>
      </c>
      <c r="E19" s="199">
        <v>0.16</v>
      </c>
      <c r="G19" s="212">
        <f>VLOOKUP(B19,BD_ET_PR!$A$1:$G$26,7,0)</f>
        <v>119.34562500000001</v>
      </c>
      <c r="H19" s="212">
        <f>E19*G19</f>
        <v>19.095300000000002</v>
      </c>
    </row>
    <row r="20" spans="1:9">
      <c r="A20" s="207" t="s">
        <v>636</v>
      </c>
      <c r="B20" s="199" t="s">
        <v>535</v>
      </c>
      <c r="C20" s="199" t="s">
        <v>23</v>
      </c>
      <c r="D20" s="199" t="s">
        <v>39</v>
      </c>
      <c r="E20" s="199">
        <v>0.5</v>
      </c>
      <c r="G20" s="212">
        <f>VLOOKUP(B20,BD_Prod!$A$1:$O$104,15,0)</f>
        <v>3.8587500000000006</v>
      </c>
      <c r="H20" s="212">
        <f t="shared" ref="H20:H21" si="1">E20*G20</f>
        <v>1.9293750000000003</v>
      </c>
    </row>
    <row r="21" spans="1:9">
      <c r="A21" s="207" t="s">
        <v>636</v>
      </c>
      <c r="B21" s="199" t="s">
        <v>536</v>
      </c>
      <c r="C21" s="199" t="s">
        <v>692</v>
      </c>
      <c r="D21" s="199" t="s">
        <v>36</v>
      </c>
      <c r="E21" s="199">
        <v>0.87</v>
      </c>
      <c r="G21" s="212">
        <f>VLOOKUP(B21,BD_Prod!$A$6:$O$104,15,0)</f>
        <v>3.1956659482758627</v>
      </c>
      <c r="H21" s="212">
        <f t="shared" si="1"/>
        <v>2.7802293750000007</v>
      </c>
    </row>
    <row r="22" spans="1:9">
      <c r="A22" s="207" t="s">
        <v>636</v>
      </c>
      <c r="B22" s="199" t="s">
        <v>688</v>
      </c>
      <c r="C22" s="199" t="s">
        <v>1</v>
      </c>
      <c r="D22" s="199" t="s">
        <v>5</v>
      </c>
      <c r="E22" s="199">
        <v>0.16</v>
      </c>
      <c r="F22" s="212">
        <f>VLOOKUP(B22,BD_Prod!$A$1:$O$104,15,0)</f>
        <v>21.021161699999997</v>
      </c>
      <c r="G22" s="212"/>
      <c r="H22" s="212">
        <f>E22*F22</f>
        <v>3.3633858719999994</v>
      </c>
    </row>
    <row r="23" spans="1:9" s="201" customFormat="1" ht="15">
      <c r="A23" s="201" t="s">
        <v>637</v>
      </c>
      <c r="C23" s="201" t="s">
        <v>158</v>
      </c>
      <c r="D23" s="201" t="s">
        <v>721</v>
      </c>
      <c r="E23" s="586">
        <f>E29</f>
        <v>7.1999999999999995E-2</v>
      </c>
      <c r="F23" s="586">
        <f>F29</f>
        <v>21.021161699999997</v>
      </c>
      <c r="G23" s="219">
        <f>SUM(H24:H28)</f>
        <v>29.354613750000006</v>
      </c>
      <c r="H23" s="219">
        <f>SUM(H24:H29)*FDF</f>
        <v>32.411544262020008</v>
      </c>
      <c r="I23" s="219">
        <f>H23*BENEF</f>
        <v>42.135007540626013</v>
      </c>
    </row>
    <row r="24" spans="1:9">
      <c r="A24" s="207" t="s">
        <v>637</v>
      </c>
      <c r="B24" s="199" t="s">
        <v>680</v>
      </c>
      <c r="C24" s="199" t="s">
        <v>84</v>
      </c>
      <c r="D24" s="199" t="s">
        <v>18</v>
      </c>
      <c r="E24" s="199">
        <v>7.0000000000000007E-2</v>
      </c>
      <c r="G24" s="212">
        <f>VLOOKUP(B24,BD_ET_PR!$A$1:$G$26,7,0)</f>
        <v>119.34562500000001</v>
      </c>
      <c r="H24" s="212">
        <f>E24*G24</f>
        <v>8.3541937500000021</v>
      </c>
    </row>
    <row r="25" spans="1:9">
      <c r="A25" s="207" t="s">
        <v>637</v>
      </c>
      <c r="B25" s="199" t="s">
        <v>535</v>
      </c>
      <c r="C25" s="199" t="s">
        <v>23</v>
      </c>
      <c r="D25" s="199" t="s">
        <v>39</v>
      </c>
      <c r="E25" s="199">
        <v>0.36</v>
      </c>
      <c r="G25" s="212">
        <f>VLOOKUP(B25,BD_Prod!$A$6:$O$104,15,0)</f>
        <v>3.8587500000000006</v>
      </c>
      <c r="H25" s="212">
        <f t="shared" ref="H25:H28" si="2">E25*G25</f>
        <v>1.3891500000000001</v>
      </c>
    </row>
    <row r="26" spans="1:9">
      <c r="A26" s="207" t="s">
        <v>637</v>
      </c>
      <c r="B26" s="199" t="s">
        <v>536</v>
      </c>
      <c r="C26" s="199" t="s">
        <v>691</v>
      </c>
      <c r="D26" s="199" t="s">
        <v>87</v>
      </c>
      <c r="E26" s="199">
        <v>0.87</v>
      </c>
      <c r="G26" s="212">
        <f>VLOOKUP(B26,BD_Prod!$A$6:$O$104,15,0)</f>
        <v>3.1956659482758627</v>
      </c>
      <c r="H26" s="212">
        <f t="shared" si="2"/>
        <v>2.7802293750000007</v>
      </c>
    </row>
    <row r="27" spans="1:9">
      <c r="A27" s="207" t="s">
        <v>637</v>
      </c>
      <c r="B27" s="199" t="s">
        <v>570</v>
      </c>
      <c r="C27" s="199" t="s">
        <v>72</v>
      </c>
      <c r="D27" s="199" t="s">
        <v>87</v>
      </c>
      <c r="E27" s="199">
        <v>0.01</v>
      </c>
      <c r="G27" s="212">
        <f>VLOOKUP(B27,BD_Prod!$A$6:$O$104,15,0)</f>
        <v>1.7915625000000002</v>
      </c>
      <c r="H27" s="212">
        <f t="shared" si="2"/>
        <v>1.7915625000000001E-2</v>
      </c>
    </row>
    <row r="28" spans="1:9">
      <c r="A28" s="207" t="s">
        <v>637</v>
      </c>
      <c r="B28" s="199" t="s">
        <v>838</v>
      </c>
      <c r="C28" s="199" t="s">
        <v>125</v>
      </c>
      <c r="E28" s="199">
        <v>1</v>
      </c>
      <c r="G28" s="212">
        <f>VLOOKUP(B28,BD_Prod!$A$6:$O$104,15,0)</f>
        <v>16.813124999999999</v>
      </c>
      <c r="H28" s="212">
        <f t="shared" si="2"/>
        <v>16.813124999999999</v>
      </c>
    </row>
    <row r="29" spans="1:9">
      <c r="A29" s="207" t="s">
        <v>637</v>
      </c>
      <c r="B29" s="199" t="s">
        <v>688</v>
      </c>
      <c r="C29" s="199" t="s">
        <v>1</v>
      </c>
      <c r="D29" s="199" t="s">
        <v>5</v>
      </c>
      <c r="E29" s="199">
        <v>7.1999999999999995E-2</v>
      </c>
      <c r="F29" s="212">
        <f>VLOOKUP(B29,BD_Prod!$A$1:$O$104,15,0)</f>
        <v>21.021161699999997</v>
      </c>
      <c r="G29" s="212"/>
      <c r="H29" s="212">
        <f>E29*F29</f>
        <v>1.5135236423999996</v>
      </c>
    </row>
    <row r="30" spans="1:9" s="201" customFormat="1" ht="15">
      <c r="A30" s="201" t="s">
        <v>638</v>
      </c>
      <c r="C30" s="201" t="s">
        <v>159</v>
      </c>
      <c r="D30" s="201" t="s">
        <v>39</v>
      </c>
      <c r="E30" s="586">
        <f>E32</f>
        <v>0.15</v>
      </c>
      <c r="F30" s="586">
        <f>F32</f>
        <v>21.021161699999997</v>
      </c>
      <c r="G30" s="219">
        <f>SUM(H31)</f>
        <v>2.3634843750000001</v>
      </c>
      <c r="H30" s="219">
        <f>SUM(H31:H32)*FDF</f>
        <v>5.7924915614999994</v>
      </c>
      <c r="I30" s="219">
        <f>H30*BENEF</f>
        <v>7.5302390299499997</v>
      </c>
    </row>
    <row r="31" spans="1:9">
      <c r="A31" s="207" t="s">
        <v>638</v>
      </c>
      <c r="B31" s="199" t="s">
        <v>681</v>
      </c>
      <c r="C31" s="199" t="s">
        <v>101</v>
      </c>
      <c r="D31" s="199" t="s">
        <v>18</v>
      </c>
      <c r="E31" s="199">
        <v>2.5000000000000001E-2</v>
      </c>
      <c r="G31" s="212">
        <f>VLOOKUP(B31,BD_ET_PR!$A$1:$G$26,7,0)</f>
        <v>94.539375000000007</v>
      </c>
      <c r="H31" s="212">
        <f>E31*G31</f>
        <v>2.3634843750000001</v>
      </c>
    </row>
    <row r="32" spans="1:9">
      <c r="A32" s="207" t="s">
        <v>638</v>
      </c>
      <c r="B32" s="199" t="s">
        <v>688</v>
      </c>
      <c r="C32" s="199" t="s">
        <v>1</v>
      </c>
      <c r="D32" s="199" t="s">
        <v>5</v>
      </c>
      <c r="E32" s="199">
        <v>0.15</v>
      </c>
      <c r="F32" s="212">
        <f>VLOOKUP(B32,BD_Prod!$A$1:$O$104,15,0)</f>
        <v>21.021161699999997</v>
      </c>
      <c r="G32" s="212"/>
      <c r="H32" s="212">
        <f>E32*F32</f>
        <v>3.1531742549999993</v>
      </c>
    </row>
    <row r="33" spans="1:9" s="201" customFormat="1" ht="15">
      <c r="A33" s="201" t="s">
        <v>639</v>
      </c>
      <c r="C33" s="201" t="s">
        <v>127</v>
      </c>
      <c r="D33" s="201" t="s">
        <v>39</v>
      </c>
      <c r="E33" s="586">
        <f>E39</f>
        <v>1.1499999999999999</v>
      </c>
      <c r="F33" s="586">
        <f>F39</f>
        <v>21.021161699999997</v>
      </c>
      <c r="G33" s="219">
        <f>SUM(H34:H38)</f>
        <v>36.490404602272726</v>
      </c>
      <c r="H33" s="219">
        <f>SUM(H34:H39)*FDF</f>
        <v>63.697977585136364</v>
      </c>
      <c r="I33" s="219">
        <f>H33*BENEF</f>
        <v>82.807370860677281</v>
      </c>
    </row>
    <row r="34" spans="1:9">
      <c r="A34" s="207" t="s">
        <v>639</v>
      </c>
      <c r="B34" s="199" t="s">
        <v>680</v>
      </c>
      <c r="C34" s="199" t="s">
        <v>84</v>
      </c>
      <c r="D34" s="199" t="s">
        <v>18</v>
      </c>
      <c r="E34" s="199">
        <v>0.11</v>
      </c>
      <c r="G34" s="212">
        <f>VLOOKUP(B34,BD_ET_PR!$A$1:$G$26,7,0)</f>
        <v>119.34562500000001</v>
      </c>
      <c r="H34" s="212">
        <f>E34*G34</f>
        <v>13.128018750000001</v>
      </c>
    </row>
    <row r="35" spans="1:9">
      <c r="A35" s="207" t="s">
        <v>639</v>
      </c>
      <c r="B35" s="199" t="s">
        <v>532</v>
      </c>
      <c r="C35" s="199" t="s">
        <v>128</v>
      </c>
      <c r="D35" s="199" t="s">
        <v>0</v>
      </c>
      <c r="E35" s="199">
        <v>12.5</v>
      </c>
      <c r="G35" s="212">
        <f>VLOOKUP(B35,BD_Prod!$A$6:$O$104,15,0)</f>
        <v>1.1462500000000002</v>
      </c>
      <c r="H35" s="212">
        <f t="shared" ref="H35:H39" si="3">E35*G35</f>
        <v>14.328125000000004</v>
      </c>
    </row>
    <row r="36" spans="1:9">
      <c r="A36" s="207" t="s">
        <v>639</v>
      </c>
      <c r="B36" s="199" t="s">
        <v>534</v>
      </c>
      <c r="C36" s="199" t="s">
        <v>129</v>
      </c>
      <c r="D36" s="199" t="s">
        <v>87</v>
      </c>
      <c r="E36" s="199">
        <v>0.21</v>
      </c>
      <c r="G36" s="212">
        <f>VLOOKUP(B36,BD_Prod!$A$6:$O$104,15,0)</f>
        <v>0.86278977272727286</v>
      </c>
      <c r="H36" s="212">
        <f t="shared" si="3"/>
        <v>0.18118585227272729</v>
      </c>
    </row>
    <row r="37" spans="1:9">
      <c r="A37" s="207" t="s">
        <v>639</v>
      </c>
      <c r="B37" s="199" t="s">
        <v>682</v>
      </c>
      <c r="C37" s="199" t="s">
        <v>130</v>
      </c>
      <c r="D37" s="199" t="s">
        <v>18</v>
      </c>
      <c r="E37" s="199">
        <v>0.03</v>
      </c>
      <c r="G37" s="212">
        <f>VLOOKUP(B37,BD_ET_PR!$A$1:$G$26,7,0)</f>
        <v>270.11250000000001</v>
      </c>
      <c r="H37" s="212">
        <f t="shared" si="3"/>
        <v>8.1033749999999998</v>
      </c>
    </row>
    <row r="38" spans="1:9">
      <c r="A38" s="207" t="s">
        <v>639</v>
      </c>
      <c r="B38" s="199" t="s">
        <v>596</v>
      </c>
      <c r="C38" s="199" t="s">
        <v>33</v>
      </c>
      <c r="D38" s="199" t="s">
        <v>0</v>
      </c>
      <c r="E38" s="199">
        <v>0.2</v>
      </c>
      <c r="G38" s="212">
        <f>VLOOKUP(B38,BD_Prod!$A$6:$O$104,15,0)</f>
        <v>3.7484999999999999</v>
      </c>
      <c r="H38" s="212">
        <f t="shared" si="3"/>
        <v>0.74970000000000003</v>
      </c>
    </row>
    <row r="39" spans="1:9">
      <c r="A39" s="207" t="s">
        <v>639</v>
      </c>
      <c r="B39" s="199" t="s">
        <v>688</v>
      </c>
      <c r="C39" s="199" t="s">
        <v>1</v>
      </c>
      <c r="D39" s="199" t="s">
        <v>5</v>
      </c>
      <c r="E39" s="199">
        <v>1.1499999999999999</v>
      </c>
      <c r="F39" s="212">
        <f>VLOOKUP(B39,BD_Prod!$A$1:$O$104,15,0)</f>
        <v>21.021161699999997</v>
      </c>
      <c r="G39" s="212"/>
      <c r="H39" s="212">
        <f>E39*F39</f>
        <v>24.174335954999993</v>
      </c>
    </row>
    <row r="40" spans="1:9" s="201" customFormat="1" ht="15">
      <c r="A40" s="201" t="s">
        <v>640</v>
      </c>
      <c r="C40" s="201" t="s">
        <v>131</v>
      </c>
      <c r="D40" s="201" t="s">
        <v>39</v>
      </c>
      <c r="E40" s="586">
        <f>E43</f>
        <v>0.5</v>
      </c>
      <c r="F40" s="586">
        <f>F43</f>
        <v>21.021161699999997</v>
      </c>
      <c r="G40" s="219">
        <f>SUM(H41:H42)</f>
        <v>18.144393750000003</v>
      </c>
      <c r="H40" s="219">
        <f>SUM(H41:H43)*FDF</f>
        <v>30.087723330000003</v>
      </c>
      <c r="I40" s="219">
        <f>H40*BENEF</f>
        <v>39.114040329000005</v>
      </c>
    </row>
    <row r="41" spans="1:9">
      <c r="A41" s="207" t="s">
        <v>640</v>
      </c>
      <c r="B41" s="199" t="s">
        <v>685</v>
      </c>
      <c r="C41" s="199" t="s">
        <v>135</v>
      </c>
      <c r="D41" s="199" t="s">
        <v>36</v>
      </c>
      <c r="E41" s="199">
        <v>1.5</v>
      </c>
      <c r="G41" s="212">
        <f>VLOOKUP(B41,BD_Prod!$A$6:$O$104,15,0)</f>
        <v>0.77726249999999997</v>
      </c>
      <c r="H41" s="212">
        <f>E41*G41</f>
        <v>1.16589375</v>
      </c>
    </row>
    <row r="42" spans="1:9">
      <c r="A42" s="207" t="s">
        <v>640</v>
      </c>
      <c r="B42" s="199" t="s">
        <v>569</v>
      </c>
      <c r="C42" s="199" t="s">
        <v>208</v>
      </c>
      <c r="D42" s="199" t="s">
        <v>45</v>
      </c>
      <c r="E42" s="199">
        <v>1</v>
      </c>
      <c r="G42" s="212">
        <f>VLOOKUP(B42,BD_Prod!$A$6:$O$104,15,0)</f>
        <v>16.978500000000004</v>
      </c>
      <c r="H42" s="212">
        <f t="shared" ref="H42:H43" si="4">E42*G42</f>
        <v>16.978500000000004</v>
      </c>
    </row>
    <row r="43" spans="1:9">
      <c r="A43" s="207" t="s">
        <v>640</v>
      </c>
      <c r="B43" s="199" t="s">
        <v>688</v>
      </c>
      <c r="C43" s="199" t="s">
        <v>1</v>
      </c>
      <c r="D43" s="199" t="s">
        <v>5</v>
      </c>
      <c r="E43" s="199">
        <v>0.5</v>
      </c>
      <c r="F43" s="212">
        <f>VLOOKUP(B43,BD_Prod!$A$1:$O$104,15,0)</f>
        <v>21.021161699999997</v>
      </c>
      <c r="G43" s="212"/>
      <c r="H43" s="212">
        <f>E43*F43</f>
        <v>10.510580849999998</v>
      </c>
    </row>
    <row r="44" spans="1:9" s="201" customFormat="1" ht="15">
      <c r="A44" s="201" t="s">
        <v>78</v>
      </c>
      <c r="C44" s="201" t="s">
        <v>136</v>
      </c>
      <c r="D44" s="201" t="s">
        <v>22</v>
      </c>
      <c r="E44" s="586">
        <f>E47</f>
        <v>0.75</v>
      </c>
      <c r="F44" s="586">
        <f>F47</f>
        <v>21.021161699999997</v>
      </c>
      <c r="G44" s="219">
        <f>SUM(H45:H46)</f>
        <v>37.30125000000001</v>
      </c>
      <c r="H44" s="219">
        <f>SUM(H45:H47)*FDF</f>
        <v>55.720477338750008</v>
      </c>
      <c r="I44" s="219">
        <f>H44*BENEF</f>
        <v>72.436620540375017</v>
      </c>
    </row>
    <row r="45" spans="1:9">
      <c r="A45" s="207" t="s">
        <v>78</v>
      </c>
      <c r="B45" s="199" t="s">
        <v>530</v>
      </c>
      <c r="C45" s="199" t="s">
        <v>694</v>
      </c>
      <c r="D45" s="199" t="s">
        <v>22</v>
      </c>
      <c r="E45" s="199">
        <v>1</v>
      </c>
      <c r="G45" s="212">
        <f>VLOOKUP(B45,BD_Prod!$A$6:$O$104,15,0)</f>
        <v>22.601250000000004</v>
      </c>
      <c r="H45" s="212">
        <f>E45*G45</f>
        <v>22.601250000000004</v>
      </c>
    </row>
    <row r="46" spans="1:9">
      <c r="A46" s="207" t="s">
        <v>78</v>
      </c>
      <c r="B46" s="199" t="s">
        <v>845</v>
      </c>
      <c r="C46" s="199" t="s">
        <v>80</v>
      </c>
      <c r="D46" s="199" t="s">
        <v>22</v>
      </c>
      <c r="E46" s="199">
        <v>1</v>
      </c>
      <c r="G46" s="212">
        <f>VLOOKUP(B46,BD_Prod!$A$6:$O$104,15,0)</f>
        <v>14.700000000000003</v>
      </c>
      <c r="H46" s="212">
        <f t="shared" ref="H46:H47" si="5">E46*G46</f>
        <v>14.700000000000003</v>
      </c>
    </row>
    <row r="47" spans="1:9">
      <c r="A47" s="207" t="s">
        <v>78</v>
      </c>
      <c r="B47" s="199" t="s">
        <v>688</v>
      </c>
      <c r="C47" s="199" t="s">
        <v>83</v>
      </c>
      <c r="D47" s="199" t="s">
        <v>5</v>
      </c>
      <c r="E47" s="199">
        <v>0.75</v>
      </c>
      <c r="F47" s="212">
        <f>VLOOKUP(B47,BD_Prod!$A$1:$O$104,15,0)</f>
        <v>21.021161699999997</v>
      </c>
      <c r="G47" s="212"/>
      <c r="H47" s="212">
        <f>E47*F47</f>
        <v>15.765871274999999</v>
      </c>
    </row>
    <row r="48" spans="1:9" s="201" customFormat="1" ht="15">
      <c r="A48" s="201" t="s">
        <v>641</v>
      </c>
      <c r="C48" s="201" t="s">
        <v>138</v>
      </c>
      <c r="D48" s="201" t="s">
        <v>39</v>
      </c>
      <c r="E48" s="586">
        <f>E53</f>
        <v>0.2</v>
      </c>
      <c r="F48" s="586">
        <f>F53</f>
        <v>21.021161699999997</v>
      </c>
      <c r="G48" s="219">
        <f>SUM(H49:H52)</f>
        <v>36.672026276114202</v>
      </c>
      <c r="H48" s="219">
        <f>SUM(H49:H53)*FDF</f>
        <v>42.920071546919914</v>
      </c>
      <c r="I48" s="219">
        <f>H48*BENEF</f>
        <v>55.796093010995889</v>
      </c>
    </row>
    <row r="49" spans="1:9">
      <c r="A49" s="207" t="s">
        <v>641</v>
      </c>
      <c r="B49" s="199" t="s">
        <v>680</v>
      </c>
      <c r="C49" s="199" t="s">
        <v>84</v>
      </c>
      <c r="D49" s="199" t="s">
        <v>18</v>
      </c>
      <c r="E49" s="199">
        <v>0.12</v>
      </c>
      <c r="G49" s="212">
        <f>VLOOKUP(B49,BD_ET_PR!$A$1:$G$26,7,0)</f>
        <v>119.34562500000001</v>
      </c>
      <c r="H49" s="212">
        <f>E49*G49</f>
        <v>14.321475000000001</v>
      </c>
    </row>
    <row r="50" spans="1:9">
      <c r="A50" s="207" t="s">
        <v>641</v>
      </c>
      <c r="B50" s="199" t="s">
        <v>838</v>
      </c>
      <c r="C50" s="199" t="s">
        <v>125</v>
      </c>
      <c r="D50" s="199" t="s">
        <v>39</v>
      </c>
      <c r="E50" s="199">
        <v>1</v>
      </c>
      <c r="G50" s="212">
        <f>VLOOKUP(B50,BD_Prod!$A$6:$O$104,15,0)</f>
        <v>16.813124999999999</v>
      </c>
      <c r="H50" s="212">
        <f t="shared" ref="H50:H53" si="6">E50*G50</f>
        <v>16.813124999999999</v>
      </c>
    </row>
    <row r="51" spans="1:9">
      <c r="A51" s="207" t="s">
        <v>641</v>
      </c>
      <c r="B51" s="199" t="s">
        <v>538</v>
      </c>
      <c r="C51" s="199" t="s">
        <v>139</v>
      </c>
      <c r="D51" s="199" t="s">
        <v>36</v>
      </c>
      <c r="E51" s="199">
        <v>1.87</v>
      </c>
      <c r="G51" s="212">
        <f>VLOOKUP(B51,BD_Prod!$A$6:$O$104,15,0)</f>
        <v>0.89768784818941494</v>
      </c>
      <c r="H51" s="212">
        <f t="shared" si="6"/>
        <v>1.678676276114206</v>
      </c>
    </row>
    <row r="52" spans="1:9">
      <c r="A52" s="207" t="s">
        <v>641</v>
      </c>
      <c r="B52" s="199" t="s">
        <v>535</v>
      </c>
      <c r="C52" s="199" t="s">
        <v>24</v>
      </c>
      <c r="D52" s="199" t="s">
        <v>39</v>
      </c>
      <c r="E52" s="199">
        <v>1</v>
      </c>
      <c r="G52" s="212">
        <f>VLOOKUP(B52,BD_Prod!$A$6:$O$104,15,0)</f>
        <v>3.8587500000000006</v>
      </c>
      <c r="H52" s="212">
        <f t="shared" si="6"/>
        <v>3.8587500000000006</v>
      </c>
    </row>
    <row r="53" spans="1:9">
      <c r="A53" s="207" t="s">
        <v>641</v>
      </c>
      <c r="B53" s="199" t="s">
        <v>688</v>
      </c>
      <c r="C53" s="199" t="s">
        <v>83</v>
      </c>
      <c r="D53" s="199" t="s">
        <v>5</v>
      </c>
      <c r="E53" s="199">
        <v>0.2</v>
      </c>
      <c r="F53" s="212">
        <f>VLOOKUP(B53,BD_Prod!$A$1:$O$104,15,0)</f>
        <v>21.021161699999997</v>
      </c>
      <c r="G53" s="212"/>
      <c r="H53" s="212">
        <f>E53*F53</f>
        <v>4.2042323399999999</v>
      </c>
    </row>
    <row r="54" spans="1:9" s="201" customFormat="1" ht="15">
      <c r="A54" s="201" t="s">
        <v>124</v>
      </c>
      <c r="C54" s="201" t="s">
        <v>140</v>
      </c>
      <c r="D54" s="201" t="s">
        <v>31</v>
      </c>
      <c r="E54" s="586">
        <f>E56</f>
        <v>0.01</v>
      </c>
      <c r="F54" s="586">
        <f>F56</f>
        <v>21.021161699999997</v>
      </c>
      <c r="G54" s="219">
        <f>SUM(H55)</f>
        <v>12.178215000000002</v>
      </c>
      <c r="H54" s="219">
        <f>SUM(H55:H56)*FDF</f>
        <v>13.007847947850003</v>
      </c>
      <c r="I54" s="219">
        <f>H54*BENEF</f>
        <v>16.910202332205003</v>
      </c>
    </row>
    <row r="55" spans="1:9">
      <c r="A55" s="207" t="s">
        <v>124</v>
      </c>
      <c r="B55" s="199" t="s">
        <v>683</v>
      </c>
      <c r="C55" s="199" t="s">
        <v>141</v>
      </c>
      <c r="D55" s="199" t="s">
        <v>31</v>
      </c>
      <c r="E55" s="199">
        <v>0.03</v>
      </c>
      <c r="G55" s="212">
        <f>VLOOKUP(B55,BD_ET_PR!$A$1:$G$26,7,0)</f>
        <v>405.94050000000004</v>
      </c>
      <c r="H55" s="212">
        <f>E55*G55</f>
        <v>12.178215000000002</v>
      </c>
    </row>
    <row r="56" spans="1:9">
      <c r="A56" s="207" t="s">
        <v>124</v>
      </c>
      <c r="B56" s="199" t="s">
        <v>688</v>
      </c>
      <c r="C56" s="199" t="s">
        <v>1</v>
      </c>
      <c r="D56" s="199" t="s">
        <v>5</v>
      </c>
      <c r="E56" s="199">
        <v>0.01</v>
      </c>
      <c r="F56" s="212">
        <f>VLOOKUP(B56,BD_Prod!$A$1:$O$104,15,0)</f>
        <v>21.021161699999997</v>
      </c>
      <c r="G56" s="212"/>
      <c r="H56" s="212">
        <f>E56*F56</f>
        <v>0.21021161699999996</v>
      </c>
    </row>
    <row r="57" spans="1:9" s="201" customFormat="1" ht="15">
      <c r="A57" s="201" t="s">
        <v>148</v>
      </c>
      <c r="C57" s="201" t="s">
        <v>142</v>
      </c>
      <c r="D57" s="201" t="s">
        <v>39</v>
      </c>
      <c r="E57" s="586">
        <f>E63</f>
        <v>1.1499999999999999</v>
      </c>
      <c r="F57" s="586">
        <f>F63</f>
        <v>21.021161699999997</v>
      </c>
      <c r="G57" s="219">
        <f>SUM(H58:H62)</f>
        <v>26.942754602272732</v>
      </c>
      <c r="H57" s="219">
        <f>SUM(H58:H63)*FDF</f>
        <v>53.672945085136362</v>
      </c>
      <c r="I57" s="219">
        <f>H57*BENEF</f>
        <v>69.774828610677275</v>
      </c>
    </row>
    <row r="58" spans="1:9">
      <c r="A58" s="207" t="s">
        <v>148</v>
      </c>
      <c r="B58" s="199" t="s">
        <v>680</v>
      </c>
      <c r="C58" s="199" t="s">
        <v>84</v>
      </c>
      <c r="D58" s="199" t="s">
        <v>18</v>
      </c>
      <c r="E58" s="199">
        <v>0.03</v>
      </c>
      <c r="G58" s="212">
        <f>VLOOKUP(B58,BD_ET_PR!$A$1:$G$26,7,0)</f>
        <v>119.34562500000001</v>
      </c>
      <c r="H58" s="212">
        <f>E58*G58</f>
        <v>3.5803687500000003</v>
      </c>
    </row>
    <row r="59" spans="1:9">
      <c r="A59" s="207" t="s">
        <v>148</v>
      </c>
      <c r="B59" s="199" t="s">
        <v>532</v>
      </c>
      <c r="C59" s="199" t="s">
        <v>128</v>
      </c>
      <c r="D59" s="199" t="s">
        <v>0</v>
      </c>
      <c r="E59" s="199">
        <v>12.5</v>
      </c>
      <c r="G59" s="212">
        <f>VLOOKUP(B59,BD_Prod!$A$6:$O$104,15,0)</f>
        <v>1.1462500000000002</v>
      </c>
      <c r="H59" s="212">
        <f t="shared" ref="H59:H62" si="7">E59*G59</f>
        <v>14.328125000000004</v>
      </c>
    </row>
    <row r="60" spans="1:9">
      <c r="A60" s="207" t="s">
        <v>148</v>
      </c>
      <c r="B60" s="199" t="s">
        <v>534</v>
      </c>
      <c r="C60" s="199" t="s">
        <v>129</v>
      </c>
      <c r="D60" s="199" t="s">
        <v>87</v>
      </c>
      <c r="E60" s="199">
        <v>0.21</v>
      </c>
      <c r="G60" s="212">
        <f>VLOOKUP(B60,BD_Prod!$A$6:$O$104,15,0)</f>
        <v>0.86278977272727286</v>
      </c>
      <c r="H60" s="212">
        <f t="shared" si="7"/>
        <v>0.18118585227272729</v>
      </c>
    </row>
    <row r="61" spans="1:9">
      <c r="A61" s="207" t="s">
        <v>148</v>
      </c>
      <c r="B61" s="199" t="s">
        <v>682</v>
      </c>
      <c r="C61" s="199" t="s">
        <v>130</v>
      </c>
      <c r="D61" s="199" t="s">
        <v>18</v>
      </c>
      <c r="E61" s="199">
        <v>0.03</v>
      </c>
      <c r="G61" s="212">
        <f>VLOOKUP(B61,BD_ET_PR!$A$1:$G$26,7,0)</f>
        <v>270.11250000000001</v>
      </c>
      <c r="H61" s="212">
        <f t="shared" si="7"/>
        <v>8.1033749999999998</v>
      </c>
    </row>
    <row r="62" spans="1:9">
      <c r="A62" s="207" t="s">
        <v>148</v>
      </c>
      <c r="B62" s="199" t="s">
        <v>596</v>
      </c>
      <c r="C62" s="199" t="s">
        <v>33</v>
      </c>
      <c r="D62" s="199" t="s">
        <v>0</v>
      </c>
      <c r="E62" s="199">
        <v>0.2</v>
      </c>
      <c r="G62" s="212">
        <f>VLOOKUP(B62,BD_Prod!$A$6:$O$104,15,0)</f>
        <v>3.7484999999999999</v>
      </c>
      <c r="H62" s="212">
        <f t="shared" si="7"/>
        <v>0.74970000000000003</v>
      </c>
    </row>
    <row r="63" spans="1:9">
      <c r="A63" s="207" t="s">
        <v>148</v>
      </c>
      <c r="B63" s="199" t="s">
        <v>688</v>
      </c>
      <c r="C63" s="199" t="s">
        <v>1</v>
      </c>
      <c r="D63" s="199" t="s">
        <v>5</v>
      </c>
      <c r="E63" s="199">
        <v>1.1499999999999999</v>
      </c>
      <c r="F63" s="212">
        <f>VLOOKUP(B63,BD_Prod!$A$1:$O$104,15,0)</f>
        <v>21.021161699999997</v>
      </c>
      <c r="G63" s="212"/>
      <c r="H63" s="212">
        <f>E63*F63</f>
        <v>24.174335954999993</v>
      </c>
    </row>
    <row r="64" spans="1:9" s="201" customFormat="1" ht="15">
      <c r="A64" s="201" t="s">
        <v>150</v>
      </c>
      <c r="C64" s="201" t="s">
        <v>143</v>
      </c>
      <c r="D64" s="201" t="s">
        <v>39</v>
      </c>
      <c r="E64" s="586">
        <f>E70</f>
        <v>1.1499999999999999</v>
      </c>
      <c r="F64" s="586">
        <f>F70</f>
        <v>21.021161699999997</v>
      </c>
      <c r="G64" s="219">
        <f>SUM(H65:H69)</f>
        <v>18.554228039772727</v>
      </c>
      <c r="H64" s="219">
        <f>SUM(H65:H70)*FDF</f>
        <v>44.864992194511359</v>
      </c>
      <c r="I64" s="219">
        <f>H64*BENEF</f>
        <v>58.324489852864765</v>
      </c>
    </row>
    <row r="65" spans="1:9">
      <c r="A65" s="207" t="s">
        <v>150</v>
      </c>
      <c r="B65" s="199" t="s">
        <v>680</v>
      </c>
      <c r="C65" s="199" t="s">
        <v>84</v>
      </c>
      <c r="D65" s="199" t="s">
        <v>18</v>
      </c>
      <c r="E65" s="199">
        <v>7.4999999999999997E-3</v>
      </c>
      <c r="G65" s="212">
        <f>VLOOKUP(B65,BD_ET_PR!$A$1:$G$26,7,0)</f>
        <v>119.34562500000001</v>
      </c>
      <c r="H65" s="212">
        <f>E65*G65</f>
        <v>0.89509218750000008</v>
      </c>
    </row>
    <row r="66" spans="1:9">
      <c r="A66" s="207" t="s">
        <v>150</v>
      </c>
      <c r="B66" s="199" t="s">
        <v>533</v>
      </c>
      <c r="C66" s="199" t="s">
        <v>144</v>
      </c>
      <c r="D66" s="199" t="s">
        <v>0</v>
      </c>
      <c r="E66" s="199">
        <v>12.5</v>
      </c>
      <c r="G66" s="212">
        <f>VLOOKUP(B66,BD_Prod!$A$6:$O$104,15,0)</f>
        <v>1.0141249999999999</v>
      </c>
      <c r="H66" s="212">
        <f t="shared" ref="H66:H70" si="8">E66*G66</f>
        <v>12.676562499999999</v>
      </c>
    </row>
    <row r="67" spans="1:9">
      <c r="A67" s="207" t="s">
        <v>150</v>
      </c>
      <c r="B67" s="199" t="s">
        <v>534</v>
      </c>
      <c r="C67" s="199" t="s">
        <v>129</v>
      </c>
      <c r="D67" s="199" t="s">
        <v>87</v>
      </c>
      <c r="E67" s="199">
        <v>0.21</v>
      </c>
      <c r="G67" s="212">
        <f>VLOOKUP(B67,BD_Prod!$A$6:$O$104,15,0)</f>
        <v>0.86278977272727286</v>
      </c>
      <c r="H67" s="212">
        <f t="shared" si="8"/>
        <v>0.18118585227272729</v>
      </c>
    </row>
    <row r="68" spans="1:9">
      <c r="A68" s="207" t="s">
        <v>150</v>
      </c>
      <c r="B68" s="199" t="s">
        <v>682</v>
      </c>
      <c r="C68" s="199" t="s">
        <v>130</v>
      </c>
      <c r="D68" s="199" t="s">
        <v>18</v>
      </c>
      <c r="E68" s="199">
        <v>1.4999999999999999E-2</v>
      </c>
      <c r="G68" s="212">
        <f>VLOOKUP(B68,BD_ET_PR!$A$1:$G$26,7,0)</f>
        <v>270.11250000000001</v>
      </c>
      <c r="H68" s="212">
        <f t="shared" si="8"/>
        <v>4.0516874999999999</v>
      </c>
    </row>
    <row r="69" spans="1:9">
      <c r="A69" s="207" t="s">
        <v>150</v>
      </c>
      <c r="B69" s="199" t="s">
        <v>596</v>
      </c>
      <c r="C69" s="199" t="s">
        <v>33</v>
      </c>
      <c r="D69" s="199" t="s">
        <v>0</v>
      </c>
      <c r="E69" s="199">
        <v>0.2</v>
      </c>
      <c r="G69" s="212">
        <f>VLOOKUP(B69,BD_Prod!$A$6:$O$104,15,0)</f>
        <v>3.7484999999999999</v>
      </c>
      <c r="H69" s="212">
        <f t="shared" si="8"/>
        <v>0.74970000000000003</v>
      </c>
    </row>
    <row r="70" spans="1:9">
      <c r="A70" s="207" t="s">
        <v>150</v>
      </c>
      <c r="B70" s="199" t="s">
        <v>688</v>
      </c>
      <c r="C70" s="199" t="s">
        <v>1</v>
      </c>
      <c r="D70" s="199" t="s">
        <v>5</v>
      </c>
      <c r="E70" s="199">
        <v>1.1499999999999999</v>
      </c>
      <c r="F70" s="212">
        <f>VLOOKUP(B70,BD_Prod!$A$1:$O$104,15,0)</f>
        <v>21.021161699999997</v>
      </c>
      <c r="G70" s="212"/>
      <c r="H70" s="212">
        <f>E70*F70</f>
        <v>24.174335954999993</v>
      </c>
    </row>
    <row r="71" spans="1:9" s="201" customFormat="1" ht="15">
      <c r="A71" s="201" t="s">
        <v>237</v>
      </c>
      <c r="C71" s="201" t="s">
        <v>145</v>
      </c>
      <c r="D71" s="201" t="s">
        <v>22</v>
      </c>
      <c r="E71" s="586">
        <f>E77</f>
        <v>2</v>
      </c>
      <c r="F71" s="586">
        <f>F77</f>
        <v>21.021161699999997</v>
      </c>
      <c r="G71" s="219">
        <f>SUM(H72:H76)</f>
        <v>480.31154181818192</v>
      </c>
      <c r="H71" s="219">
        <f>SUM(H72:H77)*FDF</f>
        <v>548.47155847909107</v>
      </c>
      <c r="I71" s="219">
        <f>H71*BENEF</f>
        <v>713.01302602281839</v>
      </c>
    </row>
    <row r="72" spans="1:9">
      <c r="A72" s="207" t="s">
        <v>237</v>
      </c>
      <c r="B72" s="199" t="s">
        <v>679</v>
      </c>
      <c r="C72" s="199" t="s">
        <v>81</v>
      </c>
      <c r="D72" s="199" t="s">
        <v>18</v>
      </c>
      <c r="E72" s="199">
        <v>1</v>
      </c>
      <c r="G72" s="212">
        <f>VLOOKUP(B72,BD_ET_PR!$A$1:$G$26,7,0)</f>
        <v>121.82625000000002</v>
      </c>
      <c r="H72" s="212">
        <f>E72*G72</f>
        <v>121.82625000000002</v>
      </c>
    </row>
    <row r="73" spans="1:9">
      <c r="A73" s="207" t="s">
        <v>237</v>
      </c>
      <c r="B73" s="199" t="s">
        <v>534</v>
      </c>
      <c r="C73" s="199" t="s">
        <v>129</v>
      </c>
      <c r="D73" s="199" t="s">
        <v>87</v>
      </c>
      <c r="E73" s="199">
        <v>300</v>
      </c>
      <c r="G73" s="212">
        <f>VLOOKUP(B73,BD_Prod!$A$6:$O$104,15,0)</f>
        <v>0.86278977272727286</v>
      </c>
      <c r="H73" s="212">
        <f t="shared" ref="H73:H76" si="9">E73*G73</f>
        <v>258.83693181818188</v>
      </c>
    </row>
    <row r="74" spans="1:9">
      <c r="A74" s="207" t="s">
        <v>237</v>
      </c>
      <c r="B74" s="199" t="s">
        <v>599</v>
      </c>
      <c r="C74" s="199" t="s">
        <v>70</v>
      </c>
      <c r="D74" s="199" t="s">
        <v>22</v>
      </c>
      <c r="E74" s="199">
        <v>0.16</v>
      </c>
      <c r="G74" s="212">
        <f>VLOOKUP(B74,BD_Prod!$A$6:$O$104,15,0)</f>
        <v>516.82443750000004</v>
      </c>
      <c r="H74" s="212">
        <f t="shared" si="9"/>
        <v>82.691910000000007</v>
      </c>
    </row>
    <row r="75" spans="1:9">
      <c r="A75" s="207" t="s">
        <v>237</v>
      </c>
      <c r="B75" s="199" t="s">
        <v>838</v>
      </c>
      <c r="C75" s="199" t="s">
        <v>125</v>
      </c>
      <c r="D75" s="199" t="s">
        <v>39</v>
      </c>
      <c r="E75" s="199">
        <v>1</v>
      </c>
      <c r="G75" s="212">
        <f>VLOOKUP(B75,BD_Prod!$A$6:$O$104,15,0)</f>
        <v>16.813124999999999</v>
      </c>
      <c r="H75" s="212">
        <f t="shared" si="9"/>
        <v>16.813124999999999</v>
      </c>
    </row>
    <row r="76" spans="1:9">
      <c r="A76" s="207" t="s">
        <v>237</v>
      </c>
      <c r="B76" s="199" t="s">
        <v>570</v>
      </c>
      <c r="C76" s="199" t="s">
        <v>99</v>
      </c>
      <c r="D76" s="199" t="s">
        <v>87</v>
      </c>
      <c r="E76" s="199">
        <v>0.08</v>
      </c>
      <c r="G76" s="212">
        <f>VLOOKUP(B76,BD_Prod!$A$6:$O$104,15,0)</f>
        <v>1.7915625000000002</v>
      </c>
      <c r="H76" s="212">
        <f t="shared" si="9"/>
        <v>0.14332500000000001</v>
      </c>
    </row>
    <row r="77" spans="1:9">
      <c r="A77" s="207" t="s">
        <v>237</v>
      </c>
      <c r="B77" s="199" t="s">
        <v>688</v>
      </c>
      <c r="C77" s="199" t="s">
        <v>1</v>
      </c>
      <c r="D77" s="199" t="s">
        <v>5</v>
      </c>
      <c r="E77" s="199">
        <v>2</v>
      </c>
      <c r="F77" s="212">
        <f>VLOOKUP(B77,BD_Prod!$A$1:$O$104,15,0)</f>
        <v>21.021161699999997</v>
      </c>
      <c r="G77" s="212"/>
      <c r="H77" s="212">
        <f>E77*F77</f>
        <v>42.042323399999994</v>
      </c>
    </row>
    <row r="78" spans="1:9" s="201" customFormat="1" ht="15">
      <c r="A78" s="201" t="s">
        <v>642</v>
      </c>
      <c r="C78" s="201" t="s">
        <v>160</v>
      </c>
      <c r="D78" s="201" t="s">
        <v>22</v>
      </c>
      <c r="E78" s="586">
        <f>E84</f>
        <v>2</v>
      </c>
      <c r="F78" s="586">
        <f>F84</f>
        <v>21.021161699999997</v>
      </c>
      <c r="G78" s="219">
        <f>SUM(H79:H83)</f>
        <v>926.92820411085461</v>
      </c>
      <c r="H78" s="219">
        <f>SUM(H79:H84)*FDF</f>
        <v>1017.4190538863974</v>
      </c>
      <c r="I78" s="219">
        <f>H78*BENEF</f>
        <v>1322.6447700523165</v>
      </c>
    </row>
    <row r="79" spans="1:9">
      <c r="A79" s="207" t="s">
        <v>642</v>
      </c>
      <c r="B79" s="199" t="s">
        <v>679</v>
      </c>
      <c r="C79" s="199" t="s">
        <v>81</v>
      </c>
      <c r="D79" s="199" t="s">
        <v>18</v>
      </c>
      <c r="E79" s="199">
        <v>1</v>
      </c>
      <c r="G79" s="212">
        <f>VLOOKUP(B79,BD_ET_PR!$A$1:$G$26,7,0)</f>
        <v>121.82625000000002</v>
      </c>
      <c r="H79" s="212">
        <f>E79*G79</f>
        <v>121.82625000000002</v>
      </c>
    </row>
    <row r="80" spans="1:9">
      <c r="A80" s="207" t="s">
        <v>642</v>
      </c>
      <c r="B80" s="199" t="s">
        <v>539</v>
      </c>
      <c r="C80" s="199" t="s">
        <v>149</v>
      </c>
      <c r="D80" s="199" t="s">
        <v>87</v>
      </c>
      <c r="E80" s="199">
        <v>250</v>
      </c>
      <c r="G80" s="212">
        <f>VLOOKUP(B80,BD_Prod!$A$6:$O$104,15,0)</f>
        <v>2.821814376443418</v>
      </c>
      <c r="H80" s="212">
        <f t="shared" ref="H80:H84" si="10">E80*G80</f>
        <v>705.45359411085451</v>
      </c>
    </row>
    <row r="81" spans="1:9">
      <c r="A81" s="207" t="s">
        <v>642</v>
      </c>
      <c r="B81" s="199" t="s">
        <v>599</v>
      </c>
      <c r="C81" s="199" t="s">
        <v>70</v>
      </c>
      <c r="D81" s="199" t="s">
        <v>22</v>
      </c>
      <c r="E81" s="199">
        <v>0.16</v>
      </c>
      <c r="G81" s="212">
        <f>VLOOKUP(B81,BD_Prod!$A$6:$O$104,15,0)</f>
        <v>516.82443750000004</v>
      </c>
      <c r="H81" s="212">
        <f t="shared" si="10"/>
        <v>82.691910000000007</v>
      </c>
    </row>
    <row r="82" spans="1:9">
      <c r="A82" s="207" t="s">
        <v>642</v>
      </c>
      <c r="B82" s="199" t="s">
        <v>838</v>
      </c>
      <c r="C82" s="199" t="s">
        <v>125</v>
      </c>
      <c r="D82" s="199" t="s">
        <v>39</v>
      </c>
      <c r="E82" s="199">
        <v>1</v>
      </c>
      <c r="G82" s="212">
        <f>VLOOKUP(B82,BD_Prod!$A$6:$O$104,15,0)</f>
        <v>16.813124999999999</v>
      </c>
      <c r="H82" s="212">
        <f t="shared" si="10"/>
        <v>16.813124999999999</v>
      </c>
    </row>
    <row r="83" spans="1:9">
      <c r="A83" s="207" t="s">
        <v>642</v>
      </c>
      <c r="B83" s="199" t="s">
        <v>570</v>
      </c>
      <c r="C83" s="199" t="s">
        <v>99</v>
      </c>
      <c r="D83" s="199" t="s">
        <v>87</v>
      </c>
      <c r="E83" s="199">
        <v>0.08</v>
      </c>
      <c r="G83" s="212">
        <f>VLOOKUP(B83,BD_Prod!$A$6:$O$104,15,0)</f>
        <v>1.7915625000000002</v>
      </c>
      <c r="H83" s="212">
        <f t="shared" si="10"/>
        <v>0.14332500000000001</v>
      </c>
    </row>
    <row r="84" spans="1:9">
      <c r="A84" s="207" t="s">
        <v>642</v>
      </c>
      <c r="B84" s="199" t="s">
        <v>688</v>
      </c>
      <c r="C84" s="199" t="s">
        <v>1</v>
      </c>
      <c r="D84" s="199" t="s">
        <v>5</v>
      </c>
      <c r="E84" s="199">
        <v>2</v>
      </c>
      <c r="F84" s="212">
        <f>VLOOKUP(B84,BD_Prod!$A$1:$O$104,15,0)</f>
        <v>21.021161699999997</v>
      </c>
      <c r="G84" s="212"/>
      <c r="H84" s="212">
        <f>E84*F84</f>
        <v>42.042323399999994</v>
      </c>
    </row>
    <row r="85" spans="1:9" s="201" customFormat="1" ht="15">
      <c r="A85" s="201" t="s">
        <v>643</v>
      </c>
      <c r="C85" s="201" t="s">
        <v>161</v>
      </c>
      <c r="D85" s="201" t="s">
        <v>22</v>
      </c>
      <c r="E85" s="586">
        <f>E91</f>
        <v>2</v>
      </c>
      <c r="F85" s="586">
        <f>F91</f>
        <v>21.021161699999997</v>
      </c>
      <c r="G85" s="219">
        <f>SUM(H86:H90)</f>
        <v>814.03372248251765</v>
      </c>
      <c r="H85" s="219">
        <f>SUM(H86:H91)*FDF</f>
        <v>898.87984817664358</v>
      </c>
      <c r="I85" s="219">
        <f>H85*BENEF</f>
        <v>1168.5438026296367</v>
      </c>
    </row>
    <row r="86" spans="1:9">
      <c r="A86" s="207" t="s">
        <v>643</v>
      </c>
      <c r="B86" s="199" t="s">
        <v>679</v>
      </c>
      <c r="C86" s="199" t="s">
        <v>81</v>
      </c>
      <c r="D86" s="199" t="s">
        <v>18</v>
      </c>
      <c r="E86" s="199">
        <v>1</v>
      </c>
      <c r="G86" s="212">
        <f>VLOOKUP(B86,BD_ET_PR!$A$1:$G$26,7,0)</f>
        <v>121.82625000000002</v>
      </c>
      <c r="H86" s="212">
        <f>E86*G86</f>
        <v>121.82625000000002</v>
      </c>
    </row>
    <row r="87" spans="1:9">
      <c r="A87" s="207" t="s">
        <v>643</v>
      </c>
      <c r="B87" s="199" t="s">
        <v>542</v>
      </c>
      <c r="C87" s="199" t="s">
        <v>707</v>
      </c>
      <c r="D87" s="199" t="s">
        <v>87</v>
      </c>
      <c r="E87" s="199">
        <v>250</v>
      </c>
      <c r="G87" s="212">
        <f>VLOOKUP(B87,BD_Prod!$A$6:$O$104,15,0)</f>
        <v>2.5974925699300702</v>
      </c>
      <c r="H87" s="212">
        <f t="shared" ref="H87:H91" si="11">E87*G87</f>
        <v>649.37314248251755</v>
      </c>
    </row>
    <row r="88" spans="1:9">
      <c r="A88" s="207" t="s">
        <v>643</v>
      </c>
      <c r="B88" s="199" t="s">
        <v>599</v>
      </c>
      <c r="C88" s="199" t="s">
        <v>70</v>
      </c>
      <c r="D88" s="199" t="s">
        <v>22</v>
      </c>
      <c r="E88" s="199">
        <v>0.08</v>
      </c>
      <c r="G88" s="212">
        <f>VLOOKUP(B88,BD_Prod!$A$6:$O$104,15,0)</f>
        <v>516.82443750000004</v>
      </c>
      <c r="H88" s="212">
        <f t="shared" si="11"/>
        <v>41.345955000000004</v>
      </c>
    </row>
    <row r="89" spans="1:9">
      <c r="A89" s="207" t="s">
        <v>643</v>
      </c>
      <c r="B89" s="199" t="s">
        <v>838</v>
      </c>
      <c r="C89" s="199" t="s">
        <v>125</v>
      </c>
      <c r="D89" s="199" t="s">
        <v>39</v>
      </c>
      <c r="E89" s="199">
        <v>0.08</v>
      </c>
      <c r="G89" s="212">
        <f>VLOOKUP(B89,BD_Prod!$A$6:$O$104,15,0)</f>
        <v>16.813124999999999</v>
      </c>
      <c r="H89" s="212">
        <f t="shared" si="11"/>
        <v>1.3450500000000001</v>
      </c>
    </row>
    <row r="90" spans="1:9">
      <c r="A90" s="207" t="s">
        <v>643</v>
      </c>
      <c r="B90" s="199" t="s">
        <v>570</v>
      </c>
      <c r="C90" s="199" t="s">
        <v>99</v>
      </c>
      <c r="D90" s="199" t="s">
        <v>87</v>
      </c>
      <c r="E90" s="199">
        <v>0.08</v>
      </c>
      <c r="G90" s="212">
        <f>VLOOKUP(B90,BD_Prod!$A$6:$O$104,15,0)</f>
        <v>1.7915625000000002</v>
      </c>
      <c r="H90" s="212">
        <f t="shared" si="11"/>
        <v>0.14332500000000001</v>
      </c>
    </row>
    <row r="91" spans="1:9">
      <c r="A91" s="207" t="s">
        <v>643</v>
      </c>
      <c r="B91" s="199" t="s">
        <v>688</v>
      </c>
      <c r="C91" s="199" t="s">
        <v>1</v>
      </c>
      <c r="D91" s="199" t="s">
        <v>5</v>
      </c>
      <c r="E91" s="199">
        <v>2</v>
      </c>
      <c r="F91" s="212">
        <f>VLOOKUP(B91,BD_Prod!$A$1:$O$104,15,0)</f>
        <v>21.021161699999997</v>
      </c>
      <c r="G91" s="212"/>
      <c r="H91" s="212">
        <f>E91*F91</f>
        <v>42.042323399999994</v>
      </c>
    </row>
    <row r="92" spans="1:9" s="201" customFormat="1" ht="15">
      <c r="A92" s="201" t="s">
        <v>644</v>
      </c>
      <c r="C92" s="201" t="s">
        <v>151</v>
      </c>
      <c r="D92" s="201" t="s">
        <v>0</v>
      </c>
      <c r="E92" s="586">
        <f>E94</f>
        <v>0.5</v>
      </c>
      <c r="F92" s="586">
        <f>F94</f>
        <v>21.021161699999997</v>
      </c>
      <c r="G92" s="219">
        <f>H93</f>
        <v>12.155062500000001</v>
      </c>
      <c r="H92" s="219">
        <f>SUM(H93:H94)*FDF</f>
        <v>23.798925517500003</v>
      </c>
      <c r="I92" s="219">
        <f>H92*BENEF</f>
        <v>30.938603172750003</v>
      </c>
    </row>
    <row r="93" spans="1:9">
      <c r="A93" s="207" t="s">
        <v>644</v>
      </c>
      <c r="B93" s="199" t="s">
        <v>545</v>
      </c>
      <c r="C93" s="199" t="s">
        <v>846</v>
      </c>
      <c r="D93" s="199" t="s">
        <v>0</v>
      </c>
      <c r="E93" s="199">
        <v>1</v>
      </c>
      <c r="G93" s="212">
        <f>VLOOKUP(B93,BD_Prod!$A$6:$O$104,15,0)</f>
        <v>12.155062500000001</v>
      </c>
      <c r="H93" s="212">
        <f>E93*G93</f>
        <v>12.155062500000001</v>
      </c>
    </row>
    <row r="94" spans="1:9">
      <c r="A94" s="207" t="s">
        <v>644</v>
      </c>
      <c r="B94" s="199" t="s">
        <v>688</v>
      </c>
      <c r="C94" s="199" t="s">
        <v>83</v>
      </c>
      <c r="D94" s="199" t="s">
        <v>5</v>
      </c>
      <c r="E94" s="199">
        <v>0.5</v>
      </c>
      <c r="F94" s="212">
        <f>VLOOKUP(B94,BD_Prod!$A$1:$O$104,15,0)</f>
        <v>21.021161699999997</v>
      </c>
      <c r="G94" s="212"/>
      <c r="H94" s="212">
        <f>E94*F94</f>
        <v>10.510580849999998</v>
      </c>
    </row>
    <row r="95" spans="1:9" s="201" customFormat="1" ht="15">
      <c r="A95" s="201" t="s">
        <v>645</v>
      </c>
      <c r="C95" s="201" t="s">
        <v>377</v>
      </c>
      <c r="D95" s="201" t="s">
        <v>39</v>
      </c>
      <c r="E95" s="586">
        <f>E101</f>
        <v>0.7</v>
      </c>
      <c r="F95" s="586">
        <f>F101</f>
        <v>21.021161699999997</v>
      </c>
      <c r="G95" s="219">
        <f>SUM(H96:H100)</f>
        <v>13.651211538461542</v>
      </c>
      <c r="H95" s="219">
        <f>SUM(H96:H101)*FDF</f>
        <v>29.784325964884619</v>
      </c>
      <c r="I95" s="219">
        <f>H95*BENEF</f>
        <v>38.719623754350003</v>
      </c>
    </row>
    <row r="96" spans="1:9">
      <c r="A96" s="207" t="s">
        <v>645</v>
      </c>
      <c r="B96" s="199" t="s">
        <v>686</v>
      </c>
      <c r="C96" s="199" t="s">
        <v>200</v>
      </c>
      <c r="D96" s="199" t="s">
        <v>31</v>
      </c>
      <c r="E96" s="199">
        <v>1</v>
      </c>
      <c r="G96" s="212">
        <f>VLOOKUP(B96,BD_Prod!$A$6:$O$104,15,0)</f>
        <v>1.1668125000000003</v>
      </c>
      <c r="H96" s="212">
        <f>E96*G96</f>
        <v>1.1668125000000003</v>
      </c>
    </row>
    <row r="97" spans="1:9">
      <c r="A97" s="207" t="s">
        <v>645</v>
      </c>
      <c r="B97" s="199" t="s">
        <v>565</v>
      </c>
      <c r="C97" s="199" t="s">
        <v>201</v>
      </c>
      <c r="D97" s="199" t="s">
        <v>31</v>
      </c>
      <c r="E97" s="199">
        <v>1</v>
      </c>
      <c r="G97" s="212">
        <f>VLOOKUP(B97,BD_Prod!$A$6:$O$104,15,0)</f>
        <v>1.6813125000000002</v>
      </c>
      <c r="H97" s="212">
        <f t="shared" ref="H97:H101" si="12">E97*G97</f>
        <v>1.6813125000000002</v>
      </c>
    </row>
    <row r="98" spans="1:9">
      <c r="A98" s="207" t="s">
        <v>645</v>
      </c>
      <c r="B98" s="199" t="s">
        <v>564</v>
      </c>
      <c r="C98" s="199" t="s">
        <v>54</v>
      </c>
      <c r="D98" s="199" t="s">
        <v>39</v>
      </c>
      <c r="E98" s="199">
        <v>1</v>
      </c>
      <c r="G98" s="212">
        <f>VLOOKUP(B98,BD_Prod!$A$6:$O$104,15,0)</f>
        <v>6.2828365384615399</v>
      </c>
      <c r="H98" s="212">
        <f t="shared" si="12"/>
        <v>6.2828365384615399</v>
      </c>
    </row>
    <row r="99" spans="1:9">
      <c r="A99" s="207" t="s">
        <v>645</v>
      </c>
      <c r="B99" s="199" t="s">
        <v>558</v>
      </c>
      <c r="C99" s="199" t="s">
        <v>197</v>
      </c>
      <c r="D99" s="199" t="s">
        <v>31</v>
      </c>
      <c r="E99" s="199">
        <v>1</v>
      </c>
      <c r="G99" s="212">
        <f>VLOOKUP(B99,BD_Prod!$A$6:$O$104,15,0)</f>
        <v>2.3152500000000003</v>
      </c>
      <c r="H99" s="212">
        <f t="shared" si="12"/>
        <v>2.3152500000000003</v>
      </c>
    </row>
    <row r="100" spans="1:9">
      <c r="A100" s="207" t="s">
        <v>645</v>
      </c>
      <c r="B100" s="199" t="s">
        <v>843</v>
      </c>
      <c r="C100" s="199" t="s">
        <v>55</v>
      </c>
      <c r="D100" s="199" t="s">
        <v>0</v>
      </c>
      <c r="E100" s="199">
        <v>1</v>
      </c>
      <c r="G100" s="212">
        <f>VLOOKUP(B100,BD_Prod!$A$6:$O$104,15,0)</f>
        <v>2.2050000000000001</v>
      </c>
      <c r="H100" s="212">
        <f t="shared" si="12"/>
        <v>2.2050000000000001</v>
      </c>
    </row>
    <row r="101" spans="1:9">
      <c r="A101" s="207" t="s">
        <v>645</v>
      </c>
      <c r="B101" s="199" t="s">
        <v>688</v>
      </c>
      <c r="C101" s="199" t="s">
        <v>1</v>
      </c>
      <c r="D101" s="199" t="s">
        <v>5</v>
      </c>
      <c r="E101" s="199">
        <v>0.7</v>
      </c>
      <c r="F101" s="212">
        <f>VLOOKUP(B101,BD_Prod!$A$1:$O$104,15,0)</f>
        <v>21.021161699999997</v>
      </c>
      <c r="G101" s="212"/>
      <c r="H101" s="212">
        <f>E101*F101</f>
        <v>14.714813189999997</v>
      </c>
    </row>
    <row r="102" spans="1:9" s="201" customFormat="1" ht="15">
      <c r="A102" s="201" t="s">
        <v>117</v>
      </c>
      <c r="C102" s="201" t="s">
        <v>153</v>
      </c>
      <c r="D102" s="201" t="s">
        <v>39</v>
      </c>
      <c r="E102" s="586">
        <f>SUM(E107:E110)</f>
        <v>2.855</v>
      </c>
      <c r="F102" s="586">
        <f>F110</f>
        <v>21.021161699999997</v>
      </c>
      <c r="G102" s="219">
        <f>SUM(H103:H106)</f>
        <v>57.335632526114203</v>
      </c>
      <c r="H102" s="219">
        <f>SUM(H103:H110)*FDF</f>
        <v>123.2186016385949</v>
      </c>
      <c r="I102" s="219">
        <f>H102*BENEF</f>
        <v>160.18418213017338</v>
      </c>
    </row>
    <row r="103" spans="1:9">
      <c r="A103" s="207" t="s">
        <v>117</v>
      </c>
      <c r="B103" s="199" t="s">
        <v>573</v>
      </c>
      <c r="C103" s="199" t="s">
        <v>102</v>
      </c>
      <c r="D103" s="199" t="s">
        <v>39</v>
      </c>
      <c r="E103" s="199">
        <v>1</v>
      </c>
      <c r="G103" s="212">
        <f>VLOOKUP(B103,BD_Prod!$A$6:$O$104,15,0)</f>
        <v>49.061250000000001</v>
      </c>
      <c r="H103" s="212">
        <f>E103*G103</f>
        <v>49.061250000000001</v>
      </c>
    </row>
    <row r="104" spans="1:9">
      <c r="A104" s="207" t="s">
        <v>117</v>
      </c>
      <c r="B104" s="199" t="s">
        <v>538</v>
      </c>
      <c r="C104" s="199" t="s">
        <v>103</v>
      </c>
      <c r="D104" s="199" t="s">
        <v>36</v>
      </c>
      <c r="E104" s="199">
        <v>1.87</v>
      </c>
      <c r="G104" s="212">
        <f>VLOOKUP(B104,BD_Prod!$A$6:$O$104,15,0)</f>
        <v>0.89768784818941494</v>
      </c>
      <c r="H104" s="212">
        <f t="shared" ref="H104:H106" si="13">E104*G104</f>
        <v>1.678676276114206</v>
      </c>
    </row>
    <row r="105" spans="1:9">
      <c r="A105" s="207" t="s">
        <v>117</v>
      </c>
      <c r="B105" s="199" t="s">
        <v>679</v>
      </c>
      <c r="C105" s="199" t="s">
        <v>155</v>
      </c>
      <c r="D105" s="199" t="s">
        <v>18</v>
      </c>
      <c r="E105" s="199">
        <v>0.05</v>
      </c>
      <c r="G105" s="212">
        <f>VLOOKUP(B105,BD_ET_PR!$A$1:$G$26,7,0)</f>
        <v>121.82625000000002</v>
      </c>
      <c r="H105" s="212">
        <f t="shared" si="13"/>
        <v>6.0913125000000008</v>
      </c>
    </row>
    <row r="106" spans="1:9">
      <c r="A106" s="207" t="s">
        <v>117</v>
      </c>
      <c r="B106" s="199" t="s">
        <v>838</v>
      </c>
      <c r="C106" s="199" t="s">
        <v>97</v>
      </c>
      <c r="D106" s="199" t="s">
        <v>39</v>
      </c>
      <c r="E106" s="199">
        <v>0.03</v>
      </c>
      <c r="G106" s="212">
        <f>VLOOKUP(B106,BD_Prod!$A$6:$O$104,15,0)</f>
        <v>16.813124999999999</v>
      </c>
      <c r="H106" s="212">
        <f t="shared" si="13"/>
        <v>0.50439374999999997</v>
      </c>
    </row>
    <row r="107" spans="1:9">
      <c r="A107" s="207" t="s">
        <v>117</v>
      </c>
      <c r="B107" s="199" t="s">
        <v>688</v>
      </c>
      <c r="C107" s="199" t="s">
        <v>104</v>
      </c>
      <c r="D107" s="199" t="s">
        <v>5</v>
      </c>
      <c r="E107" s="199">
        <v>0.08</v>
      </c>
      <c r="F107" s="212">
        <f>VLOOKUP(B107,BD_Prod!$A$1:$O$104,15,0)</f>
        <v>21.021161699999997</v>
      </c>
      <c r="G107" s="212"/>
      <c r="H107" s="212">
        <f>E107*F107</f>
        <v>1.6816929359999997</v>
      </c>
    </row>
    <row r="108" spans="1:9">
      <c r="A108" s="207" t="s">
        <v>117</v>
      </c>
      <c r="B108" s="199" t="s">
        <v>688</v>
      </c>
      <c r="C108" s="199" t="s">
        <v>105</v>
      </c>
      <c r="D108" s="199" t="s">
        <v>5</v>
      </c>
      <c r="E108" s="199">
        <v>1.1499999999999999</v>
      </c>
      <c r="F108" s="212">
        <f>VLOOKUP(B108,BD_Prod!$A$1:$O$104,15,0)</f>
        <v>21.021161699999997</v>
      </c>
      <c r="G108" s="212"/>
      <c r="H108" s="212">
        <f t="shared" ref="H108:H110" si="14">E108*F108</f>
        <v>24.174335954999993</v>
      </c>
    </row>
    <row r="109" spans="1:9">
      <c r="A109" s="207" t="s">
        <v>117</v>
      </c>
      <c r="B109" s="199" t="s">
        <v>688</v>
      </c>
      <c r="C109" s="199" t="s">
        <v>98</v>
      </c>
      <c r="D109" s="199" t="s">
        <v>5</v>
      </c>
      <c r="E109" s="199">
        <v>1.5</v>
      </c>
      <c r="F109" s="212">
        <f>VLOOKUP(B109,BD_Prod!$A$1:$O$104,15,0)</f>
        <v>21.021161699999997</v>
      </c>
      <c r="G109" s="212"/>
      <c r="H109" s="212">
        <f t="shared" si="14"/>
        <v>31.531742549999997</v>
      </c>
    </row>
    <row r="110" spans="1:9">
      <c r="A110" s="207" t="s">
        <v>117</v>
      </c>
      <c r="B110" s="199" t="s">
        <v>688</v>
      </c>
      <c r="C110" s="199" t="s">
        <v>106</v>
      </c>
      <c r="D110" s="199" t="s">
        <v>5</v>
      </c>
      <c r="E110" s="199">
        <v>0.125</v>
      </c>
      <c r="F110" s="212">
        <f>VLOOKUP(B110,BD_Prod!$A$1:$O$104,15,0)</f>
        <v>21.021161699999997</v>
      </c>
      <c r="G110" s="212"/>
      <c r="H110" s="212">
        <f t="shared" si="14"/>
        <v>2.6276452124999996</v>
      </c>
    </row>
    <row r="111" spans="1:9" s="201" customFormat="1" ht="15">
      <c r="A111" s="201" t="s">
        <v>126</v>
      </c>
      <c r="C111" s="201" t="s">
        <v>378</v>
      </c>
      <c r="D111" s="201" t="s">
        <v>22</v>
      </c>
      <c r="E111" s="586">
        <f>SUM(E116:E117)</f>
        <v>6</v>
      </c>
      <c r="F111" s="586">
        <f>F117</f>
        <v>21.021161699999997</v>
      </c>
      <c r="G111" s="219">
        <f>SUM(H112:H115)</f>
        <v>140.61376874999999</v>
      </c>
      <c r="H111" s="219">
        <f>SUM(H112:H117)*FDF</f>
        <v>280.07777589749998</v>
      </c>
      <c r="I111" s="219">
        <f>H111*BENEF</f>
        <v>364.10110866675001</v>
      </c>
    </row>
    <row r="112" spans="1:9">
      <c r="A112" s="207" t="s">
        <v>126</v>
      </c>
      <c r="B112" s="199" t="s">
        <v>679</v>
      </c>
      <c r="C112" s="199" t="s">
        <v>81</v>
      </c>
      <c r="D112" s="199" t="s">
        <v>18</v>
      </c>
      <c r="E112" s="199">
        <v>1</v>
      </c>
      <c r="G112" s="212">
        <f>VLOOKUP(B112,BD_ET_PR!$A$1:$G$26,7,0)</f>
        <v>121.82625000000002</v>
      </c>
      <c r="H112" s="212">
        <f>E112*G112</f>
        <v>121.82625000000002</v>
      </c>
    </row>
    <row r="113" spans="1:9">
      <c r="A113" s="207" t="s">
        <v>126</v>
      </c>
      <c r="B113" s="199" t="s">
        <v>845</v>
      </c>
      <c r="C113" s="199" t="s">
        <v>96</v>
      </c>
      <c r="D113" s="199" t="s">
        <v>6</v>
      </c>
      <c r="E113" s="199">
        <v>1</v>
      </c>
      <c r="G113" s="212">
        <f>VLOOKUP(B113,BD_Prod!$A$6:$O$104,15,0)</f>
        <v>14.700000000000003</v>
      </c>
      <c r="H113" s="212">
        <f t="shared" ref="H113:H117" si="15">E113*G113</f>
        <v>14.700000000000003</v>
      </c>
    </row>
    <row r="114" spans="1:9">
      <c r="A114" s="207" t="s">
        <v>126</v>
      </c>
      <c r="B114" s="199" t="s">
        <v>838</v>
      </c>
      <c r="C114" s="199" t="s">
        <v>97</v>
      </c>
      <c r="D114" s="199" t="s">
        <v>39</v>
      </c>
      <c r="E114" s="199">
        <v>0.03</v>
      </c>
      <c r="G114" s="212">
        <f>VLOOKUP(B114,BD_Prod!$A$6:$O$104,15,0)</f>
        <v>16.813124999999999</v>
      </c>
      <c r="H114" s="212">
        <f t="shared" si="15"/>
        <v>0.50439374999999997</v>
      </c>
    </row>
    <row r="115" spans="1:9">
      <c r="A115" s="207" t="s">
        <v>126</v>
      </c>
      <c r="B115" s="199" t="s">
        <v>570</v>
      </c>
      <c r="C115" s="199" t="s">
        <v>99</v>
      </c>
      <c r="D115" s="199" t="s">
        <v>87</v>
      </c>
      <c r="E115" s="199">
        <v>2</v>
      </c>
      <c r="G115" s="212">
        <f>VLOOKUP(B115,BD_Prod!$A$6:$O$104,15,0)</f>
        <v>1.7915625000000002</v>
      </c>
      <c r="H115" s="212">
        <f t="shared" si="15"/>
        <v>3.5831250000000003</v>
      </c>
    </row>
    <row r="116" spans="1:9">
      <c r="A116" s="207" t="s">
        <v>126</v>
      </c>
      <c r="B116" s="199" t="s">
        <v>688</v>
      </c>
      <c r="C116" s="199" t="s">
        <v>95</v>
      </c>
      <c r="D116" s="199" t="s">
        <v>5</v>
      </c>
      <c r="E116" s="199">
        <v>2.5</v>
      </c>
      <c r="F116" s="212">
        <f>VLOOKUP(B116,BD_Prod!$A$1:$O$104,15,0)</f>
        <v>21.021161699999997</v>
      </c>
      <c r="G116" s="212"/>
      <c r="H116" s="212">
        <f>E116*F116</f>
        <v>52.55290424999999</v>
      </c>
    </row>
    <row r="117" spans="1:9">
      <c r="A117" s="207" t="s">
        <v>126</v>
      </c>
      <c r="B117" s="199" t="s">
        <v>688</v>
      </c>
      <c r="C117" s="199" t="s">
        <v>98</v>
      </c>
      <c r="D117" s="199" t="s">
        <v>5</v>
      </c>
      <c r="E117" s="199">
        <v>3.5</v>
      </c>
      <c r="F117" s="212">
        <f>VLOOKUP(B117,BD_Prod!$A$1:$O$104,15,0)</f>
        <v>21.021161699999997</v>
      </c>
      <c r="G117" s="212"/>
      <c r="H117" s="212">
        <f>E117*F117</f>
        <v>73.574065949999991</v>
      </c>
    </row>
    <row r="118" spans="1:9" s="201" customFormat="1" ht="15">
      <c r="A118" s="201" t="s">
        <v>628</v>
      </c>
      <c r="C118" s="201" t="s">
        <v>163</v>
      </c>
      <c r="D118" s="201" t="s">
        <v>31</v>
      </c>
      <c r="E118" s="586">
        <f>E121</f>
        <v>0.45</v>
      </c>
      <c r="F118" s="586">
        <f>F121</f>
        <v>21.021161699999997</v>
      </c>
      <c r="G118" s="219">
        <f>SUM(H119:H120)</f>
        <v>10.697006250000001</v>
      </c>
      <c r="H118" s="219">
        <f>SUM(H119:H121)*FDF</f>
        <v>21.164355465750003</v>
      </c>
      <c r="I118" s="219">
        <f>H118*BENEF</f>
        <v>27.513662105475003</v>
      </c>
    </row>
    <row r="119" spans="1:9">
      <c r="A119" s="207" t="s">
        <v>628</v>
      </c>
      <c r="B119" s="199" t="s">
        <v>541</v>
      </c>
      <c r="C119" s="199" t="s">
        <v>168</v>
      </c>
      <c r="D119" s="199" t="s">
        <v>36</v>
      </c>
      <c r="E119" s="199">
        <v>8.1</v>
      </c>
      <c r="G119" s="212">
        <f>VLOOKUP(B119,BD_Prod!$A$6:$O$104,15,0)</f>
        <v>1.0483958333333334</v>
      </c>
      <c r="H119" s="212">
        <f>E119*G119</f>
        <v>8.4920062500000011</v>
      </c>
    </row>
    <row r="120" spans="1:9">
      <c r="A120" s="207" t="s">
        <v>628</v>
      </c>
      <c r="B120" s="199" t="s">
        <v>843</v>
      </c>
      <c r="C120" s="199" t="s">
        <v>165</v>
      </c>
      <c r="D120" s="199" t="s">
        <v>152</v>
      </c>
      <c r="E120" s="199">
        <v>1</v>
      </c>
      <c r="G120" s="212">
        <f>VLOOKUP(B120,BD_Prod!$A$6:$O$104,15,0)</f>
        <v>2.2050000000000001</v>
      </c>
      <c r="H120" s="212">
        <f t="shared" ref="H120:H121" si="16">E120*G120</f>
        <v>2.2050000000000001</v>
      </c>
    </row>
    <row r="121" spans="1:9">
      <c r="A121" s="207" t="s">
        <v>628</v>
      </c>
      <c r="B121" s="199" t="s">
        <v>688</v>
      </c>
      <c r="C121" s="199" t="s">
        <v>83</v>
      </c>
      <c r="D121" s="199" t="s">
        <v>5</v>
      </c>
      <c r="E121" s="199">
        <v>0.45</v>
      </c>
      <c r="F121" s="212">
        <f>VLOOKUP(B121,BD_Prod!$A$1:$O$104,15,0)</f>
        <v>21.021161699999997</v>
      </c>
      <c r="G121" s="212"/>
      <c r="H121" s="212">
        <f>E121*F121</f>
        <v>9.4595227649999991</v>
      </c>
    </row>
    <row r="122" spans="1:9" s="201" customFormat="1" ht="15">
      <c r="A122" s="201" t="s">
        <v>646</v>
      </c>
      <c r="C122" s="201" t="s">
        <v>166</v>
      </c>
      <c r="D122" s="201" t="s">
        <v>31</v>
      </c>
      <c r="E122" s="586">
        <f>E125</f>
        <v>0.45</v>
      </c>
      <c r="F122" s="586">
        <f>F125</f>
        <v>21.021161699999997</v>
      </c>
      <c r="G122" s="219">
        <f>SUM(H123:H124)</f>
        <v>6.8665537499999996</v>
      </c>
      <c r="H122" s="219">
        <f>SUM(H123:H125)*FDF</f>
        <v>17.142380340749998</v>
      </c>
      <c r="I122" s="219">
        <f>H122*BENEF</f>
        <v>22.285094442974998</v>
      </c>
    </row>
    <row r="123" spans="1:9">
      <c r="A123" s="207" t="s">
        <v>646</v>
      </c>
      <c r="B123" s="199" t="s">
        <v>540</v>
      </c>
      <c r="C123" s="199" t="s">
        <v>167</v>
      </c>
      <c r="D123" s="199" t="s">
        <v>36</v>
      </c>
      <c r="E123" s="199">
        <v>2.46</v>
      </c>
      <c r="G123" s="212">
        <f>VLOOKUP(B123,BD_Prod!$A$6:$O$104,15,0)</f>
        <v>1.8949405487804878</v>
      </c>
      <c r="H123" s="212">
        <f>E123*G123</f>
        <v>4.6615537499999995</v>
      </c>
    </row>
    <row r="124" spans="1:9">
      <c r="A124" s="207" t="s">
        <v>646</v>
      </c>
      <c r="B124" s="199" t="s">
        <v>843</v>
      </c>
      <c r="C124" s="199" t="s">
        <v>165</v>
      </c>
      <c r="D124" s="199" t="s">
        <v>152</v>
      </c>
      <c r="E124" s="199">
        <v>1</v>
      </c>
      <c r="G124" s="212">
        <f>VLOOKUP(B124,BD_Prod!$A$6:$O$104,15,0)</f>
        <v>2.2050000000000001</v>
      </c>
      <c r="H124" s="212">
        <f t="shared" ref="H124:H125" si="17">E124*G124</f>
        <v>2.2050000000000001</v>
      </c>
    </row>
    <row r="125" spans="1:9">
      <c r="A125" s="207" t="s">
        <v>646</v>
      </c>
      <c r="B125" s="199" t="s">
        <v>688</v>
      </c>
      <c r="C125" s="199" t="s">
        <v>83</v>
      </c>
      <c r="D125" s="199" t="s">
        <v>5</v>
      </c>
      <c r="E125" s="199">
        <v>0.45</v>
      </c>
      <c r="F125" s="212">
        <f>VLOOKUP(B125,BD_Prod!$A$1:$O$104,15,0)</f>
        <v>21.021161699999997</v>
      </c>
      <c r="G125" s="212"/>
      <c r="H125" s="212">
        <f>E125*F125</f>
        <v>9.4595227649999991</v>
      </c>
    </row>
    <row r="126" spans="1:9" s="201" customFormat="1" ht="15">
      <c r="A126" s="201" t="s">
        <v>647</v>
      </c>
      <c r="C126" s="201" t="s">
        <v>241</v>
      </c>
      <c r="D126" s="201" t="s">
        <v>39</v>
      </c>
      <c r="E126" s="586">
        <f>E130</f>
        <v>0.45</v>
      </c>
      <c r="F126" s="586">
        <f>F130</f>
        <v>21.021161699999997</v>
      </c>
      <c r="G126" s="219">
        <f>SUM(H127:H129)</f>
        <v>25.143125000000001</v>
      </c>
      <c r="H126" s="219">
        <f>SUM(H127:H130)*FDF</f>
        <v>36.332780153249999</v>
      </c>
      <c r="I126" s="219">
        <f>H126*BENEF</f>
        <v>47.232614199224997</v>
      </c>
    </row>
    <row r="127" spans="1:9">
      <c r="A127" s="207" t="s">
        <v>647</v>
      </c>
      <c r="B127" s="199" t="s">
        <v>537</v>
      </c>
      <c r="C127" s="199" t="s">
        <v>170</v>
      </c>
      <c r="D127" s="199" t="s">
        <v>31</v>
      </c>
      <c r="E127" s="199">
        <v>1</v>
      </c>
      <c r="G127" s="212">
        <f>VLOOKUP(B127,BD_Prod!$A$6:$O$104,15,0)</f>
        <v>17.425625</v>
      </c>
      <c r="H127" s="212">
        <f>E127*G127</f>
        <v>17.425625</v>
      </c>
    </row>
    <row r="128" spans="1:9">
      <c r="A128" s="207" t="s">
        <v>647</v>
      </c>
      <c r="B128" s="199" t="s">
        <v>843</v>
      </c>
      <c r="C128" s="199" t="s">
        <v>165</v>
      </c>
      <c r="D128" s="199" t="s">
        <v>152</v>
      </c>
      <c r="E128" s="199">
        <v>1</v>
      </c>
      <c r="G128" s="212">
        <f>VLOOKUP(B128,BD_Prod!$A$6:$O$104,15,0)</f>
        <v>2.2050000000000001</v>
      </c>
      <c r="H128" s="212">
        <f t="shared" ref="H128:H130" si="18">E128*G128</f>
        <v>2.2050000000000001</v>
      </c>
    </row>
    <row r="129" spans="1:9">
      <c r="A129" s="207" t="s">
        <v>647</v>
      </c>
      <c r="B129" s="199" t="s">
        <v>554</v>
      </c>
      <c r="C129" s="199" t="s">
        <v>173</v>
      </c>
      <c r="D129" s="199" t="s">
        <v>0</v>
      </c>
      <c r="E129" s="199">
        <v>10</v>
      </c>
      <c r="G129" s="212">
        <f>VLOOKUP(B129,BD_Prod!$A$6:$O$104,15,0)</f>
        <v>0.55125000000000002</v>
      </c>
      <c r="H129" s="212">
        <f t="shared" si="18"/>
        <v>5.5125000000000002</v>
      </c>
    </row>
    <row r="130" spans="1:9">
      <c r="A130" s="207" t="s">
        <v>647</v>
      </c>
      <c r="B130" s="199" t="s">
        <v>688</v>
      </c>
      <c r="C130" s="199" t="s">
        <v>83</v>
      </c>
      <c r="D130" s="199" t="s">
        <v>5</v>
      </c>
      <c r="E130" s="199">
        <v>0.45</v>
      </c>
      <c r="F130" s="212">
        <f>VLOOKUP(B130,BD_Prod!$A$1:$O$104,15,0)</f>
        <v>21.021161699999997</v>
      </c>
      <c r="G130" s="212"/>
      <c r="H130" s="212">
        <f>E130*F130</f>
        <v>9.4595227649999991</v>
      </c>
    </row>
    <row r="131" spans="1:9" s="201" customFormat="1" ht="15">
      <c r="A131" s="201" t="s">
        <v>648</v>
      </c>
      <c r="C131" s="201" t="s">
        <v>240</v>
      </c>
      <c r="D131" s="201" t="s">
        <v>31</v>
      </c>
      <c r="E131" s="586">
        <f>E135</f>
        <v>0.45</v>
      </c>
      <c r="F131" s="586">
        <f>F135</f>
        <v>21.021161699999997</v>
      </c>
      <c r="G131" s="219">
        <f>SUM(H132:H134)</f>
        <v>35.307562500000003</v>
      </c>
      <c r="H131" s="219">
        <f>SUM(H132:H135)*FDF</f>
        <v>47.005439528250008</v>
      </c>
      <c r="I131" s="219">
        <f>H131*BENEF</f>
        <v>61.107071386725011</v>
      </c>
    </row>
    <row r="132" spans="1:9">
      <c r="A132" s="207" t="s">
        <v>648</v>
      </c>
      <c r="B132" s="199" t="s">
        <v>553</v>
      </c>
      <c r="C132" s="199" t="s">
        <v>210</v>
      </c>
      <c r="D132" s="199" t="s">
        <v>31</v>
      </c>
      <c r="E132" s="199">
        <v>1</v>
      </c>
      <c r="G132" s="212">
        <f>VLOOKUP(B132,BD_Prod!$A$6:$O$104,15,0)</f>
        <v>27.590062500000002</v>
      </c>
      <c r="H132" s="212">
        <f>E132*G132</f>
        <v>27.590062500000002</v>
      </c>
    </row>
    <row r="133" spans="1:9">
      <c r="A133" s="207" t="s">
        <v>648</v>
      </c>
      <c r="B133" s="199" t="s">
        <v>843</v>
      </c>
      <c r="C133" s="199" t="s">
        <v>165</v>
      </c>
      <c r="D133" s="199" t="s">
        <v>152</v>
      </c>
      <c r="E133" s="199">
        <v>1</v>
      </c>
      <c r="G133" s="212">
        <f>VLOOKUP(B133,BD_Prod!$A$6:$O$104,15,0)</f>
        <v>2.2050000000000001</v>
      </c>
      <c r="H133" s="212">
        <f t="shared" ref="H133:H135" si="19">E133*G133</f>
        <v>2.2050000000000001</v>
      </c>
    </row>
    <row r="134" spans="1:9">
      <c r="A134" s="207" t="s">
        <v>648</v>
      </c>
      <c r="B134" s="199" t="s">
        <v>554</v>
      </c>
      <c r="C134" s="199" t="s">
        <v>173</v>
      </c>
      <c r="D134" s="199" t="s">
        <v>34</v>
      </c>
      <c r="E134" s="199">
        <v>10</v>
      </c>
      <c r="G134" s="212">
        <f>VLOOKUP(B134,BD_Prod!$A$6:$O$104,15,0)</f>
        <v>0.55125000000000002</v>
      </c>
      <c r="H134" s="212">
        <f t="shared" si="19"/>
        <v>5.5125000000000002</v>
      </c>
    </row>
    <row r="135" spans="1:9">
      <c r="A135" s="207" t="s">
        <v>648</v>
      </c>
      <c r="B135" s="199" t="s">
        <v>688</v>
      </c>
      <c r="C135" s="199" t="s">
        <v>83</v>
      </c>
      <c r="D135" s="199" t="s">
        <v>5</v>
      </c>
      <c r="E135" s="199">
        <v>0.45</v>
      </c>
      <c r="F135" s="212">
        <f>VLOOKUP(B135,BD_Prod!$A$1:$O$104,15,0)</f>
        <v>21.021161699999997</v>
      </c>
      <c r="G135" s="212"/>
      <c r="H135" s="212">
        <f>E135*F135</f>
        <v>9.4595227649999991</v>
      </c>
    </row>
    <row r="136" spans="1:9" s="201" customFormat="1" ht="15">
      <c r="A136" s="201" t="s">
        <v>649</v>
      </c>
      <c r="C136" s="201" t="s">
        <v>239</v>
      </c>
      <c r="D136" s="201" t="s">
        <v>31</v>
      </c>
      <c r="E136" s="586">
        <f>E140</f>
        <v>0.45</v>
      </c>
      <c r="F136" s="586">
        <f>F140</f>
        <v>21.021161699999997</v>
      </c>
      <c r="G136" s="219">
        <f>SUM(H137:H139)</f>
        <v>46.332562500000002</v>
      </c>
      <c r="H136" s="219">
        <f>SUM(H137:H140)*FDF</f>
        <v>58.581689528250003</v>
      </c>
      <c r="I136" s="219">
        <f>H136*BENEF</f>
        <v>76.156196386725</v>
      </c>
    </row>
    <row r="137" spans="1:9">
      <c r="A137" s="207" t="s">
        <v>649</v>
      </c>
      <c r="B137" s="199" t="s">
        <v>546</v>
      </c>
      <c r="C137" s="199" t="s">
        <v>211</v>
      </c>
      <c r="D137" s="199" t="s">
        <v>31</v>
      </c>
      <c r="E137" s="199">
        <v>1</v>
      </c>
      <c r="G137" s="212">
        <f>VLOOKUP(B137,BD_Prod!$A$6:$O$104,15,0)</f>
        <v>38.615062500000001</v>
      </c>
      <c r="H137" s="212">
        <f>E137*G137</f>
        <v>38.615062500000001</v>
      </c>
    </row>
    <row r="138" spans="1:9">
      <c r="A138" s="207" t="s">
        <v>649</v>
      </c>
      <c r="B138" s="199" t="s">
        <v>843</v>
      </c>
      <c r="C138" s="199" t="s">
        <v>165</v>
      </c>
      <c r="D138" s="199" t="s">
        <v>152</v>
      </c>
      <c r="E138" s="199">
        <v>1</v>
      </c>
      <c r="G138" s="212">
        <f>VLOOKUP(B138,BD_Prod!$A$6:$O$104,15,0)</f>
        <v>2.2050000000000001</v>
      </c>
      <c r="H138" s="212">
        <f t="shared" ref="H138:H140" si="20">E138*G138</f>
        <v>2.2050000000000001</v>
      </c>
    </row>
    <row r="139" spans="1:9">
      <c r="A139" s="207" t="s">
        <v>649</v>
      </c>
      <c r="B139" s="199" t="s">
        <v>554</v>
      </c>
      <c r="C139" s="199" t="s">
        <v>173</v>
      </c>
      <c r="D139" s="199" t="s">
        <v>34</v>
      </c>
      <c r="E139" s="199">
        <v>10</v>
      </c>
      <c r="G139" s="212">
        <f>VLOOKUP(B139,BD_Prod!$A$6:$O$104,15,0)</f>
        <v>0.55125000000000002</v>
      </c>
      <c r="H139" s="212">
        <f t="shared" si="20"/>
        <v>5.5125000000000002</v>
      </c>
    </row>
    <row r="140" spans="1:9">
      <c r="A140" s="207" t="s">
        <v>649</v>
      </c>
      <c r="B140" s="199" t="s">
        <v>688</v>
      </c>
      <c r="C140" s="199" t="s">
        <v>83</v>
      </c>
      <c r="D140" s="199" t="s">
        <v>5</v>
      </c>
      <c r="E140" s="199">
        <v>0.45</v>
      </c>
      <c r="F140" s="212">
        <f>VLOOKUP(B140,BD_Prod!$A$1:$O$104,15,0)</f>
        <v>21.021161699999997</v>
      </c>
      <c r="G140" s="212"/>
      <c r="H140" s="212">
        <f>E140*F140</f>
        <v>9.4595227649999991</v>
      </c>
    </row>
    <row r="141" spans="1:9" s="201" customFormat="1" ht="15">
      <c r="A141" s="201" t="s">
        <v>650</v>
      </c>
      <c r="C141" s="201" t="s">
        <v>238</v>
      </c>
      <c r="D141" s="201" t="s">
        <v>31</v>
      </c>
      <c r="E141" s="586">
        <f>E146</f>
        <v>0.45</v>
      </c>
      <c r="F141" s="586">
        <f>F146</f>
        <v>21.021161699999997</v>
      </c>
      <c r="G141" s="219">
        <f>SUM(H142:H145)</f>
        <v>52.120687500000003</v>
      </c>
      <c r="H141" s="219">
        <f>SUM(H142:H146)*FDF</f>
        <v>64.659220778250003</v>
      </c>
      <c r="I141" s="219">
        <f>H141*BENEF</f>
        <v>84.056987011725013</v>
      </c>
    </row>
    <row r="142" spans="1:9">
      <c r="A142" s="207" t="s">
        <v>650</v>
      </c>
      <c r="B142" s="199" t="s">
        <v>551</v>
      </c>
      <c r="C142" s="199" t="s">
        <v>85</v>
      </c>
      <c r="D142" s="199" t="s">
        <v>31</v>
      </c>
      <c r="E142" s="199">
        <v>1</v>
      </c>
      <c r="G142" s="212">
        <f>VLOOKUP(B142,BD_Prod!$A$6:$O$104,15,0)</f>
        <v>38.615062500000001</v>
      </c>
      <c r="H142" s="212">
        <f>E142*G142</f>
        <v>38.615062500000001</v>
      </c>
    </row>
    <row r="143" spans="1:9">
      <c r="A143" s="207" t="s">
        <v>650</v>
      </c>
      <c r="B143" s="199" t="s">
        <v>843</v>
      </c>
      <c r="C143" s="199" t="s">
        <v>165</v>
      </c>
      <c r="D143" s="199" t="s">
        <v>152</v>
      </c>
      <c r="E143" s="199">
        <v>1</v>
      </c>
      <c r="G143" s="212">
        <f>VLOOKUP(B143,BD_Prod!$A$6:$O$104,15,0)</f>
        <v>2.2050000000000001</v>
      </c>
      <c r="H143" s="212">
        <f t="shared" ref="H143:H146" si="21">E143*G143</f>
        <v>2.2050000000000001</v>
      </c>
    </row>
    <row r="144" spans="1:9">
      <c r="A144" s="207" t="s">
        <v>650</v>
      </c>
      <c r="B144" s="199" t="s">
        <v>554</v>
      </c>
      <c r="C144" s="199" t="s">
        <v>173</v>
      </c>
      <c r="D144" s="199" t="s">
        <v>34</v>
      </c>
      <c r="E144" s="199">
        <v>10</v>
      </c>
      <c r="G144" s="212">
        <f>VLOOKUP(B144,BD_Prod!$A$6:$O$104,15,0)</f>
        <v>0.55125000000000002</v>
      </c>
      <c r="H144" s="212">
        <f t="shared" si="21"/>
        <v>5.5125000000000002</v>
      </c>
    </row>
    <row r="145" spans="1:9">
      <c r="A145" s="207" t="s">
        <v>650</v>
      </c>
      <c r="B145" s="199" t="s">
        <v>568</v>
      </c>
      <c r="C145" s="199" t="s">
        <v>182</v>
      </c>
      <c r="D145" s="199" t="s">
        <v>31</v>
      </c>
      <c r="E145" s="199">
        <v>1</v>
      </c>
      <c r="G145" s="212">
        <f>VLOOKUP(B145,BD_Prod!$A$6:$O$104,15,0)</f>
        <v>5.7881250000000009</v>
      </c>
      <c r="H145" s="212">
        <f t="shared" si="21"/>
        <v>5.7881250000000009</v>
      </c>
    </row>
    <row r="146" spans="1:9">
      <c r="A146" s="207" t="s">
        <v>650</v>
      </c>
      <c r="B146" s="199" t="s">
        <v>688</v>
      </c>
      <c r="C146" s="199" t="s">
        <v>83</v>
      </c>
      <c r="D146" s="199" t="s">
        <v>5</v>
      </c>
      <c r="E146" s="199">
        <v>0.45</v>
      </c>
      <c r="F146" s="212">
        <f>VLOOKUP(B146,BD_Prod!$A$1:$O$104,15,0)</f>
        <v>21.021161699999997</v>
      </c>
      <c r="G146" s="212"/>
      <c r="H146" s="212">
        <f>E146*F146</f>
        <v>9.4595227649999991</v>
      </c>
    </row>
    <row r="147" spans="1:9" s="201" customFormat="1" ht="15">
      <c r="A147" s="201" t="s">
        <v>651</v>
      </c>
      <c r="C147" s="201" t="s">
        <v>242</v>
      </c>
      <c r="D147" s="201" t="s">
        <v>31</v>
      </c>
      <c r="E147" s="586">
        <f>E152</f>
        <v>0.45</v>
      </c>
      <c r="F147" s="586">
        <f>F152</f>
        <v>21.021161699999997</v>
      </c>
      <c r="G147" s="219">
        <f>SUM(H148:H151)</f>
        <v>52.120687500000003</v>
      </c>
      <c r="H147" s="219">
        <f>SUM(H148:H152)*FDF</f>
        <v>64.659220778250003</v>
      </c>
      <c r="I147" s="219">
        <f>H147*BENEF</f>
        <v>84.056987011725013</v>
      </c>
    </row>
    <row r="148" spans="1:9">
      <c r="A148" s="207" t="s">
        <v>651</v>
      </c>
      <c r="B148" s="199" t="s">
        <v>552</v>
      </c>
      <c r="C148" s="199" t="s">
        <v>212</v>
      </c>
      <c r="D148" s="199" t="s">
        <v>31</v>
      </c>
      <c r="E148" s="199">
        <v>1</v>
      </c>
      <c r="G148" s="212">
        <f>VLOOKUP(B148,BD_Prod!$A$6:$O$104,15,0)</f>
        <v>38.615062500000001</v>
      </c>
      <c r="H148" s="212">
        <f>E148*G148</f>
        <v>38.615062500000001</v>
      </c>
    </row>
    <row r="149" spans="1:9">
      <c r="A149" s="207" t="s">
        <v>651</v>
      </c>
      <c r="B149" s="199" t="s">
        <v>843</v>
      </c>
      <c r="C149" s="199" t="s">
        <v>165</v>
      </c>
      <c r="D149" s="199" t="s">
        <v>152</v>
      </c>
      <c r="E149" s="199">
        <v>1</v>
      </c>
      <c r="G149" s="212">
        <f>VLOOKUP(B149,BD_Prod!$A$6:$O$104,15,0)</f>
        <v>2.2050000000000001</v>
      </c>
      <c r="H149" s="212">
        <f t="shared" ref="H149:H152" si="22">E149*G149</f>
        <v>2.2050000000000001</v>
      </c>
    </row>
    <row r="150" spans="1:9">
      <c r="A150" s="207" t="s">
        <v>651</v>
      </c>
      <c r="B150" s="199" t="s">
        <v>554</v>
      </c>
      <c r="C150" s="199" t="s">
        <v>173</v>
      </c>
      <c r="D150" s="199" t="s">
        <v>34</v>
      </c>
      <c r="E150" s="199">
        <v>10</v>
      </c>
      <c r="G150" s="212">
        <f>VLOOKUP(B150,BD_Prod!$A$6:$O$104,15,0)</f>
        <v>0.55125000000000002</v>
      </c>
      <c r="H150" s="212">
        <f t="shared" si="22"/>
        <v>5.5125000000000002</v>
      </c>
    </row>
    <row r="151" spans="1:9">
      <c r="A151" s="207" t="s">
        <v>651</v>
      </c>
      <c r="B151" s="199" t="s">
        <v>568</v>
      </c>
      <c r="C151" s="199" t="s">
        <v>182</v>
      </c>
      <c r="D151" s="199" t="s">
        <v>31</v>
      </c>
      <c r="E151" s="199">
        <v>1</v>
      </c>
      <c r="G151" s="212">
        <f>VLOOKUP(B151,BD_Prod!$A$6:$O$104,15,0)</f>
        <v>5.7881250000000009</v>
      </c>
      <c r="H151" s="212">
        <f t="shared" si="22"/>
        <v>5.7881250000000009</v>
      </c>
    </row>
    <row r="152" spans="1:9">
      <c r="A152" s="207" t="s">
        <v>651</v>
      </c>
      <c r="B152" s="199" t="s">
        <v>688</v>
      </c>
      <c r="C152" s="199" t="s">
        <v>83</v>
      </c>
      <c r="D152" s="199" t="s">
        <v>5</v>
      </c>
      <c r="E152" s="199">
        <v>0.45</v>
      </c>
      <c r="F152" s="212">
        <f>VLOOKUP(B152,BD_Prod!$A$1:$O$104,15,0)</f>
        <v>21.021161699999997</v>
      </c>
      <c r="G152" s="212"/>
      <c r="H152" s="212">
        <f>E152*F152</f>
        <v>9.4595227649999991</v>
      </c>
    </row>
    <row r="153" spans="1:9" s="201" customFormat="1" ht="15">
      <c r="A153" s="201" t="s">
        <v>652</v>
      </c>
      <c r="C153" s="201" t="s">
        <v>243</v>
      </c>
      <c r="D153" s="201" t="s">
        <v>31</v>
      </c>
      <c r="E153" s="586">
        <f>E158</f>
        <v>0.45</v>
      </c>
      <c r="F153" s="586">
        <f>F158</f>
        <v>21.021161699999997</v>
      </c>
      <c r="G153" s="219">
        <f>SUM(H154:H157)</f>
        <v>32.275687500000004</v>
      </c>
      <c r="H153" s="219">
        <f>SUM(H154:H158)*FDF</f>
        <v>43.821970778250005</v>
      </c>
      <c r="I153" s="219">
        <f>H153*BENEF</f>
        <v>56.968562011725005</v>
      </c>
    </row>
    <row r="154" spans="1:9">
      <c r="A154" s="207" t="s">
        <v>652</v>
      </c>
      <c r="B154" s="199" t="s">
        <v>549</v>
      </c>
      <c r="C154" s="199" t="s">
        <v>700</v>
      </c>
      <c r="D154" s="199" t="s">
        <v>31</v>
      </c>
      <c r="E154" s="199">
        <v>1</v>
      </c>
      <c r="G154" s="212">
        <f>VLOOKUP(B154,BD_Prod!$A$6:$O$104,15,0)</f>
        <v>18.770062499999998</v>
      </c>
      <c r="H154" s="212">
        <f>E154*G154</f>
        <v>18.770062499999998</v>
      </c>
    </row>
    <row r="155" spans="1:9">
      <c r="A155" s="207" t="s">
        <v>652</v>
      </c>
      <c r="B155" s="199" t="s">
        <v>843</v>
      </c>
      <c r="C155" s="199" t="s">
        <v>165</v>
      </c>
      <c r="D155" s="199" t="s">
        <v>152</v>
      </c>
      <c r="E155" s="199">
        <v>1</v>
      </c>
      <c r="G155" s="212">
        <f>VLOOKUP(B155,BD_Prod!$A$6:$O$104,15,0)</f>
        <v>2.2050000000000001</v>
      </c>
      <c r="H155" s="212">
        <f t="shared" ref="H155:H158" si="23">E155*G155</f>
        <v>2.2050000000000001</v>
      </c>
    </row>
    <row r="156" spans="1:9">
      <c r="A156" s="207" t="s">
        <v>652</v>
      </c>
      <c r="B156" s="199" t="s">
        <v>554</v>
      </c>
      <c r="C156" s="199" t="s">
        <v>173</v>
      </c>
      <c r="D156" s="199" t="s">
        <v>0</v>
      </c>
      <c r="E156" s="199">
        <v>10</v>
      </c>
      <c r="G156" s="212">
        <f>VLOOKUP(B156,BD_Prod!$A$6:$O$104,15,0)</f>
        <v>0.55125000000000002</v>
      </c>
      <c r="H156" s="212">
        <f t="shared" si="23"/>
        <v>5.5125000000000002</v>
      </c>
    </row>
    <row r="157" spans="1:9">
      <c r="A157" s="207" t="s">
        <v>652</v>
      </c>
      <c r="B157" s="199" t="s">
        <v>568</v>
      </c>
      <c r="C157" s="199" t="s">
        <v>182</v>
      </c>
      <c r="D157" s="199" t="s">
        <v>31</v>
      </c>
      <c r="E157" s="199">
        <v>1</v>
      </c>
      <c r="G157" s="212">
        <f>VLOOKUP(B157,BD_Prod!$A$6:$O$104,15,0)</f>
        <v>5.7881250000000009</v>
      </c>
      <c r="H157" s="212">
        <f t="shared" si="23"/>
        <v>5.7881250000000009</v>
      </c>
    </row>
    <row r="158" spans="1:9">
      <c r="A158" s="207" t="s">
        <v>652</v>
      </c>
      <c r="B158" s="199" t="s">
        <v>688</v>
      </c>
      <c r="C158" s="199" t="s">
        <v>83</v>
      </c>
      <c r="D158" s="199" t="s">
        <v>5</v>
      </c>
      <c r="E158" s="199">
        <v>0.45</v>
      </c>
      <c r="F158" s="212">
        <f>VLOOKUP(B158,BD_Prod!$A$1:$O$104,15,0)</f>
        <v>21.021161699999997</v>
      </c>
      <c r="G158" s="212"/>
      <c r="H158" s="212">
        <f>E158*F158</f>
        <v>9.4595227649999991</v>
      </c>
    </row>
    <row r="159" spans="1:9" s="201" customFormat="1" ht="15">
      <c r="A159" s="201" t="s">
        <v>653</v>
      </c>
      <c r="C159" s="201" t="s">
        <v>86</v>
      </c>
      <c r="D159" s="201" t="s">
        <v>31</v>
      </c>
      <c r="E159" s="586">
        <f>E164</f>
        <v>0.45</v>
      </c>
      <c r="F159" s="586">
        <f>F164</f>
        <v>21.021161699999997</v>
      </c>
      <c r="G159" s="219">
        <f>SUM(H160:H163)</f>
        <v>32.275687500000004</v>
      </c>
      <c r="H159" s="219">
        <f>SUM(H160:H164)*FDF</f>
        <v>43.821970778250005</v>
      </c>
      <c r="I159" s="219">
        <f>H159*BENEF</f>
        <v>56.968562011725005</v>
      </c>
    </row>
    <row r="160" spans="1:9">
      <c r="A160" s="207" t="s">
        <v>653</v>
      </c>
      <c r="B160" s="199" t="s">
        <v>547</v>
      </c>
      <c r="C160" s="199" t="s">
        <v>701</v>
      </c>
      <c r="D160" s="199" t="s">
        <v>31</v>
      </c>
      <c r="E160" s="199">
        <v>1</v>
      </c>
      <c r="G160" s="212">
        <f>VLOOKUP(B160,BD_Prod!$A$6:$O$104,15,0)</f>
        <v>18.770062499999998</v>
      </c>
      <c r="H160" s="212">
        <f>E160*G160</f>
        <v>18.770062499999998</v>
      </c>
    </row>
    <row r="161" spans="1:9">
      <c r="A161" s="207" t="s">
        <v>653</v>
      </c>
      <c r="B161" s="199" t="s">
        <v>843</v>
      </c>
      <c r="C161" s="199" t="s">
        <v>165</v>
      </c>
      <c r="D161" s="199" t="s">
        <v>152</v>
      </c>
      <c r="E161" s="199">
        <v>1</v>
      </c>
      <c r="G161" s="212">
        <f>VLOOKUP(B161,BD_Prod!$A$6:$O$104,15,0)</f>
        <v>2.2050000000000001</v>
      </c>
      <c r="H161" s="212">
        <f t="shared" ref="H161:H164" si="24">E161*G161</f>
        <v>2.2050000000000001</v>
      </c>
    </row>
    <row r="162" spans="1:9">
      <c r="A162" s="207" t="s">
        <v>653</v>
      </c>
      <c r="B162" s="199" t="s">
        <v>554</v>
      </c>
      <c r="C162" s="199" t="s">
        <v>173</v>
      </c>
      <c r="D162" s="199" t="s">
        <v>0</v>
      </c>
      <c r="E162" s="199">
        <v>10</v>
      </c>
      <c r="G162" s="212">
        <f>VLOOKUP(B162,BD_Prod!$A$6:$O$104,15,0)</f>
        <v>0.55125000000000002</v>
      </c>
      <c r="H162" s="212">
        <f t="shared" si="24"/>
        <v>5.5125000000000002</v>
      </c>
    </row>
    <row r="163" spans="1:9">
      <c r="A163" s="207" t="s">
        <v>653</v>
      </c>
      <c r="B163" s="199" t="s">
        <v>568</v>
      </c>
      <c r="C163" s="199" t="s">
        <v>182</v>
      </c>
      <c r="D163" s="199" t="s">
        <v>31</v>
      </c>
      <c r="E163" s="199">
        <v>1</v>
      </c>
      <c r="G163" s="212">
        <f>VLOOKUP(B163,BD_Prod!$A$6:$O$104,15,0)</f>
        <v>5.7881250000000009</v>
      </c>
      <c r="H163" s="212">
        <f t="shared" si="24"/>
        <v>5.7881250000000009</v>
      </c>
    </row>
    <row r="164" spans="1:9">
      <c r="A164" s="207" t="s">
        <v>653</v>
      </c>
      <c r="B164" s="199" t="s">
        <v>688</v>
      </c>
      <c r="C164" s="199" t="s">
        <v>83</v>
      </c>
      <c r="D164" s="199" t="s">
        <v>5</v>
      </c>
      <c r="E164" s="199">
        <v>0.45</v>
      </c>
      <c r="F164" s="212">
        <f>VLOOKUP(B164,BD_Prod!$A$1:$O$104,15,0)</f>
        <v>21.021161699999997</v>
      </c>
      <c r="G164" s="212"/>
      <c r="H164" s="212">
        <f>E164*F164</f>
        <v>9.4595227649999991</v>
      </c>
    </row>
    <row r="165" spans="1:9" s="201" customFormat="1" ht="15">
      <c r="A165" s="201" t="s">
        <v>654</v>
      </c>
      <c r="C165" s="201" t="s">
        <v>213</v>
      </c>
      <c r="D165" s="201" t="s">
        <v>31</v>
      </c>
      <c r="E165" s="586">
        <f>E171</f>
        <v>0.45</v>
      </c>
      <c r="F165" s="586">
        <f>F171</f>
        <v>21.021161699999997</v>
      </c>
      <c r="G165" s="219">
        <f>SUM(H166:H170)</f>
        <v>70.890749999999997</v>
      </c>
      <c r="H165" s="219">
        <f>SUM(H166:H171)*FDF</f>
        <v>84.367786403250008</v>
      </c>
      <c r="I165" s="219">
        <f>H165*BENEF</f>
        <v>109.67812232422501</v>
      </c>
    </row>
    <row r="166" spans="1:9">
      <c r="A166" s="207" t="s">
        <v>654</v>
      </c>
      <c r="B166" s="199" t="s">
        <v>548</v>
      </c>
      <c r="C166" s="199" t="s">
        <v>215</v>
      </c>
      <c r="D166" s="199" t="s">
        <v>31</v>
      </c>
      <c r="E166" s="199">
        <v>1</v>
      </c>
      <c r="G166" s="212">
        <f>VLOOKUP(B166,BD_Prod!$A$6:$O$104,15,0)</f>
        <v>18.770062499999998</v>
      </c>
      <c r="H166" s="212">
        <f>E166*G166</f>
        <v>18.770062499999998</v>
      </c>
    </row>
    <row r="167" spans="1:9">
      <c r="A167" s="207" t="s">
        <v>654</v>
      </c>
      <c r="B167" s="199" t="s">
        <v>843</v>
      </c>
      <c r="C167" s="199" t="s">
        <v>165</v>
      </c>
      <c r="D167" s="199" t="s">
        <v>152</v>
      </c>
      <c r="E167" s="199">
        <v>1</v>
      </c>
      <c r="G167" s="212">
        <f>VLOOKUP(B167,BD_Prod!$A$6:$O$104,15,0)</f>
        <v>2.2050000000000001</v>
      </c>
      <c r="H167" s="212">
        <f t="shared" ref="H167:H171" si="25">E167*G167</f>
        <v>2.2050000000000001</v>
      </c>
    </row>
    <row r="168" spans="1:9">
      <c r="A168" s="207" t="s">
        <v>654</v>
      </c>
      <c r="B168" s="199" t="s">
        <v>550</v>
      </c>
      <c r="C168" s="199" t="s">
        <v>214</v>
      </c>
      <c r="D168" s="199" t="s">
        <v>31</v>
      </c>
      <c r="E168" s="199">
        <v>1</v>
      </c>
      <c r="G168" s="212">
        <f>VLOOKUP(B168,BD_Prod!$A$6:$O$104,15,0)</f>
        <v>38.615062500000001</v>
      </c>
      <c r="H168" s="212">
        <f t="shared" si="25"/>
        <v>38.615062500000001</v>
      </c>
    </row>
    <row r="169" spans="1:9">
      <c r="A169" s="207" t="s">
        <v>654</v>
      </c>
      <c r="B169" s="199" t="s">
        <v>554</v>
      </c>
      <c r="C169" s="199" t="s">
        <v>173</v>
      </c>
      <c r="D169" s="199" t="s">
        <v>0</v>
      </c>
      <c r="E169" s="199">
        <v>10</v>
      </c>
      <c r="G169" s="212">
        <f>VLOOKUP(B169,BD_Prod!$A$6:$O$104,15,0)</f>
        <v>0.55125000000000002</v>
      </c>
      <c r="H169" s="212">
        <f t="shared" si="25"/>
        <v>5.5125000000000002</v>
      </c>
    </row>
    <row r="170" spans="1:9">
      <c r="A170" s="207" t="s">
        <v>654</v>
      </c>
      <c r="B170" s="199" t="s">
        <v>568</v>
      </c>
      <c r="C170" s="199" t="s">
        <v>182</v>
      </c>
      <c r="D170" s="199" t="s">
        <v>31</v>
      </c>
      <c r="E170" s="199">
        <v>1</v>
      </c>
      <c r="G170" s="212">
        <f>VLOOKUP(B170,BD_Prod!$A$6:$O$104,15,0)</f>
        <v>5.7881250000000009</v>
      </c>
      <c r="H170" s="212">
        <f t="shared" si="25"/>
        <v>5.7881250000000009</v>
      </c>
    </row>
    <row r="171" spans="1:9">
      <c r="A171" s="207" t="s">
        <v>654</v>
      </c>
      <c r="B171" s="199" t="s">
        <v>688</v>
      </c>
      <c r="C171" s="199" t="s">
        <v>83</v>
      </c>
      <c r="D171" s="199" t="s">
        <v>5</v>
      </c>
      <c r="E171" s="199">
        <v>0.45</v>
      </c>
      <c r="F171" s="212">
        <f>VLOOKUP(B171,BD_Prod!$A$1:$O$104,15,0)</f>
        <v>21.021161699999997</v>
      </c>
      <c r="G171" s="212"/>
      <c r="H171" s="212">
        <f>E171*F171</f>
        <v>9.4595227649999991</v>
      </c>
    </row>
    <row r="172" spans="1:9" s="201" customFormat="1" ht="15">
      <c r="A172" s="201" t="s">
        <v>655</v>
      </c>
      <c r="C172" s="201" t="s">
        <v>216</v>
      </c>
      <c r="D172" s="201" t="s">
        <v>31</v>
      </c>
      <c r="E172" s="586">
        <f>E177</f>
        <v>0.45</v>
      </c>
      <c r="F172" s="586">
        <f>F177</f>
        <v>21.021161699999997</v>
      </c>
      <c r="G172" s="219">
        <f>SUM(H173:H176)</f>
        <v>32.523750000000007</v>
      </c>
      <c r="H172" s="219">
        <f>SUM(H173:H177)*FDF</f>
        <v>44.082436403250014</v>
      </c>
      <c r="I172" s="219">
        <f>H172*BENEF</f>
        <v>57.30716732422502</v>
      </c>
    </row>
    <row r="173" spans="1:9">
      <c r="A173" s="207" t="s">
        <v>655</v>
      </c>
      <c r="B173" s="199" t="s">
        <v>597</v>
      </c>
      <c r="C173" s="199" t="s">
        <v>702</v>
      </c>
      <c r="D173" s="199" t="s">
        <v>31</v>
      </c>
      <c r="E173" s="199">
        <v>1</v>
      </c>
      <c r="G173" s="212">
        <f>VLOOKUP(B173,BD_Prod!$A$6:$O$104,15,0)</f>
        <v>19.018125000000001</v>
      </c>
      <c r="H173" s="212">
        <f>E173*G173</f>
        <v>19.018125000000001</v>
      </c>
    </row>
    <row r="174" spans="1:9">
      <c r="A174" s="207" t="s">
        <v>655</v>
      </c>
      <c r="B174" s="199" t="s">
        <v>843</v>
      </c>
      <c r="C174" s="199" t="s">
        <v>165</v>
      </c>
      <c r="D174" s="199" t="s">
        <v>152</v>
      </c>
      <c r="E174" s="199">
        <v>1</v>
      </c>
      <c r="G174" s="212">
        <f>VLOOKUP(B174,BD_Prod!$A$6:$O$104,15,0)</f>
        <v>2.2050000000000001</v>
      </c>
      <c r="H174" s="212">
        <f t="shared" ref="H174:H177" si="26">E174*G174</f>
        <v>2.2050000000000001</v>
      </c>
    </row>
    <row r="175" spans="1:9">
      <c r="A175" s="207" t="s">
        <v>655</v>
      </c>
      <c r="B175" s="199" t="s">
        <v>554</v>
      </c>
      <c r="C175" s="199" t="s">
        <v>173</v>
      </c>
      <c r="D175" s="199" t="s">
        <v>0</v>
      </c>
      <c r="E175" s="199">
        <v>10</v>
      </c>
      <c r="G175" s="212">
        <f>VLOOKUP(B175,BD_Prod!$A$6:$O$104,15,0)</f>
        <v>0.55125000000000002</v>
      </c>
      <c r="H175" s="212">
        <f t="shared" si="26"/>
        <v>5.5125000000000002</v>
      </c>
    </row>
    <row r="176" spans="1:9">
      <c r="A176" s="207" t="s">
        <v>655</v>
      </c>
      <c r="B176" s="199" t="s">
        <v>568</v>
      </c>
      <c r="C176" s="199" t="s">
        <v>182</v>
      </c>
      <c r="D176" s="199" t="s">
        <v>31</v>
      </c>
      <c r="E176" s="199">
        <v>1</v>
      </c>
      <c r="G176" s="212">
        <f>VLOOKUP(B176,BD_Prod!$A$6:$O$104,15,0)</f>
        <v>5.7881250000000009</v>
      </c>
      <c r="H176" s="212">
        <f t="shared" si="26"/>
        <v>5.7881250000000009</v>
      </c>
    </row>
    <row r="177" spans="1:9">
      <c r="A177" s="207" t="s">
        <v>655</v>
      </c>
      <c r="B177" s="199" t="s">
        <v>688</v>
      </c>
      <c r="C177" s="199" t="s">
        <v>83</v>
      </c>
      <c r="D177" s="199" t="s">
        <v>5</v>
      </c>
      <c r="E177" s="199">
        <v>0.45</v>
      </c>
      <c r="F177" s="212">
        <f>VLOOKUP(B177,BD_Prod!$A$1:$O$104,15,0)</f>
        <v>21.021161699999997</v>
      </c>
      <c r="G177" s="212"/>
      <c r="H177" s="212">
        <f>E177*F177</f>
        <v>9.4595227649999991</v>
      </c>
    </row>
    <row r="178" spans="1:9" s="201" customFormat="1" ht="15">
      <c r="A178" s="201" t="s">
        <v>629</v>
      </c>
      <c r="C178" s="201" t="s">
        <v>247</v>
      </c>
      <c r="D178" s="201" t="s">
        <v>39</v>
      </c>
      <c r="E178" s="586">
        <f>SUM(E180:E181)</f>
        <v>1.1000000000000001</v>
      </c>
      <c r="F178" s="586">
        <f>F181</f>
        <v>21.021161699999997</v>
      </c>
      <c r="G178" s="219">
        <f>SUM(H179)</f>
        <v>6.0891075000000008</v>
      </c>
      <c r="H178" s="219">
        <f>SUM(H179:H181)*FDF</f>
        <v>30.6730046385</v>
      </c>
      <c r="I178" s="219">
        <f>H178*BENEF</f>
        <v>39.874906030049999</v>
      </c>
    </row>
    <row r="179" spans="1:9">
      <c r="A179" s="207" t="s">
        <v>629</v>
      </c>
      <c r="B179" s="199" t="s">
        <v>683</v>
      </c>
      <c r="C179" s="199" t="s">
        <v>108</v>
      </c>
      <c r="D179" s="199" t="s">
        <v>18</v>
      </c>
      <c r="E179" s="199">
        <v>1.4999999999999999E-2</v>
      </c>
      <c r="G179" s="212">
        <f>VLOOKUP(B179,BD_ET_PR!$A$1:$G$26,7,0)</f>
        <v>405.94050000000004</v>
      </c>
      <c r="H179" s="212">
        <f>E179*G179</f>
        <v>6.0891075000000008</v>
      </c>
    </row>
    <row r="180" spans="1:9">
      <c r="A180" s="207" t="s">
        <v>629</v>
      </c>
      <c r="B180" s="199" t="s">
        <v>688</v>
      </c>
      <c r="C180" s="199" t="s">
        <v>109</v>
      </c>
      <c r="D180" s="199" t="s">
        <v>5</v>
      </c>
      <c r="E180" s="199">
        <v>0.2</v>
      </c>
      <c r="F180" s="212">
        <f>VLOOKUP(B180,BD_Prod!$A$1:$O$104,15,0)</f>
        <v>21.021161699999997</v>
      </c>
      <c r="G180" s="212"/>
      <c r="H180" s="212">
        <f>E180*F180</f>
        <v>4.2042323399999999</v>
      </c>
    </row>
    <row r="181" spans="1:9">
      <c r="A181" s="207" t="s">
        <v>629</v>
      </c>
      <c r="B181" s="199" t="s">
        <v>688</v>
      </c>
      <c r="C181" s="199" t="s">
        <v>1</v>
      </c>
      <c r="D181" s="199" t="s">
        <v>5</v>
      </c>
      <c r="E181" s="199">
        <v>0.9</v>
      </c>
      <c r="F181" s="212">
        <f>VLOOKUP(B181,BD_Prod!$A$1:$O$104,15,0)</f>
        <v>21.021161699999997</v>
      </c>
      <c r="G181" s="212"/>
      <c r="H181" s="212">
        <f>E181*F181</f>
        <v>18.919045529999998</v>
      </c>
    </row>
    <row r="182" spans="1:9" s="201" customFormat="1" ht="15">
      <c r="A182" s="201" t="s">
        <v>656</v>
      </c>
      <c r="C182" s="201" t="s">
        <v>246</v>
      </c>
      <c r="D182" s="201" t="s">
        <v>39</v>
      </c>
      <c r="E182" s="586">
        <f>E184</f>
        <v>0.9</v>
      </c>
      <c r="F182" s="586">
        <f>F184</f>
        <v>21.021161699999997</v>
      </c>
      <c r="G182" s="219">
        <f>SUM(H183)</f>
        <v>4.0594050000000008</v>
      </c>
      <c r="H182" s="219">
        <f>SUM(H183:H184)*FDF</f>
        <v>24.127373056500002</v>
      </c>
      <c r="I182" s="219">
        <f>H182*BENEF</f>
        <v>31.365584973450002</v>
      </c>
    </row>
    <row r="183" spans="1:9">
      <c r="A183" s="207" t="s">
        <v>656</v>
      </c>
      <c r="B183" s="199" t="s">
        <v>683</v>
      </c>
      <c r="C183" s="199" t="s">
        <v>108</v>
      </c>
      <c r="D183" s="199" t="s">
        <v>18</v>
      </c>
      <c r="E183" s="199">
        <v>0.01</v>
      </c>
      <c r="G183" s="212">
        <f>VLOOKUP(B183,BD_ET_PR!$A$1:$G$26,7,0)</f>
        <v>405.94050000000004</v>
      </c>
      <c r="H183" s="212">
        <f>E183*G183</f>
        <v>4.0594050000000008</v>
      </c>
    </row>
    <row r="184" spans="1:9">
      <c r="A184" s="207" t="s">
        <v>656</v>
      </c>
      <c r="B184" s="199" t="s">
        <v>688</v>
      </c>
      <c r="C184" s="199" t="s">
        <v>1</v>
      </c>
      <c r="D184" s="199" t="s">
        <v>5</v>
      </c>
      <c r="E184" s="199">
        <v>0.9</v>
      </c>
      <c r="F184" s="212">
        <f>VLOOKUP(B184,BD_Prod!$A$1:$O$104,15,0)</f>
        <v>21.021161699999997</v>
      </c>
      <c r="G184" s="212"/>
      <c r="H184" s="212">
        <f>E184*F184</f>
        <v>18.919045529999998</v>
      </c>
    </row>
    <row r="185" spans="1:9" s="201" customFormat="1" ht="15">
      <c r="A185" s="201" t="s">
        <v>630</v>
      </c>
      <c r="C185" s="201" t="s">
        <v>217</v>
      </c>
      <c r="D185" s="201" t="s">
        <v>31</v>
      </c>
      <c r="E185" s="586">
        <f>E188</f>
        <v>1.4</v>
      </c>
      <c r="F185" s="586">
        <f>F188</f>
        <v>21.021161699999997</v>
      </c>
      <c r="G185" s="219">
        <f>SUM(H186:H187)</f>
        <v>59.460030000000003</v>
      </c>
      <c r="H185" s="219">
        <f>SUM(H186:H188)*FDF</f>
        <v>93.334139198999992</v>
      </c>
      <c r="I185" s="219">
        <f>H185*BENEF</f>
        <v>121.3343809587</v>
      </c>
    </row>
    <row r="186" spans="1:9">
      <c r="A186" s="207" t="s">
        <v>630</v>
      </c>
      <c r="B186" s="199" t="s">
        <v>683</v>
      </c>
      <c r="C186" s="199" t="s">
        <v>108</v>
      </c>
      <c r="D186" s="199" t="s">
        <v>18</v>
      </c>
      <c r="E186" s="199">
        <v>0.01</v>
      </c>
      <c r="G186" s="212">
        <f>VLOOKUP(B186,BD_ET_PR!$A$1:$G$26,7,0)</f>
        <v>405.94050000000004</v>
      </c>
      <c r="H186" s="212">
        <f>E186*G186</f>
        <v>4.0594050000000008</v>
      </c>
    </row>
    <row r="187" spans="1:9">
      <c r="A187" s="207" t="s">
        <v>630</v>
      </c>
      <c r="B187" s="199" t="s">
        <v>561</v>
      </c>
      <c r="C187" s="199" t="s">
        <v>218</v>
      </c>
      <c r="D187" s="199" t="s">
        <v>31</v>
      </c>
      <c r="E187" s="199">
        <v>1</v>
      </c>
      <c r="G187" s="212">
        <f>VLOOKUP(B187,BD_Prod!$A$6:$O$104,15,0)</f>
        <v>55.400625000000005</v>
      </c>
      <c r="H187" s="212">
        <f t="shared" ref="H187:H188" si="27">E187*G187</f>
        <v>55.400625000000005</v>
      </c>
    </row>
    <row r="188" spans="1:9">
      <c r="A188" s="207" t="s">
        <v>630</v>
      </c>
      <c r="B188" s="199" t="s">
        <v>688</v>
      </c>
      <c r="C188" s="199" t="s">
        <v>1</v>
      </c>
      <c r="D188" s="199" t="s">
        <v>5</v>
      </c>
      <c r="E188" s="199">
        <v>1.4</v>
      </c>
      <c r="F188" s="212">
        <f>VLOOKUP(B188,BD_Prod!$A$1:$O$104,15,0)</f>
        <v>21.021161699999997</v>
      </c>
      <c r="G188" s="212"/>
      <c r="H188" s="212">
        <f>E188*F188</f>
        <v>29.429626379999995</v>
      </c>
    </row>
    <row r="189" spans="1:9" s="201" customFormat="1" ht="15">
      <c r="A189" s="201" t="s">
        <v>657</v>
      </c>
      <c r="C189" s="201" t="s">
        <v>219</v>
      </c>
      <c r="D189" s="201" t="s">
        <v>0</v>
      </c>
      <c r="E189" s="586">
        <f>E194</f>
        <v>1.25</v>
      </c>
      <c r="F189" s="586">
        <f>F194</f>
        <v>21.021161699999997</v>
      </c>
      <c r="G189" s="219">
        <f>SUM(H190:H193)</f>
        <v>990.77415340909101</v>
      </c>
      <c r="H189" s="219">
        <f>SUM(H190:H194)*FDF</f>
        <v>1067.9031358107957</v>
      </c>
      <c r="I189" s="219">
        <f>H189*BENEF</f>
        <v>1388.2740765540345</v>
      </c>
    </row>
    <row r="190" spans="1:9">
      <c r="A190" s="207" t="s">
        <v>657</v>
      </c>
      <c r="B190" s="199" t="s">
        <v>679</v>
      </c>
      <c r="C190" s="199" t="s">
        <v>81</v>
      </c>
      <c r="D190" s="199" t="s">
        <v>18</v>
      </c>
      <c r="E190" s="199">
        <v>2</v>
      </c>
      <c r="G190" s="212">
        <f>VLOOKUP(B190,BD_ET_PR!$A$1:$G$26,7,0)</f>
        <v>121.82625000000002</v>
      </c>
      <c r="H190" s="212">
        <f>E190*G190</f>
        <v>243.65250000000003</v>
      </c>
    </row>
    <row r="191" spans="1:9">
      <c r="A191" s="207" t="s">
        <v>657</v>
      </c>
      <c r="B191" s="199" t="s">
        <v>599</v>
      </c>
      <c r="C191" s="199" t="s">
        <v>70</v>
      </c>
      <c r="D191" s="199" t="s">
        <v>22</v>
      </c>
      <c r="E191" s="199">
        <v>1</v>
      </c>
      <c r="G191" s="212">
        <f>VLOOKUP(B191,BD_Prod!$A$6:$O$104,15,0)</f>
        <v>516.82443750000004</v>
      </c>
      <c r="H191" s="212">
        <f t="shared" ref="H191:H194" si="28">E191*G191</f>
        <v>516.82443750000004</v>
      </c>
    </row>
    <row r="192" spans="1:9">
      <c r="A192" s="207" t="s">
        <v>657</v>
      </c>
      <c r="B192" s="199" t="s">
        <v>838</v>
      </c>
      <c r="C192" s="199" t="s">
        <v>125</v>
      </c>
      <c r="D192" s="199" t="s">
        <v>39</v>
      </c>
      <c r="E192" s="199">
        <v>6</v>
      </c>
      <c r="G192" s="212">
        <f>VLOOKUP(B192,BD_Prod!$A$6:$O$104,15,0)</f>
        <v>16.813124999999999</v>
      </c>
      <c r="H192" s="212">
        <f t="shared" si="28"/>
        <v>100.87875</v>
      </c>
    </row>
    <row r="193" spans="1:9">
      <c r="A193" s="207" t="s">
        <v>657</v>
      </c>
      <c r="B193" s="199" t="s">
        <v>534</v>
      </c>
      <c r="C193" s="199" t="s">
        <v>129</v>
      </c>
      <c r="D193" s="199" t="s">
        <v>87</v>
      </c>
      <c r="E193" s="199">
        <v>150</v>
      </c>
      <c r="G193" s="212">
        <f>VLOOKUP(B193,BD_Prod!$A$6:$O$104,15,0)</f>
        <v>0.86278977272727286</v>
      </c>
      <c r="H193" s="212">
        <f t="shared" si="28"/>
        <v>129.41846590909094</v>
      </c>
    </row>
    <row r="194" spans="1:9">
      <c r="A194" s="207" t="s">
        <v>657</v>
      </c>
      <c r="B194" s="199" t="s">
        <v>688</v>
      </c>
      <c r="C194" s="199" t="s">
        <v>1</v>
      </c>
      <c r="D194" s="199" t="s">
        <v>5</v>
      </c>
      <c r="E194" s="199">
        <v>1.25</v>
      </c>
      <c r="F194" s="212">
        <f>VLOOKUP(B194,BD_Prod!$A$1:$O$104,15,0)</f>
        <v>21.021161699999997</v>
      </c>
      <c r="G194" s="212"/>
      <c r="H194" s="212">
        <f>E194*F194</f>
        <v>26.276452124999995</v>
      </c>
    </row>
    <row r="195" spans="1:9" s="201" customFormat="1" ht="15">
      <c r="A195" s="201" t="s">
        <v>631</v>
      </c>
      <c r="C195" s="201" t="s">
        <v>371</v>
      </c>
      <c r="D195" s="201" t="s">
        <v>39</v>
      </c>
      <c r="E195" s="586">
        <f>E200</f>
        <v>1.8</v>
      </c>
      <c r="F195" s="586">
        <f>F200</f>
        <v>21.021161699999997</v>
      </c>
      <c r="G195" s="219">
        <f>SUM(H196:H199)</f>
        <v>26.501343750000004</v>
      </c>
      <c r="H195" s="219">
        <f>SUM(H196:H200)*FDF</f>
        <v>67.5564065505</v>
      </c>
      <c r="I195" s="219">
        <f>H195*BENEF</f>
        <v>87.823328515650005</v>
      </c>
    </row>
    <row r="196" spans="1:9">
      <c r="A196" s="207" t="s">
        <v>631</v>
      </c>
      <c r="B196" s="199" t="s">
        <v>562</v>
      </c>
      <c r="C196" s="199" t="s">
        <v>222</v>
      </c>
      <c r="D196" s="199" t="s">
        <v>39</v>
      </c>
      <c r="E196" s="199">
        <v>1</v>
      </c>
      <c r="G196" s="212">
        <f>VLOOKUP(B196,BD_Prod!$A$6:$O$104,15,0)</f>
        <v>22.077562500000003</v>
      </c>
      <c r="H196" s="212">
        <f>E196*G196</f>
        <v>22.077562500000003</v>
      </c>
    </row>
    <row r="197" spans="1:9">
      <c r="A197" s="207" t="s">
        <v>631</v>
      </c>
      <c r="B197" s="199" t="s">
        <v>529</v>
      </c>
      <c r="C197" s="199" t="s">
        <v>223</v>
      </c>
      <c r="D197" s="199" t="s">
        <v>18</v>
      </c>
      <c r="E197" s="199">
        <v>0.05</v>
      </c>
      <c r="G197" s="212">
        <f>VLOOKUP(B197,BD_Prod!$A$6:$O$104,15,0)</f>
        <v>66.150000000000006</v>
      </c>
      <c r="H197" s="212">
        <f t="shared" ref="H197:H200" si="29">E197*G197</f>
        <v>3.3075000000000006</v>
      </c>
    </row>
    <row r="198" spans="1:9">
      <c r="A198" s="207" t="s">
        <v>631</v>
      </c>
      <c r="B198" s="199" t="s">
        <v>527</v>
      </c>
      <c r="C198" s="199" t="s">
        <v>224</v>
      </c>
      <c r="D198" s="199" t="s">
        <v>36</v>
      </c>
      <c r="E198" s="199">
        <v>3.5</v>
      </c>
      <c r="G198" s="212">
        <f>VLOOKUP(B198,BD_Prod!$A$6:$O$104,15,0)</f>
        <v>0.24806250000000002</v>
      </c>
      <c r="H198" s="212">
        <f t="shared" si="29"/>
        <v>0.86821875000000004</v>
      </c>
    </row>
    <row r="199" spans="1:9">
      <c r="A199" s="207" t="s">
        <v>631</v>
      </c>
      <c r="B199" s="199" t="s">
        <v>527</v>
      </c>
      <c r="C199" s="199" t="s">
        <v>225</v>
      </c>
      <c r="D199" s="199" t="s">
        <v>36</v>
      </c>
      <c r="E199" s="199">
        <v>1</v>
      </c>
      <c r="G199" s="212">
        <f>VLOOKUP(B199,BD_Prod!$A$6:$O$104,15,0)</f>
        <v>0.24806250000000002</v>
      </c>
      <c r="H199" s="212">
        <f t="shared" si="29"/>
        <v>0.24806250000000002</v>
      </c>
    </row>
    <row r="200" spans="1:9">
      <c r="A200" s="207" t="s">
        <v>631</v>
      </c>
      <c r="B200" s="199" t="s">
        <v>688</v>
      </c>
      <c r="C200" s="199" t="s">
        <v>221</v>
      </c>
      <c r="D200" s="199" t="s">
        <v>5</v>
      </c>
      <c r="E200" s="199">
        <v>1.8</v>
      </c>
      <c r="F200" s="212">
        <f>VLOOKUP(B200,BD_Prod!$A$1:$O$104,15,0)</f>
        <v>21.021161699999997</v>
      </c>
      <c r="G200" s="212"/>
      <c r="H200" s="212">
        <f>E200*F200</f>
        <v>37.838091059999996</v>
      </c>
    </row>
    <row r="201" spans="1:9" s="201" customFormat="1" ht="13.5" customHeight="1">
      <c r="A201" s="201" t="s">
        <v>658</v>
      </c>
      <c r="C201" s="201" t="s">
        <v>231</v>
      </c>
      <c r="D201" s="201" t="s">
        <v>39</v>
      </c>
      <c r="E201" s="586">
        <v>0</v>
      </c>
      <c r="F201" s="586">
        <f>F205</f>
        <v>0</v>
      </c>
      <c r="G201" s="219">
        <f>SUM(H202:H205)</f>
        <v>26.501343750000004</v>
      </c>
      <c r="H201" s="219">
        <f>SUM(H202:H205)*FDF</f>
        <v>27.826410937500004</v>
      </c>
      <c r="I201" s="219">
        <f>H201*BENEF</f>
        <v>36.174334218750005</v>
      </c>
    </row>
    <row r="202" spans="1:9" s="207" customFormat="1" ht="12.75" customHeight="1">
      <c r="A202" s="207" t="s">
        <v>658</v>
      </c>
      <c r="B202" s="199" t="s">
        <v>562</v>
      </c>
      <c r="C202" s="199" t="s">
        <v>222</v>
      </c>
      <c r="D202" s="199" t="s">
        <v>39</v>
      </c>
      <c r="E202" s="199">
        <v>1</v>
      </c>
      <c r="F202" s="199"/>
      <c r="G202" s="212">
        <f>VLOOKUP(B202,BD_Prod!$A$6:$O$104,15,0)</f>
        <v>22.077562500000003</v>
      </c>
      <c r="H202" s="212">
        <f>E202*G202</f>
        <v>22.077562500000003</v>
      </c>
      <c r="I202" s="208"/>
    </row>
    <row r="203" spans="1:9" s="207" customFormat="1" ht="12.75" customHeight="1">
      <c r="A203" s="207" t="s">
        <v>658</v>
      </c>
      <c r="B203" s="199" t="s">
        <v>529</v>
      </c>
      <c r="C203" s="199" t="s">
        <v>223</v>
      </c>
      <c r="D203" s="199" t="s">
        <v>18</v>
      </c>
      <c r="E203" s="199">
        <v>0.05</v>
      </c>
      <c r="F203" s="199"/>
      <c r="G203" s="212">
        <f>VLOOKUP(B203,BD_Prod!$A$6:$O$104,15,0)</f>
        <v>66.150000000000006</v>
      </c>
      <c r="H203" s="212">
        <f t="shared" ref="H203:H205" si="30">E203*G203</f>
        <v>3.3075000000000006</v>
      </c>
      <c r="I203" s="208"/>
    </row>
    <row r="204" spans="1:9" s="207" customFormat="1" ht="12.75" customHeight="1">
      <c r="A204" s="207" t="s">
        <v>658</v>
      </c>
      <c r="B204" s="199" t="s">
        <v>527</v>
      </c>
      <c r="C204" s="199" t="s">
        <v>224</v>
      </c>
      <c r="D204" s="199" t="s">
        <v>36</v>
      </c>
      <c r="E204" s="199">
        <v>3.5</v>
      </c>
      <c r="F204" s="199"/>
      <c r="G204" s="212">
        <f>VLOOKUP(B204,BD_Prod!$A$6:$O$104,15,0)</f>
        <v>0.24806250000000002</v>
      </c>
      <c r="H204" s="212">
        <f t="shared" si="30"/>
        <v>0.86821875000000004</v>
      </c>
      <c r="I204" s="208"/>
    </row>
    <row r="205" spans="1:9" s="207" customFormat="1" ht="12.75" customHeight="1">
      <c r="A205" s="207" t="s">
        <v>658</v>
      </c>
      <c r="B205" s="199" t="s">
        <v>527</v>
      </c>
      <c r="C205" s="199" t="s">
        <v>225</v>
      </c>
      <c r="D205" s="199" t="s">
        <v>36</v>
      </c>
      <c r="E205" s="199">
        <v>1</v>
      </c>
      <c r="F205" s="199"/>
      <c r="G205" s="212">
        <f>VLOOKUP(B205,BD_Prod!$A$6:$O$104,15,0)</f>
        <v>0.24806250000000002</v>
      </c>
      <c r="H205" s="212">
        <f t="shared" si="30"/>
        <v>0.24806250000000002</v>
      </c>
      <c r="I205" s="208"/>
    </row>
    <row r="206" spans="1:9" s="201" customFormat="1" ht="15">
      <c r="A206" s="201" t="s">
        <v>704</v>
      </c>
      <c r="C206" s="201" t="s">
        <v>372</v>
      </c>
      <c r="D206" s="201" t="s">
        <v>39</v>
      </c>
      <c r="E206" s="586">
        <f>E209</f>
        <v>1.8</v>
      </c>
      <c r="F206" s="586">
        <f>F209</f>
        <v>21.021161699999997</v>
      </c>
      <c r="G206" s="219">
        <f>SUM(H207:H208)</f>
        <v>25.385062500000004</v>
      </c>
      <c r="H206" s="219">
        <f>SUM(H207:H209)*FDF</f>
        <v>66.384311238000009</v>
      </c>
      <c r="I206" s="219">
        <f>H206*BENEF</f>
        <v>86.299604609400021</v>
      </c>
    </row>
    <row r="207" spans="1:9">
      <c r="A207" s="207" t="s">
        <v>704</v>
      </c>
      <c r="B207" s="199" t="s">
        <v>563</v>
      </c>
      <c r="C207" s="199" t="s">
        <v>226</v>
      </c>
      <c r="D207" s="199" t="s">
        <v>39</v>
      </c>
      <c r="E207" s="199">
        <v>1</v>
      </c>
      <c r="G207" s="212">
        <f>VLOOKUP(B207,BD_Prod!$A$6:$O$104,15,0)</f>
        <v>22.077562500000003</v>
      </c>
      <c r="H207" s="212">
        <f>E207*G207</f>
        <v>22.077562500000003</v>
      </c>
    </row>
    <row r="208" spans="1:9">
      <c r="A208" s="207" t="s">
        <v>704</v>
      </c>
      <c r="B208" s="199" t="s">
        <v>595</v>
      </c>
      <c r="C208" s="199" t="s">
        <v>220</v>
      </c>
      <c r="D208" s="199" t="s">
        <v>36</v>
      </c>
      <c r="E208" s="199">
        <v>2.4</v>
      </c>
      <c r="G208" s="212">
        <f>VLOOKUP(B208,BD_Prod!$A$6:$O$104,15,0)</f>
        <v>1.378125</v>
      </c>
      <c r="H208" s="212">
        <f t="shared" ref="H208:H209" si="31">E208*G208</f>
        <v>3.3075000000000001</v>
      </c>
    </row>
    <row r="209" spans="1:9">
      <c r="A209" s="207" t="s">
        <v>704</v>
      </c>
      <c r="B209" s="199" t="s">
        <v>688</v>
      </c>
      <c r="C209" s="199" t="s">
        <v>1</v>
      </c>
      <c r="D209" s="199" t="s">
        <v>5</v>
      </c>
      <c r="E209" s="199">
        <v>1.8</v>
      </c>
      <c r="F209" s="212">
        <f>VLOOKUP(B209,BD_Prod!$A$1:$O$104,15,0)</f>
        <v>21.021161699999997</v>
      </c>
      <c r="G209" s="212"/>
      <c r="H209" s="212">
        <f>E209*F209</f>
        <v>37.838091059999996</v>
      </c>
    </row>
    <row r="210" spans="1:9" s="201" customFormat="1" ht="15" customHeight="1">
      <c r="A210" s="201" t="s">
        <v>705</v>
      </c>
      <c r="C210" s="201" t="s">
        <v>257</v>
      </c>
      <c r="D210" s="201" t="s">
        <v>39</v>
      </c>
      <c r="E210" s="586">
        <v>0</v>
      </c>
      <c r="F210" s="586">
        <v>0</v>
      </c>
      <c r="G210" s="219">
        <f>SUM(H211:H212)</f>
        <v>25.385062500000004</v>
      </c>
      <c r="H210" s="219">
        <f>SUM(H211:H212)*FDF</f>
        <v>26.654315625000006</v>
      </c>
      <c r="I210" s="219">
        <f>H210*BENEF</f>
        <v>34.650610312500007</v>
      </c>
    </row>
    <row r="211" spans="1:9" s="207" customFormat="1" ht="12.75" customHeight="1">
      <c r="A211" s="207" t="s">
        <v>705</v>
      </c>
      <c r="B211" s="207" t="s">
        <v>563</v>
      </c>
      <c r="C211" s="207" t="s">
        <v>226</v>
      </c>
      <c r="D211" s="207" t="s">
        <v>39</v>
      </c>
      <c r="E211" s="207">
        <v>1</v>
      </c>
      <c r="G211" s="207">
        <f>VLOOKUP(B211,BD_Prod!$A$6:$O$104,15,0)</f>
        <v>22.077562500000003</v>
      </c>
      <c r="H211" s="207">
        <f>E211*G211</f>
        <v>22.077562500000003</v>
      </c>
      <c r="I211" s="208"/>
    </row>
    <row r="212" spans="1:9" s="207" customFormat="1" ht="12.75" customHeight="1">
      <c r="A212" s="207" t="s">
        <v>705</v>
      </c>
      <c r="B212" s="207" t="s">
        <v>595</v>
      </c>
      <c r="C212" s="207" t="s">
        <v>220</v>
      </c>
      <c r="D212" s="207" t="s">
        <v>36</v>
      </c>
      <c r="E212" s="207">
        <v>2.4</v>
      </c>
      <c r="G212" s="207">
        <f>VLOOKUP(B212,BD_Prod!$A$6:$O$104,15,0)</f>
        <v>1.378125</v>
      </c>
      <c r="H212" s="207">
        <f t="shared" ref="H212" si="32">E212*G212</f>
        <v>3.3075000000000001</v>
      </c>
      <c r="I212" s="208"/>
    </row>
    <row r="213" spans="1:9" s="201" customFormat="1" ht="15">
      <c r="A213" s="201" t="s">
        <v>632</v>
      </c>
      <c r="C213" s="201" t="s">
        <v>90</v>
      </c>
      <c r="D213" s="201" t="s">
        <v>39</v>
      </c>
      <c r="E213" s="586">
        <f>E217</f>
        <v>0.25</v>
      </c>
      <c r="F213" s="586">
        <f>F217</f>
        <v>21.021161699999997</v>
      </c>
      <c r="G213" s="219">
        <f>SUM(H214:H216)</f>
        <v>8.8489406250000009</v>
      </c>
      <c r="H213" s="219">
        <f>SUM(H214:H217)*FDF</f>
        <v>14.809442602499999</v>
      </c>
      <c r="I213" s="219">
        <f>H213*BENEF</f>
        <v>19.252275383249998</v>
      </c>
    </row>
    <row r="214" spans="1:9">
      <c r="A214" s="207" t="s">
        <v>632</v>
      </c>
      <c r="B214" s="199" t="s">
        <v>555</v>
      </c>
      <c r="C214" s="199" t="s">
        <v>28</v>
      </c>
      <c r="D214" s="199" t="s">
        <v>36</v>
      </c>
      <c r="E214" s="199">
        <v>1</v>
      </c>
      <c r="G214" s="212">
        <f>VLOOKUP(B214,BD_Prod!$A$6:$O$104,15,0)</f>
        <v>6.1409250000000011</v>
      </c>
      <c r="H214" s="212">
        <f>E214*G214</f>
        <v>6.1409250000000011</v>
      </c>
    </row>
    <row r="215" spans="1:9">
      <c r="A215" s="207" t="s">
        <v>632</v>
      </c>
      <c r="B215" s="199" t="s">
        <v>556</v>
      </c>
      <c r="C215" s="199" t="s">
        <v>29</v>
      </c>
      <c r="D215" s="199" t="s">
        <v>36</v>
      </c>
      <c r="E215" s="199">
        <v>0.125</v>
      </c>
      <c r="G215" s="212">
        <f>VLOOKUP(B215,BD_Prod!$A$6:$O$104,15,0)</f>
        <v>4.0241250000000006</v>
      </c>
      <c r="H215" s="212">
        <f t="shared" ref="H215:H217" si="33">E215*G215</f>
        <v>0.50301562500000008</v>
      </c>
    </row>
    <row r="216" spans="1:9">
      <c r="A216" s="207" t="s">
        <v>632</v>
      </c>
      <c r="B216" s="199" t="s">
        <v>843</v>
      </c>
      <c r="C216" s="199" t="s">
        <v>227</v>
      </c>
      <c r="E216" s="199">
        <v>1</v>
      </c>
      <c r="G216" s="212">
        <f>VLOOKUP(B216,BD_Prod!$A$6:$O$104,15,0)</f>
        <v>2.2050000000000001</v>
      </c>
      <c r="H216" s="212">
        <f t="shared" si="33"/>
        <v>2.2050000000000001</v>
      </c>
    </row>
    <row r="217" spans="1:9">
      <c r="A217" s="207" t="s">
        <v>632</v>
      </c>
      <c r="B217" s="199" t="s">
        <v>688</v>
      </c>
      <c r="C217" s="199" t="s">
        <v>1</v>
      </c>
      <c r="D217" s="199" t="s">
        <v>5</v>
      </c>
      <c r="E217" s="199">
        <v>0.25</v>
      </c>
      <c r="F217" s="212">
        <f>VLOOKUP(B217,BD_Prod!$A$1:$O$104,15,0)</f>
        <v>21.021161699999997</v>
      </c>
      <c r="G217" s="212"/>
      <c r="H217" s="212">
        <f>E217*F217</f>
        <v>5.2552904249999992</v>
      </c>
    </row>
    <row r="218" spans="1:9" s="201" customFormat="1" ht="15">
      <c r="A218" s="201" t="s">
        <v>659</v>
      </c>
      <c r="C218" s="201" t="s">
        <v>92</v>
      </c>
      <c r="D218" s="201" t="s">
        <v>39</v>
      </c>
      <c r="E218" s="586">
        <f>E222</f>
        <v>0.25</v>
      </c>
      <c r="F218" s="586">
        <f>F222</f>
        <v>21.021161699999997</v>
      </c>
      <c r="G218" s="219">
        <f>SUM(H219:H221)</f>
        <v>3.5319690000000001</v>
      </c>
      <c r="H218" s="219">
        <f>SUM(H219:H222)*FDF</f>
        <v>9.2266223962499989</v>
      </c>
      <c r="I218" s="219">
        <f>H218*BENEF</f>
        <v>11.994609115125</v>
      </c>
    </row>
    <row r="219" spans="1:9">
      <c r="A219" s="207" t="s">
        <v>659</v>
      </c>
      <c r="B219" s="199" t="s">
        <v>559</v>
      </c>
      <c r="C219" s="199" t="s">
        <v>32</v>
      </c>
      <c r="D219" s="199" t="s">
        <v>36</v>
      </c>
      <c r="E219" s="199">
        <v>0.23</v>
      </c>
      <c r="G219" s="212">
        <f>VLOOKUP(B219,BD_Prod!$A$6:$O$104,15,0)</f>
        <v>3.4949250000000003</v>
      </c>
      <c r="H219" s="212">
        <f>E219*G219</f>
        <v>0.8038327500000001</v>
      </c>
    </row>
    <row r="220" spans="1:9">
      <c r="A220" s="207" t="s">
        <v>659</v>
      </c>
      <c r="B220" s="199" t="s">
        <v>556</v>
      </c>
      <c r="C220" s="199" t="s">
        <v>29</v>
      </c>
      <c r="D220" s="199" t="s">
        <v>36</v>
      </c>
      <c r="E220" s="199">
        <v>0.13</v>
      </c>
      <c r="G220" s="212">
        <f>VLOOKUP(B220,BD_Prod!$A$6:$O$104,15,0)</f>
        <v>4.0241250000000006</v>
      </c>
      <c r="H220" s="212">
        <f t="shared" ref="H220:H222" si="34">E220*G220</f>
        <v>0.52313625000000008</v>
      </c>
    </row>
    <row r="221" spans="1:9">
      <c r="A221" s="207" t="s">
        <v>659</v>
      </c>
      <c r="B221" s="199" t="s">
        <v>843</v>
      </c>
      <c r="C221" s="199" t="s">
        <v>227</v>
      </c>
      <c r="E221" s="199">
        <v>1</v>
      </c>
      <c r="G221" s="212">
        <f>VLOOKUP(B221,BD_Prod!$A$6:$O$104,15,0)</f>
        <v>2.2050000000000001</v>
      </c>
      <c r="H221" s="212">
        <f t="shared" si="34"/>
        <v>2.2050000000000001</v>
      </c>
    </row>
    <row r="222" spans="1:9">
      <c r="A222" s="207" t="s">
        <v>659</v>
      </c>
      <c r="B222" s="199" t="s">
        <v>688</v>
      </c>
      <c r="C222" s="199" t="s">
        <v>1</v>
      </c>
      <c r="D222" s="199" t="s">
        <v>5</v>
      </c>
      <c r="E222" s="199">
        <v>0.25</v>
      </c>
      <c r="F222" s="212">
        <f>VLOOKUP(B222,BD_Prod!$A$1:$O$104,15,0)</f>
        <v>21.021161699999997</v>
      </c>
      <c r="G222" s="212"/>
      <c r="H222" s="212">
        <f>E222*F222</f>
        <v>5.2552904249999992</v>
      </c>
    </row>
    <row r="223" spans="1:9" s="201" customFormat="1" ht="15">
      <c r="A223" s="201" t="s">
        <v>660</v>
      </c>
      <c r="C223" s="201" t="s">
        <v>91</v>
      </c>
      <c r="D223" s="201" t="s">
        <v>39</v>
      </c>
      <c r="E223" s="586">
        <f>E227</f>
        <v>0.3</v>
      </c>
      <c r="F223" s="586">
        <f>F227</f>
        <v>21.021161699999997</v>
      </c>
      <c r="G223" s="219">
        <f>SUM(H224:H226)</f>
        <v>3.5319690000000001</v>
      </c>
      <c r="H223" s="219">
        <f>SUM(H224:H227)*FDF</f>
        <v>10.3302333855</v>
      </c>
      <c r="I223" s="219">
        <f>H223*BENEF</f>
        <v>13.429303401149999</v>
      </c>
    </row>
    <row r="224" spans="1:9">
      <c r="A224" s="207" t="s">
        <v>660</v>
      </c>
      <c r="B224" s="199" t="s">
        <v>559</v>
      </c>
      <c r="C224" s="199" t="s">
        <v>32</v>
      </c>
      <c r="D224" s="199" t="s">
        <v>36</v>
      </c>
      <c r="E224" s="199">
        <v>0.23</v>
      </c>
      <c r="G224" s="212">
        <f>VLOOKUP(B224,BD_Prod!$A$6:$O$104,15,0)</f>
        <v>3.4949250000000003</v>
      </c>
      <c r="H224" s="212">
        <f>E224*G224</f>
        <v>0.8038327500000001</v>
      </c>
    </row>
    <row r="225" spans="1:9">
      <c r="A225" s="207" t="s">
        <v>660</v>
      </c>
      <c r="B225" s="199" t="s">
        <v>556</v>
      </c>
      <c r="C225" s="199" t="s">
        <v>29</v>
      </c>
      <c r="D225" s="199" t="s">
        <v>36</v>
      </c>
      <c r="E225" s="199">
        <v>0.13</v>
      </c>
      <c r="G225" s="212">
        <f>VLOOKUP(B225,BD_Prod!$A$6:$O$104,15,0)</f>
        <v>4.0241250000000006</v>
      </c>
      <c r="H225" s="212">
        <f t="shared" ref="H225:H227" si="35">E225*G225</f>
        <v>0.52313625000000008</v>
      </c>
    </row>
    <row r="226" spans="1:9">
      <c r="A226" s="207" t="s">
        <v>660</v>
      </c>
      <c r="B226" s="199" t="s">
        <v>843</v>
      </c>
      <c r="C226" s="199" t="s">
        <v>227</v>
      </c>
      <c r="E226" s="199">
        <v>1</v>
      </c>
      <c r="G226" s="212">
        <f>VLOOKUP(B226,BD_Prod!$A$6:$O$104,15,0)</f>
        <v>2.2050000000000001</v>
      </c>
      <c r="H226" s="212">
        <f t="shared" si="35"/>
        <v>2.2050000000000001</v>
      </c>
    </row>
    <row r="227" spans="1:9">
      <c r="A227" s="207" t="s">
        <v>660</v>
      </c>
      <c r="B227" s="199" t="s">
        <v>688</v>
      </c>
      <c r="C227" s="199" t="s">
        <v>1</v>
      </c>
      <c r="D227" s="199" t="s">
        <v>5</v>
      </c>
      <c r="E227" s="199">
        <v>0.3</v>
      </c>
      <c r="F227" s="212">
        <f>VLOOKUP(B227,BD_Prod!$A$1:$O$104,15,0)</f>
        <v>21.021161699999997</v>
      </c>
      <c r="G227" s="212"/>
      <c r="H227" s="212">
        <f>E227*F227</f>
        <v>6.3063485099999985</v>
      </c>
    </row>
    <row r="228" spans="1:9" s="201" customFormat="1" ht="15">
      <c r="A228" s="201" t="s">
        <v>661</v>
      </c>
      <c r="C228" s="201" t="s">
        <v>93</v>
      </c>
      <c r="D228" s="201" t="s">
        <v>39</v>
      </c>
      <c r="E228" s="586">
        <f>E232</f>
        <v>0.25</v>
      </c>
      <c r="F228" s="586">
        <f>F232</f>
        <v>21.021161699999997</v>
      </c>
      <c r="G228" s="219">
        <f>SUM(H229:H231)</f>
        <v>4.8135150000000007</v>
      </c>
      <c r="H228" s="219">
        <f>SUM(H229:H232)*FDF</f>
        <v>10.57224569625</v>
      </c>
      <c r="I228" s="219">
        <f>H228*BENEF</f>
        <v>13.743919405125</v>
      </c>
    </row>
    <row r="229" spans="1:9">
      <c r="A229" s="207" t="s">
        <v>661</v>
      </c>
      <c r="B229" s="199" t="s">
        <v>557</v>
      </c>
      <c r="C229" s="199" t="s">
        <v>30</v>
      </c>
      <c r="D229" s="199" t="s">
        <v>36</v>
      </c>
      <c r="E229" s="199">
        <v>0.39</v>
      </c>
      <c r="G229" s="212">
        <f>VLOOKUP(B229,BD_Prod!$A$6:$O$104,15,0)</f>
        <v>5.3471250000000001</v>
      </c>
      <c r="H229" s="212">
        <f>E229*G229</f>
        <v>2.0853787500000003</v>
      </c>
    </row>
    <row r="230" spans="1:9">
      <c r="A230" s="207" t="s">
        <v>661</v>
      </c>
      <c r="B230" s="199" t="s">
        <v>556</v>
      </c>
      <c r="C230" s="199" t="s">
        <v>29</v>
      </c>
      <c r="D230" s="199" t="s">
        <v>36</v>
      </c>
      <c r="E230" s="199">
        <v>0.13</v>
      </c>
      <c r="G230" s="212">
        <f>VLOOKUP(B230,BD_Prod!$A$6:$O$104,15,0)</f>
        <v>4.0241250000000006</v>
      </c>
      <c r="H230" s="212">
        <f t="shared" ref="H230:H232" si="36">E230*G230</f>
        <v>0.52313625000000008</v>
      </c>
    </row>
    <row r="231" spans="1:9">
      <c r="A231" s="207" t="s">
        <v>661</v>
      </c>
      <c r="B231" s="199" t="s">
        <v>843</v>
      </c>
      <c r="C231" s="199" t="s">
        <v>227</v>
      </c>
      <c r="E231" s="199">
        <v>1</v>
      </c>
      <c r="G231" s="212">
        <f>VLOOKUP(B231,BD_Prod!$A$6:$O$104,15,0)</f>
        <v>2.2050000000000001</v>
      </c>
      <c r="H231" s="212">
        <f t="shared" si="36"/>
        <v>2.2050000000000001</v>
      </c>
    </row>
    <row r="232" spans="1:9">
      <c r="A232" s="207" t="s">
        <v>661</v>
      </c>
      <c r="B232" s="199" t="s">
        <v>688</v>
      </c>
      <c r="C232" s="199" t="s">
        <v>1</v>
      </c>
      <c r="D232" s="199" t="s">
        <v>5</v>
      </c>
      <c r="E232" s="199">
        <v>0.25</v>
      </c>
      <c r="F232" s="212">
        <f>VLOOKUP(B232,BD_Prod!$A$1:$O$104,15,0)</f>
        <v>21.021161699999997</v>
      </c>
      <c r="G232" s="212"/>
      <c r="H232" s="212">
        <f>E232*F232</f>
        <v>5.2552904249999992</v>
      </c>
    </row>
    <row r="233" spans="1:9" s="201" customFormat="1" ht="15">
      <c r="A233" s="201" t="s">
        <v>662</v>
      </c>
      <c r="C233" s="201" t="s">
        <v>228</v>
      </c>
      <c r="D233" s="201" t="s">
        <v>39</v>
      </c>
      <c r="E233" s="586">
        <f>E237</f>
        <v>0.5</v>
      </c>
      <c r="F233" s="586">
        <f>F237</f>
        <v>21.021161699999997</v>
      </c>
      <c r="G233" s="219">
        <f>SUM(H234:H236)</f>
        <v>19.796489999999999</v>
      </c>
      <c r="H233" s="219">
        <f>SUM(H234:H237)*FDF</f>
        <v>31.822424392499997</v>
      </c>
      <c r="I233" s="219">
        <f>H233*BENEF</f>
        <v>41.369151710249994</v>
      </c>
    </row>
    <row r="234" spans="1:9">
      <c r="A234" s="207" t="s">
        <v>662</v>
      </c>
      <c r="B234" s="199" t="s">
        <v>560</v>
      </c>
      <c r="C234" s="199" t="s">
        <v>35</v>
      </c>
      <c r="D234" s="199" t="s">
        <v>36</v>
      </c>
      <c r="E234" s="199">
        <v>1.4</v>
      </c>
      <c r="G234" s="212">
        <f>VLOOKUP(B234,BD_Prod!$A$6:$O$104,15,0)</f>
        <v>11.449462500000001</v>
      </c>
      <c r="H234" s="212">
        <f>E234*G234</f>
        <v>16.0292475</v>
      </c>
    </row>
    <row r="235" spans="1:9">
      <c r="A235" s="207" t="s">
        <v>662</v>
      </c>
      <c r="B235" s="199" t="s">
        <v>572</v>
      </c>
      <c r="C235" s="199" t="s">
        <v>720</v>
      </c>
      <c r="D235" s="199" t="s">
        <v>36</v>
      </c>
      <c r="E235" s="199">
        <v>0.26</v>
      </c>
      <c r="G235" s="212">
        <f>VLOOKUP(B235,BD_Prod!$A$6:$O$104,15,0)</f>
        <v>6.0086250000000003</v>
      </c>
      <c r="H235" s="212">
        <f t="shared" ref="H235:H237" si="37">E235*G235</f>
        <v>1.5622425000000002</v>
      </c>
    </row>
    <row r="236" spans="1:9">
      <c r="A236" s="207" t="s">
        <v>662</v>
      </c>
      <c r="B236" s="199" t="s">
        <v>843</v>
      </c>
      <c r="C236" s="199" t="s">
        <v>227</v>
      </c>
      <c r="E236" s="199">
        <v>1</v>
      </c>
      <c r="G236" s="212">
        <f>VLOOKUP(B236,BD_Prod!$A$6:$O$104,15,0)</f>
        <v>2.2050000000000001</v>
      </c>
      <c r="H236" s="212">
        <f t="shared" si="37"/>
        <v>2.2050000000000001</v>
      </c>
    </row>
    <row r="237" spans="1:9">
      <c r="A237" s="207" t="s">
        <v>662</v>
      </c>
      <c r="B237" s="199" t="s">
        <v>688</v>
      </c>
      <c r="C237" s="199" t="s">
        <v>1</v>
      </c>
      <c r="D237" s="199" t="s">
        <v>5</v>
      </c>
      <c r="E237" s="199">
        <v>0.5</v>
      </c>
      <c r="F237" s="212">
        <f>VLOOKUP(B237,BD_Prod!$A$1:$O$104,15,0)</f>
        <v>21.021161699999997</v>
      </c>
      <c r="G237" s="212"/>
      <c r="H237" s="212">
        <f>E237*F237</f>
        <v>10.510580849999998</v>
      </c>
    </row>
    <row r="238" spans="1:9" s="201" customFormat="1" ht="15">
      <c r="A238" s="201" t="s">
        <v>132</v>
      </c>
      <c r="C238" s="201" t="s">
        <v>94</v>
      </c>
      <c r="D238" s="201" t="s">
        <v>39</v>
      </c>
      <c r="E238" s="586">
        <f>E245</f>
        <v>0.8</v>
      </c>
      <c r="F238" s="586">
        <f>F245</f>
        <v>21.021161699999997</v>
      </c>
      <c r="G238" s="219">
        <f>SUM(H239:H244)</f>
        <v>12.055342788461541</v>
      </c>
      <c r="H238" s="219">
        <f>SUM(H239:H245)*FDF</f>
        <v>30.315885755884619</v>
      </c>
      <c r="I238" s="219">
        <f>H238*BENEF</f>
        <v>39.410651482650003</v>
      </c>
    </row>
    <row r="239" spans="1:9">
      <c r="A239" s="207" t="s">
        <v>132</v>
      </c>
      <c r="B239" s="199" t="s">
        <v>565</v>
      </c>
      <c r="C239" s="199" t="s">
        <v>201</v>
      </c>
      <c r="D239" s="199" t="s">
        <v>31</v>
      </c>
      <c r="E239" s="199">
        <v>1</v>
      </c>
      <c r="G239" s="212">
        <f>VLOOKUP(B239,BD_Prod!$A$6:$O$104,15,0)</f>
        <v>1.6813125000000002</v>
      </c>
      <c r="H239" s="212">
        <f>E239*G239</f>
        <v>1.6813125000000002</v>
      </c>
    </row>
    <row r="240" spans="1:9">
      <c r="A240" s="207" t="s">
        <v>132</v>
      </c>
      <c r="B240" s="199" t="s">
        <v>686</v>
      </c>
      <c r="C240" s="199" t="s">
        <v>200</v>
      </c>
      <c r="D240" s="199" t="s">
        <v>31</v>
      </c>
      <c r="E240" s="199">
        <v>1</v>
      </c>
      <c r="G240" s="212">
        <f>VLOOKUP(B240,BD_Prod!$A$6:$O$104,15,0)</f>
        <v>1.1668125000000003</v>
      </c>
      <c r="H240" s="212">
        <f t="shared" ref="H240:H245" si="38">E240*G240</f>
        <v>1.1668125000000003</v>
      </c>
    </row>
    <row r="241" spans="1:9">
      <c r="A241" s="207" t="s">
        <v>132</v>
      </c>
      <c r="B241" s="199" t="s">
        <v>564</v>
      </c>
      <c r="C241" s="199" t="s">
        <v>54</v>
      </c>
      <c r="D241" s="199" t="s">
        <v>39</v>
      </c>
      <c r="E241" s="199">
        <v>1</v>
      </c>
      <c r="G241" s="212">
        <f>VLOOKUP(B241,BD_Prod!$A$6:$O$104,15,0)</f>
        <v>6.2828365384615399</v>
      </c>
      <c r="H241" s="212">
        <f t="shared" si="38"/>
        <v>6.2828365384615399</v>
      </c>
    </row>
    <row r="242" spans="1:9">
      <c r="A242" s="207" t="s">
        <v>132</v>
      </c>
      <c r="B242" s="199" t="s">
        <v>567</v>
      </c>
      <c r="C242" s="199" t="s">
        <v>197</v>
      </c>
      <c r="D242" s="199" t="s">
        <v>31</v>
      </c>
      <c r="E242" s="199">
        <v>1</v>
      </c>
      <c r="G242" s="212">
        <f>VLOOKUP(B242,BD_Prod!$A$6:$O$104,15,0)</f>
        <v>0.33075000000000004</v>
      </c>
      <c r="H242" s="212">
        <f t="shared" si="38"/>
        <v>0.33075000000000004</v>
      </c>
    </row>
    <row r="243" spans="1:9">
      <c r="A243" s="207" t="s">
        <v>132</v>
      </c>
      <c r="B243" s="199" t="s">
        <v>566</v>
      </c>
      <c r="C243" s="199" t="s">
        <v>193</v>
      </c>
      <c r="D243" s="199" t="s">
        <v>36</v>
      </c>
      <c r="E243" s="199">
        <v>0.5</v>
      </c>
      <c r="G243" s="212">
        <f>VLOOKUP(B243,BD_Prod!$A$6:$O$104,15,0)</f>
        <v>0.77726249999999997</v>
      </c>
      <c r="H243" s="212">
        <f t="shared" si="38"/>
        <v>0.38863124999999998</v>
      </c>
    </row>
    <row r="244" spans="1:9">
      <c r="A244" s="207" t="s">
        <v>132</v>
      </c>
      <c r="B244" s="199" t="s">
        <v>843</v>
      </c>
      <c r="C244" s="199" t="s">
        <v>227</v>
      </c>
      <c r="E244" s="199">
        <v>1</v>
      </c>
      <c r="G244" s="212">
        <f>VLOOKUP(B244,BD_Prod!$A$6:$O$104,15,0)</f>
        <v>2.2050000000000001</v>
      </c>
      <c r="H244" s="212">
        <f t="shared" si="38"/>
        <v>2.2050000000000001</v>
      </c>
    </row>
    <row r="245" spans="1:9">
      <c r="A245" s="207" t="s">
        <v>132</v>
      </c>
      <c r="B245" s="199" t="s">
        <v>688</v>
      </c>
      <c r="C245" s="199" t="s">
        <v>1</v>
      </c>
      <c r="D245" s="199" t="s">
        <v>5</v>
      </c>
      <c r="E245" s="199">
        <v>0.8</v>
      </c>
      <c r="F245" s="212">
        <f>VLOOKUP(B245,BD_Prod!$A$1:$O$104,15,0)</f>
        <v>21.021161699999997</v>
      </c>
      <c r="G245" s="212"/>
      <c r="H245" s="212">
        <f>E245*F245</f>
        <v>16.81692936</v>
      </c>
    </row>
    <row r="246" spans="1:9" s="201" customFormat="1" ht="15">
      <c r="A246" s="201" t="s">
        <v>633</v>
      </c>
      <c r="C246" s="201" t="s">
        <v>367</v>
      </c>
      <c r="D246" s="201" t="s">
        <v>39</v>
      </c>
      <c r="E246" s="586">
        <f>E247</f>
        <v>1</v>
      </c>
      <c r="F246" s="586">
        <f>F247</f>
        <v>0</v>
      </c>
      <c r="G246" s="219">
        <f>SUM(H247)</f>
        <v>214.98750000000001</v>
      </c>
      <c r="H246" s="219">
        <f>SUM(H247)*FDF</f>
        <v>225.73687500000003</v>
      </c>
      <c r="I246" s="219">
        <f>H246*BENEF</f>
        <v>293.45793750000007</v>
      </c>
    </row>
    <row r="247" spans="1:9">
      <c r="A247" s="207" t="s">
        <v>633</v>
      </c>
      <c r="B247" s="199" t="s">
        <v>684</v>
      </c>
      <c r="C247" s="199" t="s">
        <v>366</v>
      </c>
      <c r="D247" s="199" t="s">
        <v>22</v>
      </c>
      <c r="E247" s="199">
        <v>1</v>
      </c>
      <c r="G247" s="212">
        <f>VLOOKUP(B247,BD_Prod!$A$6:$O$104,15,0)</f>
        <v>214.98750000000001</v>
      </c>
      <c r="H247" s="212">
        <f>E247*G247</f>
        <v>214.98750000000001</v>
      </c>
    </row>
    <row r="248" spans="1:9" s="201" customFormat="1" ht="15">
      <c r="A248" s="201" t="s">
        <v>633</v>
      </c>
      <c r="B248" s="201" t="s">
        <v>663</v>
      </c>
      <c r="C248" s="201" t="s">
        <v>107</v>
      </c>
      <c r="D248" s="201" t="s">
        <v>39</v>
      </c>
      <c r="E248" s="586">
        <f>E250</f>
        <v>0.3</v>
      </c>
      <c r="F248" s="586">
        <f>F250</f>
        <v>21.021161699999997</v>
      </c>
      <c r="G248" s="219">
        <f>SUM(H249)</f>
        <v>14.887070783132533</v>
      </c>
      <c r="H248" s="219">
        <f>SUM(H249:H250)*FDF</f>
        <v>22.253090257789161</v>
      </c>
      <c r="I248" s="219">
        <f>H248*BENEF</f>
        <v>28.929017335125909</v>
      </c>
    </row>
    <row r="249" spans="1:9">
      <c r="A249" s="207" t="s">
        <v>633</v>
      </c>
      <c r="B249" s="199" t="s">
        <v>687</v>
      </c>
      <c r="C249" s="199" t="s">
        <v>100</v>
      </c>
      <c r="D249" s="199" t="s">
        <v>39</v>
      </c>
      <c r="E249" s="199">
        <v>1</v>
      </c>
      <c r="G249" s="212">
        <f>VLOOKUP(B249,BD_Prod!$A$6:$O$104,15,0)</f>
        <v>14.887070783132533</v>
      </c>
      <c r="H249" s="212">
        <f>E249*G249</f>
        <v>14.887070783132533</v>
      </c>
    </row>
    <row r="250" spans="1:9">
      <c r="A250" s="207" t="s">
        <v>633</v>
      </c>
      <c r="B250" s="199" t="s">
        <v>688</v>
      </c>
      <c r="C250" s="199" t="s">
        <v>1</v>
      </c>
      <c r="D250" s="199" t="s">
        <v>5</v>
      </c>
      <c r="E250" s="199">
        <v>0.3</v>
      </c>
      <c r="F250" s="212">
        <f>VLOOKUP(B250,BD_Prod!$A$1:$O$104,15,0)</f>
        <v>21.021161699999997</v>
      </c>
      <c r="G250" s="212"/>
      <c r="H250" s="212">
        <f>E250*F250</f>
        <v>6.3063485099999985</v>
      </c>
    </row>
    <row r="251" spans="1:9" s="201" customFormat="1" ht="15">
      <c r="A251" s="201" t="s">
        <v>664</v>
      </c>
      <c r="C251" s="201" t="s">
        <v>370</v>
      </c>
      <c r="D251" s="201" t="s">
        <v>39</v>
      </c>
      <c r="E251" s="586">
        <f>E255</f>
        <v>1.25</v>
      </c>
      <c r="F251" s="586">
        <f>F255</f>
        <v>21.021161699999997</v>
      </c>
      <c r="G251" s="219">
        <f>SUM(H252:H254)</f>
        <v>22.195897500000001</v>
      </c>
      <c r="H251" s="219">
        <f>SUM(H252:H255)*FDF</f>
        <v>50.895967106249998</v>
      </c>
      <c r="I251" s="219">
        <f>H251*BENEF</f>
        <v>66.164757238125006</v>
      </c>
    </row>
    <row r="252" spans="1:9">
      <c r="A252" s="207" t="s">
        <v>664</v>
      </c>
      <c r="B252" s="199" t="s">
        <v>560</v>
      </c>
      <c r="C252" s="199" t="s">
        <v>35</v>
      </c>
      <c r="D252" s="199" t="s">
        <v>36</v>
      </c>
      <c r="E252" s="199">
        <v>1.4</v>
      </c>
      <c r="G252" s="212">
        <f>VLOOKUP(B252,BD_Prod!$A$6:$O$104,15,0)</f>
        <v>11.449462500000001</v>
      </c>
      <c r="H252" s="212">
        <f>E252*G252</f>
        <v>16.0292475</v>
      </c>
    </row>
    <row r="253" spans="1:9" ht="15">
      <c r="A253" s="207" t="s">
        <v>664</v>
      </c>
      <c r="B253" s="199" t="s">
        <v>598</v>
      </c>
      <c r="C253" s="199" t="s">
        <v>746</v>
      </c>
      <c r="D253" s="199" t="s">
        <v>39</v>
      </c>
      <c r="E253" s="199">
        <v>1</v>
      </c>
      <c r="G253" s="212">
        <f>VLOOKUP(B253,BD_Prod!$A$6:$O$104,15,0)</f>
        <v>3.9616500000000001</v>
      </c>
      <c r="H253" s="212">
        <f t="shared" ref="H253:H255" si="39">E253*G253</f>
        <v>3.9616500000000001</v>
      </c>
      <c r="I253" s="240"/>
    </row>
    <row r="254" spans="1:9">
      <c r="A254" s="207" t="s">
        <v>664</v>
      </c>
      <c r="B254" s="199" t="s">
        <v>843</v>
      </c>
      <c r="C254" s="199" t="s">
        <v>227</v>
      </c>
      <c r="E254" s="199">
        <v>1</v>
      </c>
      <c r="G254" s="212">
        <f>VLOOKUP(B254,BD_Prod!$A$6:$O$104,15,0)</f>
        <v>2.2050000000000001</v>
      </c>
      <c r="H254" s="212">
        <f t="shared" si="39"/>
        <v>2.2050000000000001</v>
      </c>
    </row>
    <row r="255" spans="1:9">
      <c r="A255" s="207" t="s">
        <v>664</v>
      </c>
      <c r="B255" s="199" t="s">
        <v>688</v>
      </c>
      <c r="C255" s="199" t="s">
        <v>1</v>
      </c>
      <c r="D255" s="199" t="s">
        <v>5</v>
      </c>
      <c r="E255" s="199">
        <v>1.25</v>
      </c>
      <c r="F255" s="212">
        <f>VLOOKUP(B255,BD_Prod!$A$1:$O$104,15,0)</f>
        <v>21.021161699999997</v>
      </c>
      <c r="G255" s="212"/>
      <c r="H255" s="212">
        <f>E255*F255</f>
        <v>26.276452124999995</v>
      </c>
    </row>
    <row r="256" spans="1:9" s="201" customFormat="1" ht="15">
      <c r="A256" s="201" t="s">
        <v>137</v>
      </c>
      <c r="C256" s="201" t="s">
        <v>338</v>
      </c>
      <c r="D256" s="201" t="s">
        <v>180</v>
      </c>
      <c r="E256" s="586">
        <f>E262</f>
        <v>4.5</v>
      </c>
      <c r="F256" s="586">
        <f>F262</f>
        <v>21.021161699999997</v>
      </c>
      <c r="G256" s="219">
        <f>SUM(H257:H261)</f>
        <v>284.66550000000001</v>
      </c>
      <c r="H256" s="219">
        <f>SUM(H257:H262)*FDF</f>
        <v>398.22376403250001</v>
      </c>
      <c r="I256" s="219">
        <f>H256*BENEF</f>
        <v>517.69089324225001</v>
      </c>
    </row>
    <row r="257" spans="1:9">
      <c r="A257" s="207" t="s">
        <v>137</v>
      </c>
      <c r="B257" s="199" t="s">
        <v>575</v>
      </c>
      <c r="C257" s="199" t="s">
        <v>318</v>
      </c>
      <c r="D257" s="199" t="s">
        <v>0</v>
      </c>
      <c r="E257" s="199">
        <v>1</v>
      </c>
      <c r="G257" s="212">
        <f>VLOOKUP(B257,BD_Prod!$A$6:$O$104,15,0)</f>
        <v>192.9375</v>
      </c>
      <c r="H257" s="212">
        <f>E257*G257</f>
        <v>192.9375</v>
      </c>
    </row>
    <row r="258" spans="1:9">
      <c r="A258" s="207" t="s">
        <v>137</v>
      </c>
      <c r="B258" s="199" t="s">
        <v>583</v>
      </c>
      <c r="C258" s="199" t="s">
        <v>326</v>
      </c>
      <c r="D258" s="199" t="s">
        <v>0</v>
      </c>
      <c r="E258" s="199">
        <v>1</v>
      </c>
      <c r="G258" s="212">
        <f>VLOOKUP(B258,BD_Prod!$A$6:$O$104,15,0)</f>
        <v>44.1</v>
      </c>
      <c r="H258" s="212">
        <f t="shared" ref="H258:H262" si="40">E258*G258</f>
        <v>44.1</v>
      </c>
    </row>
    <row r="259" spans="1:9">
      <c r="A259" s="207" t="s">
        <v>137</v>
      </c>
      <c r="B259" s="199" t="s">
        <v>586</v>
      </c>
      <c r="C259" s="199" t="s">
        <v>339</v>
      </c>
      <c r="D259" s="199" t="s">
        <v>164</v>
      </c>
      <c r="E259" s="199">
        <v>1</v>
      </c>
      <c r="G259" s="212">
        <f>VLOOKUP(B259,BD_Prod!$A$6:$O$104,15,0)</f>
        <v>36.3825</v>
      </c>
      <c r="H259" s="212">
        <f t="shared" si="40"/>
        <v>36.3825</v>
      </c>
    </row>
    <row r="260" spans="1:9">
      <c r="A260" s="207" t="s">
        <v>137</v>
      </c>
      <c r="B260" s="199" t="s">
        <v>590</v>
      </c>
      <c r="C260" s="199" t="s">
        <v>340</v>
      </c>
      <c r="D260" s="199" t="s">
        <v>31</v>
      </c>
      <c r="E260" s="199">
        <v>3</v>
      </c>
      <c r="G260" s="212">
        <f>VLOOKUP(B260,BD_Prod!$A$6:$O$104,15,0)</f>
        <v>2.9216250000000001</v>
      </c>
      <c r="H260" s="212">
        <f t="shared" si="40"/>
        <v>8.764875</v>
      </c>
    </row>
    <row r="261" spans="1:9">
      <c r="A261" s="207" t="s">
        <v>137</v>
      </c>
      <c r="B261" s="199" t="s">
        <v>593</v>
      </c>
      <c r="C261" s="199" t="s">
        <v>336</v>
      </c>
      <c r="D261" s="199" t="s">
        <v>164</v>
      </c>
      <c r="E261" s="199">
        <v>1</v>
      </c>
      <c r="G261" s="212">
        <f>VLOOKUP(B261,BD_Prod!$A$6:$O$104,15,0)</f>
        <v>2.4806250000000003</v>
      </c>
      <c r="H261" s="212">
        <f t="shared" si="40"/>
        <v>2.4806250000000003</v>
      </c>
    </row>
    <row r="262" spans="1:9">
      <c r="A262" s="207" t="s">
        <v>137</v>
      </c>
      <c r="B262" s="199" t="s">
        <v>688</v>
      </c>
      <c r="C262" s="199" t="s">
        <v>1</v>
      </c>
      <c r="D262" s="199" t="s">
        <v>5</v>
      </c>
      <c r="E262" s="199">
        <v>4.5</v>
      </c>
      <c r="F262" s="212">
        <f>VLOOKUP(B262,BD_Prod!$A$1:$O$104,15,0)</f>
        <v>21.021161699999997</v>
      </c>
      <c r="G262" s="212"/>
      <c r="H262" s="212">
        <f>E262*F262</f>
        <v>94.595227649999984</v>
      </c>
    </row>
    <row r="263" spans="1:9" s="201" customFormat="1" ht="15">
      <c r="A263" s="201" t="s">
        <v>665</v>
      </c>
      <c r="C263" s="201" t="s">
        <v>341</v>
      </c>
      <c r="D263" s="201" t="s">
        <v>180</v>
      </c>
      <c r="E263" s="586">
        <f>E269</f>
        <v>4.5</v>
      </c>
      <c r="F263" s="586">
        <f>F269</f>
        <v>21.021161699999997</v>
      </c>
      <c r="G263" s="219">
        <f>SUM(H264:H268)</f>
        <v>308.69999999999993</v>
      </c>
      <c r="H263" s="219">
        <f>SUM(H264:H269)*FDF</f>
        <v>423.45998903249989</v>
      </c>
      <c r="I263" s="219">
        <f>H263*BENEF</f>
        <v>550.49798574224985</v>
      </c>
    </row>
    <row r="264" spans="1:9">
      <c r="A264" s="207" t="s">
        <v>665</v>
      </c>
      <c r="B264" s="199" t="s">
        <v>576</v>
      </c>
      <c r="C264" s="199" t="s">
        <v>352</v>
      </c>
      <c r="D264" s="199" t="s">
        <v>0</v>
      </c>
      <c r="E264" s="199">
        <v>1</v>
      </c>
      <c r="G264" s="212">
        <f>VLOOKUP(B264,BD_Prod!$A$6:$O$104,15,0)</f>
        <v>203.96250000000001</v>
      </c>
      <c r="H264" s="212">
        <f>E264*G264</f>
        <v>203.96250000000001</v>
      </c>
    </row>
    <row r="265" spans="1:9">
      <c r="A265" s="207" t="s">
        <v>665</v>
      </c>
      <c r="B265" s="199" t="s">
        <v>581</v>
      </c>
      <c r="C265" s="199" t="s">
        <v>351</v>
      </c>
      <c r="D265" s="199" t="s">
        <v>0</v>
      </c>
      <c r="E265" s="199">
        <v>1</v>
      </c>
      <c r="G265" s="212">
        <f>VLOOKUP(B265,BD_Prod!$A$6:$O$104,15,0)</f>
        <v>55.125</v>
      </c>
      <c r="H265" s="212">
        <f t="shared" ref="H265:H269" si="41">E265*G265</f>
        <v>55.125</v>
      </c>
    </row>
    <row r="266" spans="1:9">
      <c r="A266" s="207" t="s">
        <v>665</v>
      </c>
      <c r="B266" s="199" t="s">
        <v>586</v>
      </c>
      <c r="C266" s="199" t="s">
        <v>339</v>
      </c>
      <c r="D266" s="199" t="s">
        <v>164</v>
      </c>
      <c r="E266" s="199">
        <v>1</v>
      </c>
      <c r="G266" s="212">
        <f>VLOOKUP(B266,BD_Prod!$A$6:$O$104,15,0)</f>
        <v>36.3825</v>
      </c>
      <c r="H266" s="212">
        <f t="shared" si="41"/>
        <v>36.3825</v>
      </c>
    </row>
    <row r="267" spans="1:9">
      <c r="A267" s="207" t="s">
        <v>665</v>
      </c>
      <c r="B267" s="199" t="s">
        <v>591</v>
      </c>
      <c r="C267" s="199" t="s">
        <v>355</v>
      </c>
      <c r="D267" s="199" t="s">
        <v>31</v>
      </c>
      <c r="E267" s="199">
        <v>3</v>
      </c>
      <c r="G267" s="212">
        <f>VLOOKUP(B267,BD_Prod!$A$6:$O$104,15,0)</f>
        <v>3.5831250000000003</v>
      </c>
      <c r="H267" s="212">
        <f t="shared" si="41"/>
        <v>10.749375000000001</v>
      </c>
    </row>
    <row r="268" spans="1:9">
      <c r="A268" s="207" t="s">
        <v>665</v>
      </c>
      <c r="B268" s="199" t="s">
        <v>593</v>
      </c>
      <c r="C268" s="199" t="s">
        <v>336</v>
      </c>
      <c r="D268" s="199" t="s">
        <v>164</v>
      </c>
      <c r="E268" s="199">
        <v>1</v>
      </c>
      <c r="G268" s="212">
        <f>VLOOKUP(B268,BD_Prod!$A$6:$O$104,15,0)</f>
        <v>2.4806250000000003</v>
      </c>
      <c r="H268" s="212">
        <f t="shared" si="41"/>
        <v>2.4806250000000003</v>
      </c>
    </row>
    <row r="269" spans="1:9">
      <c r="A269" s="207" t="s">
        <v>665</v>
      </c>
      <c r="B269" s="199" t="s">
        <v>688</v>
      </c>
      <c r="C269" s="199" t="s">
        <v>1</v>
      </c>
      <c r="D269" s="199" t="s">
        <v>5</v>
      </c>
      <c r="E269" s="199">
        <v>4.5</v>
      </c>
      <c r="F269" s="212">
        <f>VLOOKUP(B269,BD_Prod!$A$1:$O$104,15,0)</f>
        <v>21.021161699999997</v>
      </c>
      <c r="G269" s="212"/>
      <c r="H269" s="212">
        <f>E269*F269</f>
        <v>94.595227649999984</v>
      </c>
    </row>
    <row r="270" spans="1:9" s="201" customFormat="1" ht="15">
      <c r="A270" s="201" t="s">
        <v>666</v>
      </c>
      <c r="C270" s="201" t="s">
        <v>342</v>
      </c>
      <c r="D270" s="201" t="s">
        <v>180</v>
      </c>
      <c r="E270" s="586">
        <f>E276</f>
        <v>3</v>
      </c>
      <c r="F270" s="586">
        <f>F276</f>
        <v>21.021161699999997</v>
      </c>
      <c r="G270" s="219">
        <f>SUM(H271:H275)</f>
        <v>242.54999999999998</v>
      </c>
      <c r="H270" s="219">
        <f>SUM(H271:H276)*FDF</f>
        <v>320.894159355</v>
      </c>
      <c r="I270" s="219">
        <f>H270*BENEF</f>
        <v>417.16240716150003</v>
      </c>
    </row>
    <row r="271" spans="1:9">
      <c r="A271" s="207" t="s">
        <v>666</v>
      </c>
      <c r="B271" s="199" t="s">
        <v>579</v>
      </c>
      <c r="C271" s="199" t="s">
        <v>353</v>
      </c>
      <c r="D271" s="199" t="s">
        <v>0</v>
      </c>
      <c r="E271" s="199">
        <v>1</v>
      </c>
      <c r="G271" s="212">
        <f>VLOOKUP(B271,BD_Prod!$A$6:$O$104,15,0)</f>
        <v>137.8125</v>
      </c>
      <c r="H271" s="212">
        <f>E271*G271</f>
        <v>137.8125</v>
      </c>
    </row>
    <row r="272" spans="1:9">
      <c r="A272" s="207" t="s">
        <v>666</v>
      </c>
      <c r="B272" s="199" t="s">
        <v>581</v>
      </c>
      <c r="C272" s="199" t="s">
        <v>351</v>
      </c>
      <c r="D272" s="199" t="s">
        <v>0</v>
      </c>
      <c r="E272" s="199">
        <v>1</v>
      </c>
      <c r="G272" s="212">
        <f>VLOOKUP(B272,BD_Prod!$A$6:$O$104,15,0)</f>
        <v>55.125</v>
      </c>
      <c r="H272" s="212">
        <f t="shared" ref="H272:H276" si="42">E272*G272</f>
        <v>55.125</v>
      </c>
    </row>
    <row r="273" spans="1:9">
      <c r="A273" s="207" t="s">
        <v>666</v>
      </c>
      <c r="B273" s="199" t="s">
        <v>586</v>
      </c>
      <c r="C273" s="199" t="s">
        <v>339</v>
      </c>
      <c r="D273" s="199" t="s">
        <v>164</v>
      </c>
      <c r="E273" s="199">
        <v>1</v>
      </c>
      <c r="G273" s="212">
        <f>VLOOKUP(B273,BD_Prod!$A$6:$O$104,15,0)</f>
        <v>36.3825</v>
      </c>
      <c r="H273" s="212">
        <f t="shared" si="42"/>
        <v>36.3825</v>
      </c>
    </row>
    <row r="274" spans="1:9">
      <c r="A274" s="207" t="s">
        <v>666</v>
      </c>
      <c r="B274" s="199" t="s">
        <v>591</v>
      </c>
      <c r="C274" s="199" t="s">
        <v>355</v>
      </c>
      <c r="D274" s="199" t="s">
        <v>31</v>
      </c>
      <c r="E274" s="199">
        <v>3</v>
      </c>
      <c r="G274" s="212">
        <f>VLOOKUP(B274,BD_Prod!$A$6:$O$104,15,0)</f>
        <v>3.5831250000000003</v>
      </c>
      <c r="H274" s="212">
        <f t="shared" si="42"/>
        <v>10.749375000000001</v>
      </c>
    </row>
    <row r="275" spans="1:9">
      <c r="A275" s="207" t="s">
        <v>666</v>
      </c>
      <c r="B275" s="199" t="s">
        <v>593</v>
      </c>
      <c r="C275" s="199" t="s">
        <v>336</v>
      </c>
      <c r="D275" s="199" t="s">
        <v>164</v>
      </c>
      <c r="E275" s="199">
        <v>1</v>
      </c>
      <c r="G275" s="212">
        <f>VLOOKUP(B275,BD_Prod!$A$6:$O$104,15,0)</f>
        <v>2.4806250000000003</v>
      </c>
      <c r="H275" s="212">
        <f t="shared" si="42"/>
        <v>2.4806250000000003</v>
      </c>
    </row>
    <row r="276" spans="1:9">
      <c r="A276" s="207" t="s">
        <v>666</v>
      </c>
      <c r="B276" s="199" t="s">
        <v>688</v>
      </c>
      <c r="C276" s="199" t="s">
        <v>1</v>
      </c>
      <c r="D276" s="199" t="s">
        <v>5</v>
      </c>
      <c r="E276" s="199">
        <v>3</v>
      </c>
      <c r="F276" s="212">
        <f>VLOOKUP(B276,BD_Prod!$A$1:$O$104,15,0)</f>
        <v>21.021161699999997</v>
      </c>
      <c r="G276" s="212"/>
      <c r="H276" s="212">
        <f>E276*F276</f>
        <v>63.063485099999994</v>
      </c>
    </row>
    <row r="277" spans="1:9" s="201" customFormat="1" ht="15">
      <c r="A277" s="201" t="s">
        <v>667</v>
      </c>
      <c r="C277" s="201" t="s">
        <v>343</v>
      </c>
      <c r="D277" s="201" t="s">
        <v>180</v>
      </c>
      <c r="E277" s="586">
        <f>E283</f>
        <v>4.5</v>
      </c>
      <c r="F277" s="586">
        <f>F283</f>
        <v>21.021161699999997</v>
      </c>
      <c r="G277" s="219">
        <f>SUM(H278:H282)</f>
        <v>352.79999999999995</v>
      </c>
      <c r="H277" s="219">
        <f>SUM(H278:H283)*FDF</f>
        <v>469.76498903249995</v>
      </c>
      <c r="I277" s="219">
        <f>H277*BENEF</f>
        <v>610.69448574224998</v>
      </c>
    </row>
    <row r="278" spans="1:9">
      <c r="A278" s="207" t="s">
        <v>667</v>
      </c>
      <c r="B278" s="199" t="s">
        <v>574</v>
      </c>
      <c r="C278" s="199" t="s">
        <v>354</v>
      </c>
      <c r="D278" s="199" t="s">
        <v>0</v>
      </c>
      <c r="E278" s="199">
        <v>1</v>
      </c>
      <c r="G278" s="212">
        <f>VLOOKUP(B278,BD_Prod!$A$6:$O$104,15,0)</f>
        <v>248.0625</v>
      </c>
      <c r="H278" s="212">
        <f>E278*G278</f>
        <v>248.0625</v>
      </c>
    </row>
    <row r="279" spans="1:9">
      <c r="A279" s="207" t="s">
        <v>667</v>
      </c>
      <c r="B279" s="199" t="s">
        <v>582</v>
      </c>
      <c r="C279" s="199" t="s">
        <v>351</v>
      </c>
      <c r="D279" s="199" t="s">
        <v>0</v>
      </c>
      <c r="E279" s="199">
        <v>1</v>
      </c>
      <c r="G279" s="212">
        <f>VLOOKUP(B279,BD_Prod!$A$6:$O$104,15,0)</f>
        <v>55.125</v>
      </c>
      <c r="H279" s="212">
        <f t="shared" ref="H279:H283" si="43">E279*G279</f>
        <v>55.125</v>
      </c>
    </row>
    <row r="280" spans="1:9">
      <c r="A280" s="207" t="s">
        <v>667</v>
      </c>
      <c r="B280" s="199" t="s">
        <v>586</v>
      </c>
      <c r="C280" s="199" t="s">
        <v>339</v>
      </c>
      <c r="D280" s="199" t="s">
        <v>164</v>
      </c>
      <c r="E280" s="199">
        <v>1</v>
      </c>
      <c r="G280" s="212">
        <f>VLOOKUP(B280,BD_Prod!$A$6:$O$104,15,0)</f>
        <v>36.3825</v>
      </c>
      <c r="H280" s="212">
        <f t="shared" si="43"/>
        <v>36.3825</v>
      </c>
    </row>
    <row r="281" spans="1:9">
      <c r="A281" s="207" t="s">
        <v>667</v>
      </c>
      <c r="B281" s="199" t="s">
        <v>591</v>
      </c>
      <c r="C281" s="199" t="s">
        <v>355</v>
      </c>
      <c r="D281" s="199" t="s">
        <v>31</v>
      </c>
      <c r="E281" s="199">
        <v>3</v>
      </c>
      <c r="G281" s="212">
        <f>VLOOKUP(B281,BD_Prod!$A$6:$O$104,15,0)</f>
        <v>3.5831250000000003</v>
      </c>
      <c r="H281" s="212">
        <f t="shared" si="43"/>
        <v>10.749375000000001</v>
      </c>
    </row>
    <row r="282" spans="1:9">
      <c r="A282" s="207" t="s">
        <v>667</v>
      </c>
      <c r="B282" s="199" t="s">
        <v>593</v>
      </c>
      <c r="C282" s="199" t="s">
        <v>336</v>
      </c>
      <c r="D282" s="199" t="s">
        <v>164</v>
      </c>
      <c r="E282" s="199">
        <v>1</v>
      </c>
      <c r="G282" s="212">
        <f>VLOOKUP(B282,BD_Prod!$A$6:$O$104,15,0)</f>
        <v>2.4806250000000003</v>
      </c>
      <c r="H282" s="212">
        <f t="shared" si="43"/>
        <v>2.4806250000000003</v>
      </c>
    </row>
    <row r="283" spans="1:9">
      <c r="A283" s="207" t="s">
        <v>667</v>
      </c>
      <c r="B283" s="199" t="s">
        <v>688</v>
      </c>
      <c r="C283" s="199" t="s">
        <v>1</v>
      </c>
      <c r="D283" s="199" t="s">
        <v>5</v>
      </c>
      <c r="E283" s="199">
        <v>4.5</v>
      </c>
      <c r="F283" s="212">
        <f>VLOOKUP(B283,BD_Prod!$A$1:$O$104,15,0)</f>
        <v>21.021161699999997</v>
      </c>
      <c r="G283" s="212"/>
      <c r="H283" s="212">
        <f>E283*F283</f>
        <v>94.595227649999984</v>
      </c>
    </row>
    <row r="284" spans="1:9" s="201" customFormat="1" ht="15">
      <c r="A284" s="201" t="s">
        <v>668</v>
      </c>
      <c r="C284" s="201" t="s">
        <v>344</v>
      </c>
      <c r="D284" s="201" t="s">
        <v>180</v>
      </c>
      <c r="E284" s="586">
        <f>E290</f>
        <v>3</v>
      </c>
      <c r="F284" s="586">
        <f>F290</f>
        <v>21.021161699999997</v>
      </c>
      <c r="G284" s="219">
        <f>SUM(H285:H289)</f>
        <v>297.67499999999995</v>
      </c>
      <c r="H284" s="219">
        <f>SUM(H285:H290)*FDF</f>
        <v>378.77540935499997</v>
      </c>
      <c r="I284" s="219">
        <f>H284*BENEF</f>
        <v>492.40803216149999</v>
      </c>
    </row>
    <row r="285" spans="1:9">
      <c r="A285" s="207" t="s">
        <v>668</v>
      </c>
      <c r="B285" s="199" t="s">
        <v>578</v>
      </c>
      <c r="C285" s="199" t="s">
        <v>325</v>
      </c>
      <c r="D285" s="199" t="s">
        <v>0</v>
      </c>
      <c r="E285" s="199">
        <v>1</v>
      </c>
      <c r="G285" s="212">
        <f>VLOOKUP(B285,BD_Prod!$A$6:$O$104,15,0)</f>
        <v>192.9375</v>
      </c>
      <c r="H285" s="212">
        <f>E285*G285</f>
        <v>192.9375</v>
      </c>
    </row>
    <row r="286" spans="1:9">
      <c r="A286" s="207" t="s">
        <v>668</v>
      </c>
      <c r="B286" s="199" t="s">
        <v>582</v>
      </c>
      <c r="C286" s="199" t="s">
        <v>706</v>
      </c>
      <c r="D286" s="199" t="s">
        <v>0</v>
      </c>
      <c r="E286" s="199">
        <v>1</v>
      </c>
      <c r="G286" s="212">
        <f>VLOOKUP(B286,BD_Prod!$A$6:$O$104,15,0)</f>
        <v>55.125</v>
      </c>
      <c r="H286" s="212">
        <f t="shared" ref="H286:H290" si="44">E286*G286</f>
        <v>55.125</v>
      </c>
    </row>
    <row r="287" spans="1:9">
      <c r="A287" s="207" t="s">
        <v>668</v>
      </c>
      <c r="B287" s="199" t="s">
        <v>586</v>
      </c>
      <c r="C287" s="199" t="s">
        <v>339</v>
      </c>
      <c r="D287" s="199" t="s">
        <v>164</v>
      </c>
      <c r="E287" s="199">
        <v>1</v>
      </c>
      <c r="G287" s="212">
        <f>VLOOKUP(B287,BD_Prod!$A$6:$O$104,15,0)</f>
        <v>36.3825</v>
      </c>
      <c r="H287" s="212">
        <f t="shared" si="44"/>
        <v>36.3825</v>
      </c>
    </row>
    <row r="288" spans="1:9">
      <c r="A288" s="207" t="s">
        <v>668</v>
      </c>
      <c r="B288" s="199" t="s">
        <v>591</v>
      </c>
      <c r="C288" s="199" t="s">
        <v>355</v>
      </c>
      <c r="D288" s="199" t="s">
        <v>31</v>
      </c>
      <c r="E288" s="199">
        <v>3</v>
      </c>
      <c r="G288" s="212">
        <f>VLOOKUP(B288,BD_Prod!$A$6:$O$104,15,0)</f>
        <v>3.5831250000000003</v>
      </c>
      <c r="H288" s="212">
        <f t="shared" si="44"/>
        <v>10.749375000000001</v>
      </c>
    </row>
    <row r="289" spans="1:9">
      <c r="A289" s="207" t="s">
        <v>668</v>
      </c>
      <c r="B289" s="199" t="s">
        <v>593</v>
      </c>
      <c r="C289" s="199" t="s">
        <v>336</v>
      </c>
      <c r="D289" s="199" t="s">
        <v>164</v>
      </c>
      <c r="E289" s="199">
        <v>1</v>
      </c>
      <c r="G289" s="212">
        <f>VLOOKUP(B289,BD_Prod!$A$6:$O$104,15,0)</f>
        <v>2.4806250000000003</v>
      </c>
      <c r="H289" s="212">
        <f t="shared" si="44"/>
        <v>2.4806250000000003</v>
      </c>
    </row>
    <row r="290" spans="1:9">
      <c r="A290" s="207" t="s">
        <v>668</v>
      </c>
      <c r="B290" s="199" t="s">
        <v>688</v>
      </c>
      <c r="C290" s="199" t="s">
        <v>1</v>
      </c>
      <c r="D290" s="199" t="s">
        <v>5</v>
      </c>
      <c r="E290" s="199">
        <v>3</v>
      </c>
      <c r="F290" s="212">
        <f>VLOOKUP(B290,BD_Prod!$A$1:$O$104,15,0)</f>
        <v>21.021161699999997</v>
      </c>
      <c r="G290" s="212"/>
      <c r="H290" s="212">
        <f>E290*F290</f>
        <v>63.063485099999994</v>
      </c>
    </row>
    <row r="291" spans="1:9" s="201" customFormat="1" ht="15">
      <c r="A291" s="201" t="s">
        <v>669</v>
      </c>
      <c r="C291" s="201" t="s">
        <v>345</v>
      </c>
      <c r="D291" s="201" t="s">
        <v>180</v>
      </c>
      <c r="E291" s="586">
        <f>E297</f>
        <v>3</v>
      </c>
      <c r="F291" s="586">
        <f>F297</f>
        <v>21.021161699999997</v>
      </c>
      <c r="G291" s="219">
        <f>SUM(H292:H296)</f>
        <v>242.54999999999998</v>
      </c>
      <c r="H291" s="219">
        <f>SUM(H292:H297)*FDF</f>
        <v>320.894159355</v>
      </c>
      <c r="I291" s="219">
        <f>H291*BENEF</f>
        <v>417.16240716150003</v>
      </c>
    </row>
    <row r="292" spans="1:9">
      <c r="A292" s="207" t="s">
        <v>669</v>
      </c>
      <c r="B292" s="199" t="s">
        <v>577</v>
      </c>
      <c r="C292" s="199" t="s">
        <v>319</v>
      </c>
      <c r="D292" s="199" t="s">
        <v>0</v>
      </c>
      <c r="E292" s="199">
        <v>1</v>
      </c>
      <c r="G292" s="212">
        <f>VLOOKUP(B292,BD_Prod!$A$6:$O$104,15,0)</f>
        <v>137.8125</v>
      </c>
      <c r="H292" s="212">
        <f>E292*G292</f>
        <v>137.8125</v>
      </c>
    </row>
    <row r="293" spans="1:9">
      <c r="A293" s="207" t="s">
        <v>669</v>
      </c>
      <c r="B293" s="199" t="s">
        <v>580</v>
      </c>
      <c r="C293" s="199" t="s">
        <v>351</v>
      </c>
      <c r="D293" s="199" t="s">
        <v>0</v>
      </c>
      <c r="E293" s="199">
        <v>1</v>
      </c>
      <c r="G293" s="212">
        <f>VLOOKUP(B293,BD_Prod!$A$6:$O$104,15,0)</f>
        <v>55.125</v>
      </c>
      <c r="H293" s="212">
        <f t="shared" ref="H293:H297" si="45">E293*G293</f>
        <v>55.125</v>
      </c>
    </row>
    <row r="294" spans="1:9">
      <c r="A294" s="207" t="s">
        <v>669</v>
      </c>
      <c r="B294" s="199" t="s">
        <v>586</v>
      </c>
      <c r="C294" s="199" t="s">
        <v>339</v>
      </c>
      <c r="D294" s="199" t="s">
        <v>164</v>
      </c>
      <c r="E294" s="199">
        <v>1</v>
      </c>
      <c r="G294" s="212">
        <f>VLOOKUP(B294,BD_Prod!$A$6:$O$104,15,0)</f>
        <v>36.3825</v>
      </c>
      <c r="H294" s="212">
        <f t="shared" si="45"/>
        <v>36.3825</v>
      </c>
    </row>
    <row r="295" spans="1:9">
      <c r="A295" s="207" t="s">
        <v>669</v>
      </c>
      <c r="B295" s="199" t="s">
        <v>591</v>
      </c>
      <c r="C295" s="199" t="s">
        <v>355</v>
      </c>
      <c r="D295" s="199" t="s">
        <v>31</v>
      </c>
      <c r="E295" s="199">
        <v>3</v>
      </c>
      <c r="G295" s="212">
        <f>VLOOKUP(B295,BD_Prod!$A$6:$O$104,15,0)</f>
        <v>3.5831250000000003</v>
      </c>
      <c r="H295" s="212">
        <f t="shared" si="45"/>
        <v>10.749375000000001</v>
      </c>
    </row>
    <row r="296" spans="1:9">
      <c r="A296" s="207" t="s">
        <v>669</v>
      </c>
      <c r="B296" s="199" t="s">
        <v>593</v>
      </c>
      <c r="C296" s="199" t="s">
        <v>336</v>
      </c>
      <c r="D296" s="199" t="s">
        <v>164</v>
      </c>
      <c r="E296" s="199">
        <v>1</v>
      </c>
      <c r="G296" s="212">
        <f>VLOOKUP(B296,BD_Prod!$A$6:$O$104,15,0)</f>
        <v>2.4806250000000003</v>
      </c>
      <c r="H296" s="212">
        <f t="shared" si="45"/>
        <v>2.4806250000000003</v>
      </c>
    </row>
    <row r="297" spans="1:9">
      <c r="A297" s="207" t="s">
        <v>669</v>
      </c>
      <c r="B297" s="199" t="s">
        <v>688</v>
      </c>
      <c r="C297" s="199" t="s">
        <v>1</v>
      </c>
      <c r="D297" s="199" t="s">
        <v>5</v>
      </c>
      <c r="E297" s="199">
        <v>3</v>
      </c>
      <c r="F297" s="212">
        <f>VLOOKUP(B297,BD_Prod!$A$1:$O$104,15,0)</f>
        <v>21.021161699999997</v>
      </c>
      <c r="G297" s="212"/>
      <c r="H297" s="212">
        <f>E297*F297</f>
        <v>63.063485099999994</v>
      </c>
    </row>
    <row r="298" spans="1:9" s="201" customFormat="1" ht="15">
      <c r="A298" s="201" t="s">
        <v>670</v>
      </c>
      <c r="C298" s="201" t="s">
        <v>346</v>
      </c>
      <c r="D298" s="201" t="s">
        <v>180</v>
      </c>
      <c r="E298" s="586">
        <f>E304</f>
        <v>4.5</v>
      </c>
      <c r="F298" s="586">
        <f>F304</f>
        <v>21.021161699999997</v>
      </c>
      <c r="G298" s="219">
        <f>SUM(H299:H303)</f>
        <v>115.25424750000001</v>
      </c>
      <c r="H298" s="219">
        <f>SUM(H299:H304)*FDF</f>
        <v>220.34194890750001</v>
      </c>
      <c r="I298" s="219">
        <f>H298*BENEF</f>
        <v>286.44453357975004</v>
      </c>
    </row>
    <row r="299" spans="1:9">
      <c r="A299" s="207" t="s">
        <v>670</v>
      </c>
      <c r="B299" s="199" t="s">
        <v>589</v>
      </c>
      <c r="C299" s="199" t="s">
        <v>356</v>
      </c>
      <c r="D299" s="199" t="s">
        <v>0</v>
      </c>
      <c r="E299" s="199">
        <v>1</v>
      </c>
      <c r="G299" s="212">
        <f>VLOOKUP(B299,BD_Prod!$A$6:$O$104,15,0)</f>
        <v>49.612500000000004</v>
      </c>
      <c r="H299" s="212">
        <f>E299*G299</f>
        <v>49.612500000000004</v>
      </c>
    </row>
    <row r="300" spans="1:9">
      <c r="A300" s="207" t="s">
        <v>670</v>
      </c>
      <c r="B300" s="199" t="s">
        <v>586</v>
      </c>
      <c r="C300" s="199" t="s">
        <v>339</v>
      </c>
      <c r="D300" s="199" t="s">
        <v>164</v>
      </c>
      <c r="E300" s="199">
        <v>1</v>
      </c>
      <c r="G300" s="212">
        <f>VLOOKUP(B300,BD_Prod!$A$6:$O$104,15,0)</f>
        <v>36.3825</v>
      </c>
      <c r="H300" s="212">
        <f t="shared" ref="H300:H304" si="46">E300*G300</f>
        <v>36.3825</v>
      </c>
    </row>
    <row r="301" spans="1:9">
      <c r="A301" s="207" t="s">
        <v>670</v>
      </c>
      <c r="B301" s="199" t="s">
        <v>591</v>
      </c>
      <c r="C301" s="199" t="s">
        <v>355</v>
      </c>
      <c r="D301" s="199" t="s">
        <v>31</v>
      </c>
      <c r="E301" s="199">
        <v>3</v>
      </c>
      <c r="G301" s="212">
        <f>VLOOKUP(B301,BD_Prod!$A$6:$O$104,15,0)</f>
        <v>3.5831250000000003</v>
      </c>
      <c r="H301" s="212">
        <f t="shared" si="46"/>
        <v>10.749375000000001</v>
      </c>
    </row>
    <row r="302" spans="1:9">
      <c r="A302" s="207" t="s">
        <v>670</v>
      </c>
      <c r="B302" s="199" t="s">
        <v>560</v>
      </c>
      <c r="C302" s="199" t="s">
        <v>35</v>
      </c>
      <c r="D302" s="199" t="s">
        <v>36</v>
      </c>
      <c r="E302" s="199">
        <v>1.4</v>
      </c>
      <c r="G302" s="212">
        <f>VLOOKUP(B302,BD_Prod!$A$6:$O$104,15,0)</f>
        <v>11.449462500000001</v>
      </c>
      <c r="H302" s="212">
        <f t="shared" si="46"/>
        <v>16.0292475</v>
      </c>
    </row>
    <row r="303" spans="1:9">
      <c r="A303" s="207" t="s">
        <v>670</v>
      </c>
      <c r="B303" s="199" t="s">
        <v>593</v>
      </c>
      <c r="C303" s="199" t="s">
        <v>336</v>
      </c>
      <c r="D303" s="199" t="s">
        <v>164</v>
      </c>
      <c r="E303" s="199">
        <v>1</v>
      </c>
      <c r="G303" s="212">
        <f>VLOOKUP(B303,BD_Prod!$A$6:$O$104,15,0)</f>
        <v>2.4806250000000003</v>
      </c>
      <c r="H303" s="212">
        <f t="shared" si="46"/>
        <v>2.4806250000000003</v>
      </c>
    </row>
    <row r="304" spans="1:9">
      <c r="A304" s="207" t="s">
        <v>670</v>
      </c>
      <c r="B304" s="199" t="s">
        <v>688</v>
      </c>
      <c r="C304" s="199" t="s">
        <v>1</v>
      </c>
      <c r="D304" s="199" t="s">
        <v>5</v>
      </c>
      <c r="E304" s="199">
        <v>4.5</v>
      </c>
      <c r="F304" s="212">
        <f>VLOOKUP(B304,BD_Prod!$A$1:$O$104,15,0)</f>
        <v>21.021161699999997</v>
      </c>
      <c r="G304" s="212"/>
      <c r="H304" s="212">
        <f>E304*F304</f>
        <v>94.595227649999984</v>
      </c>
    </row>
    <row r="305" spans="1:9" s="201" customFormat="1" ht="15">
      <c r="A305" s="201" t="s">
        <v>671</v>
      </c>
      <c r="C305" s="201" t="s">
        <v>627</v>
      </c>
      <c r="D305" s="201" t="s">
        <v>180</v>
      </c>
      <c r="E305" s="586">
        <f>E309</f>
        <v>1.5</v>
      </c>
      <c r="F305" s="586">
        <f>F309</f>
        <v>21.021161699999997</v>
      </c>
      <c r="G305" s="219">
        <f>SUM(H306:H308)</f>
        <v>82.963125000000005</v>
      </c>
      <c r="H305" s="219">
        <f>SUM(H306:H309)*FDF</f>
        <v>120.21961092750001</v>
      </c>
      <c r="I305" s="219">
        <f>H305*BENEF</f>
        <v>156.28549420575001</v>
      </c>
    </row>
    <row r="306" spans="1:9">
      <c r="A306" s="207" t="s">
        <v>671</v>
      </c>
      <c r="B306" s="199" t="s">
        <v>583</v>
      </c>
      <c r="C306" s="199" t="s">
        <v>357</v>
      </c>
      <c r="D306" s="199" t="s">
        <v>0</v>
      </c>
      <c r="E306" s="199">
        <v>1</v>
      </c>
      <c r="G306" s="212">
        <f>VLOOKUP(B306,BD_Prod!$A$6:$O$104,15,0)</f>
        <v>44.1</v>
      </c>
      <c r="H306" s="212">
        <f>E306*G306</f>
        <v>44.1</v>
      </c>
    </row>
    <row r="307" spans="1:9">
      <c r="A307" s="207" t="s">
        <v>671</v>
      </c>
      <c r="B307" s="199" t="s">
        <v>586</v>
      </c>
      <c r="C307" s="199" t="s">
        <v>339</v>
      </c>
      <c r="D307" s="199" t="s">
        <v>164</v>
      </c>
      <c r="E307" s="199">
        <v>1</v>
      </c>
      <c r="G307" s="212">
        <f>VLOOKUP(B307,BD_Prod!$A$6:$O$104,15,0)</f>
        <v>36.3825</v>
      </c>
      <c r="H307" s="212">
        <f t="shared" ref="H307:H309" si="47">E307*G307</f>
        <v>36.3825</v>
      </c>
    </row>
    <row r="308" spans="1:9">
      <c r="A308" s="207" t="s">
        <v>671</v>
      </c>
      <c r="B308" s="199" t="s">
        <v>593</v>
      </c>
      <c r="C308" s="199" t="s">
        <v>336</v>
      </c>
      <c r="D308" s="199" t="s">
        <v>164</v>
      </c>
      <c r="E308" s="199">
        <v>1</v>
      </c>
      <c r="G308" s="212">
        <f>VLOOKUP(B308,BD_Prod!$A$6:$O$104,15,0)</f>
        <v>2.4806250000000003</v>
      </c>
      <c r="H308" s="212">
        <f t="shared" si="47"/>
        <v>2.4806250000000003</v>
      </c>
    </row>
    <row r="309" spans="1:9">
      <c r="A309" s="207" t="s">
        <v>671</v>
      </c>
      <c r="B309" s="199" t="s">
        <v>688</v>
      </c>
      <c r="C309" s="199" t="s">
        <v>1</v>
      </c>
      <c r="D309" s="199" t="s">
        <v>5</v>
      </c>
      <c r="E309" s="199">
        <v>1.5</v>
      </c>
      <c r="F309" s="212">
        <f>VLOOKUP(B309,BD_Prod!$A$1:$O$104,15,0)</f>
        <v>21.021161699999997</v>
      </c>
      <c r="G309" s="212"/>
      <c r="H309" s="212">
        <f>E309*F309</f>
        <v>31.531742549999997</v>
      </c>
    </row>
    <row r="310" spans="1:9" s="201" customFormat="1" ht="15">
      <c r="A310" s="201" t="s">
        <v>672</v>
      </c>
      <c r="C310" s="201" t="s">
        <v>348</v>
      </c>
      <c r="D310" s="201" t="s">
        <v>180</v>
      </c>
      <c r="E310" s="586">
        <f>E314</f>
        <v>1.5</v>
      </c>
      <c r="F310" s="586">
        <f>F314</f>
        <v>21.021161699999997</v>
      </c>
      <c r="G310" s="219">
        <f>SUM(H311:H313)</f>
        <v>85.168125000000003</v>
      </c>
      <c r="H310" s="219">
        <f>SUM(H311:H314)*FDF</f>
        <v>122.53486092749999</v>
      </c>
      <c r="I310" s="219">
        <f>H310*BENEF</f>
        <v>159.29531920574999</v>
      </c>
    </row>
    <row r="311" spans="1:9">
      <c r="A311" s="207" t="s">
        <v>672</v>
      </c>
      <c r="B311" s="199" t="s">
        <v>584</v>
      </c>
      <c r="C311" s="199" t="s">
        <v>358</v>
      </c>
      <c r="D311" s="199" t="s">
        <v>0</v>
      </c>
      <c r="E311" s="199">
        <v>1</v>
      </c>
      <c r="G311" s="212">
        <f>VLOOKUP(B311,BD_Prod!$A$6:$O$104,15,0)</f>
        <v>46.305000000000007</v>
      </c>
      <c r="H311" s="212">
        <f>E311*G311</f>
        <v>46.305000000000007</v>
      </c>
    </row>
    <row r="312" spans="1:9">
      <c r="A312" s="207" t="s">
        <v>672</v>
      </c>
      <c r="B312" s="199" t="s">
        <v>586</v>
      </c>
      <c r="C312" s="199" t="s">
        <v>339</v>
      </c>
      <c r="D312" s="199" t="s">
        <v>164</v>
      </c>
      <c r="E312" s="199">
        <v>1</v>
      </c>
      <c r="G312" s="212">
        <f>VLOOKUP(B312,BD_Prod!$A$6:$O$104,15,0)</f>
        <v>36.3825</v>
      </c>
      <c r="H312" s="212">
        <f t="shared" ref="H312:H314" si="48">E312*G312</f>
        <v>36.3825</v>
      </c>
    </row>
    <row r="313" spans="1:9">
      <c r="A313" s="207" t="s">
        <v>672</v>
      </c>
      <c r="B313" s="199" t="s">
        <v>593</v>
      </c>
      <c r="C313" s="199" t="s">
        <v>336</v>
      </c>
      <c r="D313" s="199" t="s">
        <v>164</v>
      </c>
      <c r="E313" s="199">
        <v>1</v>
      </c>
      <c r="G313" s="212">
        <f>VLOOKUP(B313,BD_Prod!$A$6:$O$104,15,0)</f>
        <v>2.4806250000000003</v>
      </c>
      <c r="H313" s="212">
        <f t="shared" si="48"/>
        <v>2.4806250000000003</v>
      </c>
    </row>
    <row r="314" spans="1:9">
      <c r="A314" s="207" t="s">
        <v>672</v>
      </c>
      <c r="B314" s="199" t="s">
        <v>688</v>
      </c>
      <c r="C314" s="199" t="s">
        <v>1</v>
      </c>
      <c r="D314" s="199" t="s">
        <v>5</v>
      </c>
      <c r="E314" s="199">
        <v>1.5</v>
      </c>
      <c r="F314" s="212">
        <f>VLOOKUP(B314,BD_Prod!$A$1:$O$104,15,0)</f>
        <v>21.021161699999997</v>
      </c>
      <c r="G314" s="212"/>
      <c r="H314" s="212">
        <f>E314*F314</f>
        <v>31.531742549999997</v>
      </c>
    </row>
    <row r="315" spans="1:9" s="201" customFormat="1" ht="15">
      <c r="A315" s="201" t="s">
        <v>673</v>
      </c>
      <c r="C315" s="201" t="s">
        <v>626</v>
      </c>
      <c r="D315" s="201" t="s">
        <v>180</v>
      </c>
      <c r="E315" s="586">
        <f>E320</f>
        <v>4.5</v>
      </c>
      <c r="F315" s="586">
        <f>F320</f>
        <v>21.021161699999997</v>
      </c>
      <c r="G315" s="219">
        <f>SUM(H316:H319)</f>
        <v>130.31549999999999</v>
      </c>
      <c r="H315" s="219">
        <f>SUM(H316:H320)*FDF</f>
        <v>236.15626403249996</v>
      </c>
      <c r="I315" s="219">
        <f>H315*BENEF</f>
        <v>307.00314324224996</v>
      </c>
    </row>
    <row r="316" spans="1:9">
      <c r="A316" s="207" t="s">
        <v>673</v>
      </c>
      <c r="B316" s="199" t="s">
        <v>594</v>
      </c>
      <c r="C316" s="199" t="s">
        <v>349</v>
      </c>
      <c r="D316" s="199" t="s">
        <v>0</v>
      </c>
      <c r="E316" s="199">
        <v>1</v>
      </c>
      <c r="G316" s="212">
        <f>VLOOKUP(B316,BD_Prod!$A$6:$O$104,15,0)</f>
        <v>82.6875</v>
      </c>
      <c r="H316" s="212">
        <f>E316*G316</f>
        <v>82.6875</v>
      </c>
    </row>
    <row r="317" spans="1:9">
      <c r="A317" s="207" t="s">
        <v>673</v>
      </c>
      <c r="B317" s="199" t="s">
        <v>586</v>
      </c>
      <c r="C317" s="199" t="s">
        <v>339</v>
      </c>
      <c r="D317" s="199" t="s">
        <v>164</v>
      </c>
      <c r="E317" s="199">
        <v>1</v>
      </c>
      <c r="G317" s="212">
        <f>VLOOKUP(B317,BD_Prod!$A$6:$O$104,15,0)</f>
        <v>36.3825</v>
      </c>
      <c r="H317" s="212">
        <f t="shared" ref="H317:H320" si="49">E317*G317</f>
        <v>36.3825</v>
      </c>
    </row>
    <row r="318" spans="1:9">
      <c r="A318" s="207" t="s">
        <v>673</v>
      </c>
      <c r="B318" s="199" t="s">
        <v>590</v>
      </c>
      <c r="C318" s="199" t="s">
        <v>340</v>
      </c>
      <c r="D318" s="199" t="s">
        <v>31</v>
      </c>
      <c r="E318" s="199">
        <v>3</v>
      </c>
      <c r="G318" s="212">
        <f>VLOOKUP(B318,BD_Prod!$A$6:$O$104,15,0)</f>
        <v>2.9216250000000001</v>
      </c>
      <c r="H318" s="212">
        <f t="shared" si="49"/>
        <v>8.764875</v>
      </c>
    </row>
    <row r="319" spans="1:9">
      <c r="A319" s="207" t="s">
        <v>673</v>
      </c>
      <c r="B319" s="199" t="s">
        <v>593</v>
      </c>
      <c r="C319" s="199" t="s">
        <v>336</v>
      </c>
      <c r="D319" s="199" t="s">
        <v>164</v>
      </c>
      <c r="E319" s="199">
        <v>1</v>
      </c>
      <c r="G319" s="212">
        <f>VLOOKUP(B319,BD_Prod!$A$6:$O$104,15,0)</f>
        <v>2.4806250000000003</v>
      </c>
      <c r="H319" s="212">
        <f t="shared" si="49"/>
        <v>2.4806250000000003</v>
      </c>
    </row>
    <row r="320" spans="1:9">
      <c r="A320" s="207" t="s">
        <v>673</v>
      </c>
      <c r="B320" s="199" t="s">
        <v>688</v>
      </c>
      <c r="C320" s="199" t="s">
        <v>1</v>
      </c>
      <c r="D320" s="199" t="s">
        <v>5</v>
      </c>
      <c r="E320" s="199">
        <v>4.5</v>
      </c>
      <c r="F320" s="212">
        <f>VLOOKUP(B320,BD_Prod!$A$1:$O$104,15,0)</f>
        <v>21.021161699999997</v>
      </c>
      <c r="G320" s="212"/>
      <c r="H320" s="212">
        <f>E320*F320</f>
        <v>94.595227649999984</v>
      </c>
    </row>
    <row r="321" spans="1:9" s="201" customFormat="1" ht="15">
      <c r="A321" s="201" t="s">
        <v>674</v>
      </c>
      <c r="C321" s="201" t="s">
        <v>625</v>
      </c>
      <c r="D321" s="201" t="s">
        <v>180</v>
      </c>
      <c r="E321" s="586">
        <f>E326</f>
        <v>1.5</v>
      </c>
      <c r="F321" s="586">
        <f>F326</f>
        <v>21.021161699999997</v>
      </c>
      <c r="G321" s="219">
        <f>SUM(H322:H325)</f>
        <v>172.81687500000001</v>
      </c>
      <c r="H321" s="219">
        <f>SUM(H322:H326)*FDF</f>
        <v>214.56604842750002</v>
      </c>
      <c r="I321" s="219">
        <f>H321*BENEF</f>
        <v>278.93586295575005</v>
      </c>
    </row>
    <row r="322" spans="1:9">
      <c r="A322" s="207" t="s">
        <v>674</v>
      </c>
      <c r="B322" s="199" t="s">
        <v>587</v>
      </c>
      <c r="C322" s="199" t="s">
        <v>334</v>
      </c>
      <c r="D322" s="199" t="s">
        <v>0</v>
      </c>
      <c r="E322" s="199">
        <v>1</v>
      </c>
      <c r="G322" s="212">
        <f>VLOOKUP(B322,BD_Prod!$A$6:$O$104,15,0)</f>
        <v>46.305000000000007</v>
      </c>
      <c r="H322" s="212">
        <f>E322*G322</f>
        <v>46.305000000000007</v>
      </c>
    </row>
    <row r="323" spans="1:9">
      <c r="A323" s="207" t="s">
        <v>674</v>
      </c>
      <c r="B323" s="199" t="s">
        <v>586</v>
      </c>
      <c r="C323" s="199" t="s">
        <v>339</v>
      </c>
      <c r="D323" s="199" t="s">
        <v>164</v>
      </c>
      <c r="E323" s="199">
        <v>1</v>
      </c>
      <c r="G323" s="212">
        <f>VLOOKUP(B323,BD_Prod!$A$6:$O$104,15,0)</f>
        <v>36.3825</v>
      </c>
      <c r="H323" s="212">
        <f t="shared" ref="H323:H326" si="50">E323*G323</f>
        <v>36.3825</v>
      </c>
    </row>
    <row r="324" spans="1:9">
      <c r="A324" s="207" t="s">
        <v>674</v>
      </c>
      <c r="B324" s="199" t="s">
        <v>585</v>
      </c>
      <c r="C324" s="199" t="s">
        <v>359</v>
      </c>
      <c r="D324" s="199" t="s">
        <v>31</v>
      </c>
      <c r="E324" s="199">
        <v>3</v>
      </c>
      <c r="G324" s="212">
        <f>VLOOKUP(B324,BD_Prod!$A$6:$O$104,15,0)</f>
        <v>29.216250000000006</v>
      </c>
      <c r="H324" s="212">
        <f t="shared" si="50"/>
        <v>87.648750000000021</v>
      </c>
    </row>
    <row r="325" spans="1:9">
      <c r="A325" s="207" t="s">
        <v>674</v>
      </c>
      <c r="B325" s="199" t="s">
        <v>593</v>
      </c>
      <c r="C325" s="199" t="s">
        <v>336</v>
      </c>
      <c r="D325" s="199" t="s">
        <v>164</v>
      </c>
      <c r="E325" s="199">
        <v>1</v>
      </c>
      <c r="G325" s="212">
        <f>VLOOKUP(B325,BD_Prod!$A$6:$O$104,15,0)</f>
        <v>2.4806250000000003</v>
      </c>
      <c r="H325" s="212">
        <f t="shared" si="50"/>
        <v>2.4806250000000003</v>
      </c>
    </row>
    <row r="326" spans="1:9">
      <c r="A326" s="207" t="s">
        <v>674</v>
      </c>
      <c r="B326" s="199" t="s">
        <v>688</v>
      </c>
      <c r="C326" s="199" t="s">
        <v>1</v>
      </c>
      <c r="D326" s="199" t="s">
        <v>5</v>
      </c>
      <c r="E326" s="199">
        <v>1.5</v>
      </c>
      <c r="F326" s="212">
        <f>VLOOKUP(B326,BD_Prod!$A$1:$O$104,15,0)</f>
        <v>21.021161699999997</v>
      </c>
      <c r="G326" s="212"/>
      <c r="H326" s="212">
        <f>E326*F326</f>
        <v>31.531742549999997</v>
      </c>
    </row>
    <row r="327" spans="1:9" s="201" customFormat="1" ht="15">
      <c r="A327" s="201" t="s">
        <v>675</v>
      </c>
      <c r="C327" s="201" t="s">
        <v>350</v>
      </c>
      <c r="D327" s="201" t="s">
        <v>31</v>
      </c>
      <c r="E327" s="586">
        <f>E331</f>
        <v>1.25</v>
      </c>
      <c r="F327" s="586">
        <f>F331</f>
        <v>21.021161699999997</v>
      </c>
      <c r="G327" s="219">
        <f>SUM(H328:H330)</f>
        <v>41.784750000000003</v>
      </c>
      <c r="H327" s="219">
        <f>SUM(H328:H331)*FDF</f>
        <v>71.464262231250004</v>
      </c>
      <c r="I327" s="219">
        <f>H327*BENEF</f>
        <v>92.903540900625003</v>
      </c>
    </row>
    <row r="328" spans="1:9">
      <c r="A328" s="207" t="s">
        <v>675</v>
      </c>
      <c r="B328" s="199" t="s">
        <v>586</v>
      </c>
      <c r="C328" s="199" t="s">
        <v>339</v>
      </c>
      <c r="D328" s="199" t="s">
        <v>164</v>
      </c>
      <c r="E328" s="199">
        <v>1</v>
      </c>
      <c r="G328" s="212">
        <f>VLOOKUP(B328,BD_Prod!$A$6:$O$104,15,0)</f>
        <v>36.3825</v>
      </c>
      <c r="H328" s="212">
        <f>E328*G328</f>
        <v>36.3825</v>
      </c>
    </row>
    <row r="329" spans="1:9">
      <c r="A329" s="207" t="s">
        <v>675</v>
      </c>
      <c r="B329" s="199" t="s">
        <v>590</v>
      </c>
      <c r="C329" s="199" t="s">
        <v>340</v>
      </c>
      <c r="D329" s="199" t="s">
        <v>31</v>
      </c>
      <c r="E329" s="199">
        <v>1</v>
      </c>
      <c r="G329" s="212">
        <f>VLOOKUP(B329,BD_Prod!$A$6:$O$104,15,0)</f>
        <v>2.9216250000000001</v>
      </c>
      <c r="H329" s="212">
        <f t="shared" ref="H329:H331" si="51">E329*G329</f>
        <v>2.9216250000000001</v>
      </c>
    </row>
    <row r="330" spans="1:9">
      <c r="A330" s="207" t="s">
        <v>675</v>
      </c>
      <c r="B330" s="199" t="s">
        <v>593</v>
      </c>
      <c r="C330" s="199" t="s">
        <v>336</v>
      </c>
      <c r="D330" s="199" t="s">
        <v>164</v>
      </c>
      <c r="E330" s="199">
        <v>1</v>
      </c>
      <c r="G330" s="212">
        <f>VLOOKUP(B330,BD_Prod!$A$6:$O$104,15,0)</f>
        <v>2.4806250000000003</v>
      </c>
      <c r="H330" s="212">
        <f t="shared" si="51"/>
        <v>2.4806250000000003</v>
      </c>
    </row>
    <row r="331" spans="1:9">
      <c r="A331" s="207" t="s">
        <v>675</v>
      </c>
      <c r="B331" s="199" t="s">
        <v>688</v>
      </c>
      <c r="C331" s="199" t="s">
        <v>1</v>
      </c>
      <c r="D331" s="199" t="s">
        <v>5</v>
      </c>
      <c r="E331" s="199">
        <v>1.25</v>
      </c>
      <c r="F331" s="212">
        <f>VLOOKUP(B331,BD_Prod!$A$1:$O$104,15,0)</f>
        <v>21.021161699999997</v>
      </c>
      <c r="G331" s="212"/>
      <c r="H331" s="212">
        <f>E331*F331</f>
        <v>26.276452124999995</v>
      </c>
    </row>
    <row r="332" spans="1:9" s="201" customFormat="1" ht="15">
      <c r="A332" s="201" t="s">
        <v>676</v>
      </c>
      <c r="C332" s="201" t="s">
        <v>363</v>
      </c>
      <c r="D332" s="201" t="s">
        <v>31</v>
      </c>
      <c r="E332" s="586">
        <f>E335</f>
        <v>0.01</v>
      </c>
      <c r="F332" s="586">
        <f>F335</f>
        <v>21.021161699999997</v>
      </c>
      <c r="G332" s="219">
        <f>SUM(H333:H334)</f>
        <v>5.4022500000000004</v>
      </c>
      <c r="H332" s="219">
        <f>SUM(H333:H335)*FDF</f>
        <v>5.89308469785</v>
      </c>
      <c r="I332" s="219">
        <f>H332*BENEF</f>
        <v>7.6610101072050005</v>
      </c>
    </row>
    <row r="333" spans="1:9">
      <c r="A333" s="207" t="s">
        <v>676</v>
      </c>
      <c r="B333" s="199" t="s">
        <v>590</v>
      </c>
      <c r="C333" s="199" t="s">
        <v>340</v>
      </c>
      <c r="D333" s="199" t="s">
        <v>31</v>
      </c>
      <c r="E333" s="199">
        <v>1</v>
      </c>
      <c r="G333" s="212">
        <f>VLOOKUP(B333,BD_Prod!$A$6:$O$104,15,0)</f>
        <v>2.9216250000000001</v>
      </c>
      <c r="H333" s="212">
        <f>E333*G333</f>
        <v>2.9216250000000001</v>
      </c>
    </row>
    <row r="334" spans="1:9">
      <c r="A334" s="207" t="s">
        <v>676</v>
      </c>
      <c r="B334" s="199" t="s">
        <v>593</v>
      </c>
      <c r="C334" s="199" t="s">
        <v>336</v>
      </c>
      <c r="D334" s="199" t="s">
        <v>164</v>
      </c>
      <c r="E334" s="199">
        <v>1</v>
      </c>
      <c r="G334" s="212">
        <f>VLOOKUP(B334,BD_Prod!$A$6:$O$104,15,0)</f>
        <v>2.4806250000000003</v>
      </c>
      <c r="H334" s="212">
        <f t="shared" ref="H334:H335" si="52">E334*G334</f>
        <v>2.4806250000000003</v>
      </c>
    </row>
    <row r="335" spans="1:9">
      <c r="A335" s="207" t="s">
        <v>676</v>
      </c>
      <c r="B335" s="199" t="s">
        <v>688</v>
      </c>
      <c r="C335" s="199" t="s">
        <v>1</v>
      </c>
      <c r="D335" s="199" t="s">
        <v>5</v>
      </c>
      <c r="E335" s="199">
        <v>0.01</v>
      </c>
      <c r="F335" s="212">
        <f>VLOOKUP(B335,BD_Prod!$A$1:$O$104,15,0)</f>
        <v>21.021161699999997</v>
      </c>
      <c r="G335" s="212"/>
      <c r="H335" s="212">
        <f>E335*F335</f>
        <v>0.21021161699999996</v>
      </c>
    </row>
    <row r="336" spans="1:9" s="201" customFormat="1" ht="15">
      <c r="A336" s="201" t="s">
        <v>677</v>
      </c>
      <c r="C336" s="201" t="s">
        <v>624</v>
      </c>
      <c r="D336" s="201" t="s">
        <v>31</v>
      </c>
      <c r="E336" s="586">
        <f>E339</f>
        <v>0.01</v>
      </c>
      <c r="F336" s="586">
        <f>F339</f>
        <v>21.021161699999997</v>
      </c>
      <c r="G336" s="219">
        <f>SUM(H337:H338)</f>
        <v>31.696875000000006</v>
      </c>
      <c r="H336" s="219">
        <f>SUM(H337:H339)*FDF</f>
        <v>33.502440947850005</v>
      </c>
      <c r="I336" s="219">
        <f>H336*BENEF</f>
        <v>43.553173232205005</v>
      </c>
    </row>
    <row r="337" spans="1:9">
      <c r="A337" s="207" t="s">
        <v>677</v>
      </c>
      <c r="B337" s="199" t="s">
        <v>585</v>
      </c>
      <c r="C337" s="199" t="s">
        <v>359</v>
      </c>
      <c r="D337" s="199" t="s">
        <v>31</v>
      </c>
      <c r="E337" s="199">
        <v>1</v>
      </c>
      <c r="G337" s="212">
        <f>VLOOKUP(B337,BD_Prod!$A$6:$O$104,15,0)</f>
        <v>29.216250000000006</v>
      </c>
      <c r="H337" s="212">
        <f>E337*G337</f>
        <v>29.216250000000006</v>
      </c>
    </row>
    <row r="338" spans="1:9">
      <c r="A338" s="207" t="s">
        <v>677</v>
      </c>
      <c r="B338" s="199" t="s">
        <v>593</v>
      </c>
      <c r="C338" s="199" t="s">
        <v>336</v>
      </c>
      <c r="D338" s="199" t="s">
        <v>164</v>
      </c>
      <c r="E338" s="199">
        <v>1</v>
      </c>
      <c r="G338" s="212">
        <f>VLOOKUP(B338,BD_Prod!$A$6:$O$104,15,0)</f>
        <v>2.4806250000000003</v>
      </c>
      <c r="H338" s="212">
        <f t="shared" ref="H338:H339" si="53">E338*G338</f>
        <v>2.4806250000000003</v>
      </c>
    </row>
    <row r="339" spans="1:9">
      <c r="A339" s="207" t="s">
        <v>677</v>
      </c>
      <c r="B339" s="199" t="s">
        <v>688</v>
      </c>
      <c r="C339" s="199" t="s">
        <v>1</v>
      </c>
      <c r="D339" s="199" t="s">
        <v>5</v>
      </c>
      <c r="E339" s="199">
        <v>0.01</v>
      </c>
      <c r="F339" s="212">
        <f>VLOOKUP(B339,BD_Prod!$A$1:$O$104,15,0)</f>
        <v>21.021161699999997</v>
      </c>
      <c r="G339" s="212"/>
      <c r="H339" s="212">
        <f>E339*F339</f>
        <v>0.21021161699999996</v>
      </c>
    </row>
    <row r="340" spans="1:9" s="201" customFormat="1" ht="15">
      <c r="A340" s="201" t="s">
        <v>678</v>
      </c>
      <c r="C340" s="201" t="s">
        <v>350</v>
      </c>
      <c r="D340" s="201" t="s">
        <v>31</v>
      </c>
      <c r="E340" s="586">
        <f>E344</f>
        <v>1.25</v>
      </c>
      <c r="F340" s="586">
        <f>F344</f>
        <v>21.021161699999997</v>
      </c>
      <c r="G340" s="219">
        <f>SUM(H341:H343)</f>
        <v>41.784750000000003</v>
      </c>
      <c r="H340" s="219">
        <f>SUM(H341:H344)*FDF</f>
        <v>71.464262231250004</v>
      </c>
      <c r="I340" s="219">
        <f>H340*BENEF</f>
        <v>92.903540900625003</v>
      </c>
    </row>
    <row r="341" spans="1:9">
      <c r="A341" s="207" t="s">
        <v>678</v>
      </c>
      <c r="B341" s="199" t="s">
        <v>586</v>
      </c>
      <c r="C341" s="199" t="s">
        <v>339</v>
      </c>
      <c r="D341" s="199" t="s">
        <v>164</v>
      </c>
      <c r="E341" s="199">
        <v>1</v>
      </c>
      <c r="G341" s="212">
        <f>VLOOKUP(B341,BD_Prod!$A$6:$O$104,15,0)</f>
        <v>36.3825</v>
      </c>
      <c r="H341" s="212">
        <f>E341*G341</f>
        <v>36.3825</v>
      </c>
    </row>
    <row r="342" spans="1:9">
      <c r="A342" s="207" t="s">
        <v>678</v>
      </c>
      <c r="B342" s="199" t="s">
        <v>590</v>
      </c>
      <c r="C342" s="199" t="s">
        <v>340</v>
      </c>
      <c r="D342" s="199" t="s">
        <v>31</v>
      </c>
      <c r="E342" s="199">
        <v>1</v>
      </c>
      <c r="G342" s="212">
        <f>VLOOKUP(B342,BD_Prod!$A$6:$O$104,15,0)</f>
        <v>2.9216250000000001</v>
      </c>
      <c r="H342" s="212">
        <f t="shared" ref="H342:H344" si="54">E342*G342</f>
        <v>2.9216250000000001</v>
      </c>
    </row>
    <row r="343" spans="1:9">
      <c r="A343" s="207" t="s">
        <v>678</v>
      </c>
      <c r="B343" s="199" t="s">
        <v>593</v>
      </c>
      <c r="C343" s="199" t="s">
        <v>336</v>
      </c>
      <c r="D343" s="199" t="s">
        <v>164</v>
      </c>
      <c r="E343" s="199">
        <v>1</v>
      </c>
      <c r="G343" s="212">
        <f>VLOOKUP(B343,BD_Prod!$A$6:$O$104,15,0)</f>
        <v>2.4806250000000003</v>
      </c>
      <c r="H343" s="212">
        <f t="shared" si="54"/>
        <v>2.4806250000000003</v>
      </c>
    </row>
    <row r="344" spans="1:9">
      <c r="A344" s="207" t="s">
        <v>678</v>
      </c>
      <c r="B344" s="199" t="s">
        <v>688</v>
      </c>
      <c r="C344" s="199" t="s">
        <v>1</v>
      </c>
      <c r="D344" s="199" t="s">
        <v>5</v>
      </c>
      <c r="E344" s="199">
        <v>1.25</v>
      </c>
      <c r="F344" s="212">
        <f>VLOOKUP(B344,BD_Prod!$A$1:$O$104,15,0)</f>
        <v>21.021161699999997</v>
      </c>
      <c r="G344" s="212"/>
      <c r="H344" s="212">
        <f>E344*F344</f>
        <v>26.276452124999995</v>
      </c>
    </row>
    <row r="345" spans="1:9">
      <c r="B345" s="207"/>
      <c r="C345" s="207"/>
      <c r="D345" s="207"/>
      <c r="E345" s="207"/>
      <c r="F345" s="207"/>
      <c r="G345" s="207"/>
      <c r="H345" s="207"/>
    </row>
    <row r="346" spans="1:9">
      <c r="B346" s="198"/>
      <c r="C346" s="198"/>
      <c r="D346" s="198"/>
      <c r="E346" s="198"/>
      <c r="F346" s="198"/>
      <c r="G346" s="214"/>
    </row>
    <row r="347" spans="1:9">
      <c r="B347" s="200"/>
      <c r="C347" s="198"/>
      <c r="D347" s="198"/>
      <c r="E347" s="198"/>
      <c r="F347" s="198"/>
      <c r="G347" s="214"/>
      <c r="H347" s="215"/>
      <c r="I347" s="215"/>
    </row>
  </sheetData>
  <autoFilter ref="B2:I411"/>
  <pageMargins left="0.7" right="0.7" top="0.75" bottom="0.75" header="0.3" footer="0.3"/>
  <pageSetup paperSize="9" orientation="portrait" horizontalDpi="4294967293" verticalDpi="4294967293" r:id="rId1"/>
</worksheet>
</file>

<file path=xl/worksheets/sheet8.xml><?xml version="1.0" encoding="utf-8"?>
<worksheet xmlns="http://schemas.openxmlformats.org/spreadsheetml/2006/main" xmlns:r="http://schemas.openxmlformats.org/officeDocument/2006/relationships">
  <sheetPr codeName="Feuil5">
    <tabColor rgb="FFFFFF00"/>
  </sheetPr>
  <dimension ref="A1:N203"/>
  <sheetViews>
    <sheetView showGridLines="0" view="pageBreakPreview" topLeftCell="A43" zoomScaleNormal="100" zoomScaleSheetLayoutView="100" workbookViewId="0">
      <selection activeCell="H15" sqref="H15:J95"/>
    </sheetView>
  </sheetViews>
  <sheetFormatPr baseColWidth="10" defaultColWidth="11.28515625" defaultRowHeight="12.75"/>
  <cols>
    <col min="1" max="1" width="3.7109375" style="251" customWidth="1"/>
    <col min="2" max="2" width="50.42578125" style="251" customWidth="1"/>
    <col min="3" max="3" width="7.85546875" style="251" customWidth="1"/>
    <col min="4" max="4" width="9.28515625" style="251" customWidth="1"/>
    <col min="5" max="5" width="12.5703125" style="251" customWidth="1"/>
    <col min="6" max="6" width="15.85546875" style="251" customWidth="1"/>
    <col min="7" max="7" width="13.28515625" style="251" customWidth="1"/>
    <col min="8" max="8" width="14" style="251" customWidth="1"/>
    <col min="9" max="9" width="13" style="251" customWidth="1"/>
    <col min="10" max="16384" width="11.28515625" style="251"/>
  </cols>
  <sheetData>
    <row r="1" spans="1:9" ht="18.75" customHeight="1">
      <c r="A1" s="242"/>
      <c r="B1" s="243">
        <f ca="1">NOW()</f>
        <v>43308.805415509261</v>
      </c>
      <c r="C1" s="244"/>
      <c r="D1" s="245"/>
      <c r="E1" s="246" t="str">
        <f ca="1">"N° " &amp;YEAR(TODAY())</f>
        <v>N° 2018</v>
      </c>
      <c r="F1" s="247">
        <f ca="1">TODAY()</f>
        <v>43308</v>
      </c>
      <c r="G1" s="248" t="s">
        <v>725</v>
      </c>
      <c r="H1" s="249" t="s">
        <v>751</v>
      </c>
      <c r="I1" s="250" t="s">
        <v>752</v>
      </c>
    </row>
    <row r="2" spans="1:9" ht="35.1" customHeight="1">
      <c r="A2" s="252" t="s">
        <v>753</v>
      </c>
      <c r="B2" s="253"/>
      <c r="C2" s="253"/>
      <c r="D2" s="253"/>
      <c r="E2" s="253"/>
      <c r="F2" s="254"/>
      <c r="G2" s="255">
        <v>1.3</v>
      </c>
      <c r="H2" s="256">
        <v>1</v>
      </c>
      <c r="I2" s="257">
        <f>Prix_VHT*((G2-1)*100)/100</f>
        <v>37479.925144427769</v>
      </c>
    </row>
    <row r="3" spans="1:9" ht="53.25" customHeight="1">
      <c r="A3" s="258"/>
      <c r="B3" s="259"/>
      <c r="C3" s="260"/>
      <c r="D3" s="261"/>
      <c r="E3" s="262"/>
      <c r="F3" s="263"/>
      <c r="G3" s="264">
        <f>F167</f>
        <v>100474.97250152688</v>
      </c>
      <c r="H3" s="265">
        <f>F171</f>
        <v>100474.97250152688</v>
      </c>
      <c r="I3" s="266">
        <f>F186</f>
        <v>135552.3959390138</v>
      </c>
    </row>
    <row r="4" spans="1:9" ht="11.85" customHeight="1">
      <c r="A4" s="267"/>
      <c r="B4" s="268" t="s">
        <v>316</v>
      </c>
      <c r="C4" s="269" t="s">
        <v>754</v>
      </c>
      <c r="D4" s="262"/>
      <c r="E4" s="262"/>
      <c r="F4" s="263"/>
      <c r="G4" s="270" t="s">
        <v>755</v>
      </c>
      <c r="H4" s="271" t="s">
        <v>756</v>
      </c>
      <c r="I4" s="272" t="s">
        <v>757</v>
      </c>
    </row>
    <row r="5" spans="1:9" ht="11.85" customHeight="1">
      <c r="A5" s="267"/>
      <c r="B5" s="268" t="s">
        <v>315</v>
      </c>
      <c r="C5" s="273"/>
      <c r="D5" s="262"/>
      <c r="E5" s="274"/>
      <c r="F5" s="275"/>
      <c r="G5" s="276" t="s">
        <v>758</v>
      </c>
    </row>
    <row r="6" spans="1:9" ht="11.85" customHeight="1">
      <c r="A6" s="267"/>
      <c r="B6" s="277" t="s">
        <v>759</v>
      </c>
      <c r="C6" s="260"/>
      <c r="D6" s="261"/>
      <c r="E6" s="274"/>
      <c r="F6" s="275"/>
      <c r="G6" s="278" t="s">
        <v>760</v>
      </c>
    </row>
    <row r="7" spans="1:9" ht="11.85" customHeight="1">
      <c r="A7" s="267"/>
      <c r="B7" s="268" t="s">
        <v>369</v>
      </c>
      <c r="C7" s="260"/>
      <c r="D7" s="261"/>
      <c r="E7" s="274"/>
      <c r="F7" s="275"/>
      <c r="G7" s="278" t="s">
        <v>761</v>
      </c>
    </row>
    <row r="8" spans="1:9" ht="11.85" customHeight="1">
      <c r="A8" s="279"/>
      <c r="B8" s="268" t="s">
        <v>368</v>
      </c>
      <c r="C8" s="260"/>
      <c r="D8" s="261"/>
      <c r="E8" s="280"/>
      <c r="F8" s="275"/>
    </row>
    <row r="9" spans="1:9" ht="21" customHeight="1">
      <c r="A9" s="279"/>
      <c r="B9" s="281"/>
      <c r="C9" s="260"/>
      <c r="D9" s="261"/>
      <c r="E9" s="280"/>
      <c r="F9" s="275"/>
    </row>
    <row r="10" spans="1:9" ht="21" customHeight="1">
      <c r="A10" s="282"/>
      <c r="B10" s="283" t="s">
        <v>762</v>
      </c>
      <c r="C10" s="284"/>
      <c r="D10" s="285"/>
      <c r="E10" s="286"/>
      <c r="F10" s="287"/>
    </row>
    <row r="11" spans="1:9" ht="7.5" customHeight="1">
      <c r="A11" s="288"/>
      <c r="B11" s="289" t="s">
        <v>763</v>
      </c>
      <c r="C11" s="290"/>
      <c r="D11" s="291"/>
      <c r="E11" s="292"/>
      <c r="F11" s="293"/>
      <c r="G11" s="251">
        <v>0</v>
      </c>
    </row>
    <row r="12" spans="1:9" ht="15" customHeight="1">
      <c r="A12" s="294" t="s">
        <v>764</v>
      </c>
      <c r="B12" s="295" t="s">
        <v>765</v>
      </c>
      <c r="C12" s="296" t="s">
        <v>0</v>
      </c>
      <c r="D12" s="297" t="s">
        <v>525</v>
      </c>
      <c r="E12" s="298" t="s">
        <v>766</v>
      </c>
      <c r="F12" s="298"/>
      <c r="G12" s="251">
        <v>0</v>
      </c>
    </row>
    <row r="13" spans="1:9">
      <c r="A13" s="294"/>
      <c r="B13" s="299" t="s">
        <v>767</v>
      </c>
      <c r="C13" s="296"/>
      <c r="D13" s="296"/>
      <c r="E13" s="296" t="s">
        <v>768</v>
      </c>
      <c r="F13" s="300" t="s">
        <v>769</v>
      </c>
      <c r="G13" s="251">
        <v>0</v>
      </c>
    </row>
    <row r="14" spans="1:9">
      <c r="A14" s="301"/>
      <c r="B14" s="302" t="s">
        <v>299</v>
      </c>
      <c r="C14" s="303"/>
      <c r="D14" s="304"/>
      <c r="E14" s="305"/>
      <c r="F14" s="306"/>
      <c r="G14" s="251">
        <f>IF($A$14=1,1,0)</f>
        <v>0</v>
      </c>
    </row>
    <row r="15" spans="1:9" ht="15">
      <c r="A15" s="301"/>
      <c r="B15" s="307" t="s">
        <v>156</v>
      </c>
      <c r="C15" s="303" t="s">
        <v>152</v>
      </c>
      <c r="D15" s="308">
        <v>1</v>
      </c>
      <c r="E15" s="305">
        <f>1218.57*G2*H2</f>
        <v>1584.1410000000001</v>
      </c>
      <c r="F15" s="306">
        <f>IF($A$14="",D15*E15,"")</f>
        <v>1584.1410000000001</v>
      </c>
      <c r="G15" s="251">
        <f t="shared" ref="G15:G16" si="0">IF($A$14=1,1,0)</f>
        <v>0</v>
      </c>
      <c r="H15" s="309"/>
      <c r="I15" s="310"/>
    </row>
    <row r="16" spans="1:9" ht="15">
      <c r="A16" s="301"/>
      <c r="B16" s="307" t="s">
        <v>74</v>
      </c>
      <c r="C16" s="303" t="s">
        <v>152</v>
      </c>
      <c r="D16" s="311">
        <v>1</v>
      </c>
      <c r="E16" s="305">
        <f>351.89*G2*H2</f>
        <v>457.45699999999999</v>
      </c>
      <c r="F16" s="306">
        <f>IF($A$14="",D16*E16,"")</f>
        <v>457.45699999999999</v>
      </c>
      <c r="G16" s="251">
        <f t="shared" si="0"/>
        <v>0</v>
      </c>
      <c r="H16" s="312"/>
      <c r="I16" s="310"/>
    </row>
    <row r="17" spans="1:9" ht="15">
      <c r="A17" s="301"/>
      <c r="B17" s="307"/>
      <c r="C17" s="303"/>
      <c r="D17" s="304"/>
      <c r="E17" s="305"/>
      <c r="F17" s="306"/>
      <c r="G17" s="251">
        <f>IF($A$18=1,1,0)</f>
        <v>0</v>
      </c>
      <c r="H17" s="309"/>
      <c r="I17" s="310"/>
    </row>
    <row r="18" spans="1:9" ht="15">
      <c r="A18" s="301"/>
      <c r="B18" s="302" t="s">
        <v>362</v>
      </c>
      <c r="C18" s="303"/>
      <c r="D18" s="304"/>
      <c r="E18" s="305"/>
      <c r="F18" s="306"/>
      <c r="G18" s="251">
        <f t="shared" ref="G18:G26" si="1">IF($A$18=1,1,0)</f>
        <v>0</v>
      </c>
      <c r="H18" s="309"/>
      <c r="I18" s="310"/>
    </row>
    <row r="19" spans="1:9" ht="24">
      <c r="A19" s="301"/>
      <c r="B19" s="307" t="s">
        <v>770</v>
      </c>
      <c r="C19" s="303" t="s">
        <v>18</v>
      </c>
      <c r="D19" s="308">
        <f>'[5]INFRA &amp; PLANCHER'!H20</f>
        <v>10.477499999999999</v>
      </c>
      <c r="E19" s="305">
        <f>23.2*G2*H2</f>
        <v>30.16</v>
      </c>
      <c r="F19" s="306">
        <f>IF($A$18="",D19*E19,"")</f>
        <v>316.00139999999999</v>
      </c>
      <c r="G19" s="251">
        <f t="shared" si="1"/>
        <v>0</v>
      </c>
      <c r="H19" s="309"/>
      <c r="I19" s="310"/>
    </row>
    <row r="20" spans="1:9" ht="24">
      <c r="A20" s="301"/>
      <c r="B20" s="307" t="s">
        <v>157</v>
      </c>
      <c r="C20" s="303" t="s">
        <v>39</v>
      </c>
      <c r="D20" s="308">
        <f>'[5]INFRA &amp; PLANCHER'!K20</f>
        <v>174.45749999999998</v>
      </c>
      <c r="E20" s="305">
        <f>5.58*G2*H2</f>
        <v>7.2540000000000004</v>
      </c>
      <c r="F20" s="306">
        <f t="shared" ref="F20:F26" si="2">IF($A$18="",D20*E20,"")</f>
        <v>1265.514705</v>
      </c>
      <c r="G20" s="251">
        <f t="shared" si="1"/>
        <v>0</v>
      </c>
      <c r="H20" s="309"/>
      <c r="I20" s="310"/>
    </row>
    <row r="21" spans="1:9" ht="24">
      <c r="A21" s="301"/>
      <c r="B21" s="307" t="s">
        <v>116</v>
      </c>
      <c r="C21" s="303" t="s">
        <v>31</v>
      </c>
      <c r="D21" s="308">
        <f>'[5]INFRA &amp; PLANCHER'!J20</f>
        <v>69.849999999999994</v>
      </c>
      <c r="E21" s="305">
        <f>26.67*G2*H2</f>
        <v>34.671000000000006</v>
      </c>
      <c r="F21" s="306">
        <f t="shared" si="2"/>
        <v>2421.76935</v>
      </c>
      <c r="G21" s="251">
        <f t="shared" si="1"/>
        <v>0</v>
      </c>
      <c r="H21" s="309"/>
      <c r="I21" s="310"/>
    </row>
    <row r="22" spans="1:9" ht="15">
      <c r="A22" s="301"/>
      <c r="B22" s="307" t="s">
        <v>159</v>
      </c>
      <c r="C22" s="303" t="s">
        <v>39</v>
      </c>
      <c r="D22" s="308">
        <f>'[5]INFRA &amp; PLANCHER'!E20</f>
        <v>34.924999999999997</v>
      </c>
      <c r="E22" s="305">
        <f>5.53*G2*H2</f>
        <v>7.1890000000000009</v>
      </c>
      <c r="F22" s="306">
        <f t="shared" si="2"/>
        <v>251.07582500000001</v>
      </c>
      <c r="G22" s="251">
        <f t="shared" si="1"/>
        <v>0</v>
      </c>
      <c r="H22" s="309"/>
      <c r="I22" s="310"/>
    </row>
    <row r="23" spans="1:9" ht="24">
      <c r="A23" s="301"/>
      <c r="B23" s="307" t="s">
        <v>127</v>
      </c>
      <c r="C23" s="303" t="s">
        <v>39</v>
      </c>
      <c r="D23" s="308">
        <f>'[5]INFRA &amp; PLANCHER'!F20</f>
        <v>27.939999999999998</v>
      </c>
      <c r="E23" s="305">
        <f>78.45*G2*H2</f>
        <v>101.98500000000001</v>
      </c>
      <c r="F23" s="306">
        <f t="shared" si="2"/>
        <v>2849.4609</v>
      </c>
      <c r="G23" s="251">
        <f t="shared" si="1"/>
        <v>0</v>
      </c>
      <c r="H23" s="309"/>
      <c r="I23" s="310"/>
    </row>
    <row r="24" spans="1:9" ht="24">
      <c r="A24" s="301"/>
      <c r="B24" s="307" t="s">
        <v>131</v>
      </c>
      <c r="C24" s="303" t="s">
        <v>39</v>
      </c>
      <c r="D24" s="308">
        <f>'[5]INFRA &amp; PLANCHER'!G20</f>
        <v>27.939999999999998</v>
      </c>
      <c r="E24" s="305">
        <f>17.89*G2*H2</f>
        <v>23.257000000000001</v>
      </c>
      <c r="F24" s="306">
        <f t="shared" si="2"/>
        <v>649.80057999999997</v>
      </c>
      <c r="G24" s="251">
        <f t="shared" si="1"/>
        <v>0</v>
      </c>
      <c r="H24" s="312"/>
      <c r="I24" s="310"/>
    </row>
    <row r="25" spans="1:9" ht="24">
      <c r="A25" s="301"/>
      <c r="B25" s="307" t="s">
        <v>136</v>
      </c>
      <c r="C25" s="303" t="s">
        <v>18</v>
      </c>
      <c r="D25" s="308">
        <f>'[5]INFRA &amp; PLANCHER'!J27</f>
        <v>34.229249999999993</v>
      </c>
      <c r="E25" s="305">
        <f>51.7*G2*H2</f>
        <v>67.210000000000008</v>
      </c>
      <c r="F25" s="306">
        <f t="shared" si="2"/>
        <v>2300.5478924999998</v>
      </c>
      <c r="G25" s="251">
        <f t="shared" si="1"/>
        <v>0</v>
      </c>
      <c r="H25" s="309"/>
      <c r="I25" s="310"/>
    </row>
    <row r="26" spans="1:9" ht="24">
      <c r="A26" s="301"/>
      <c r="B26" s="307" t="s">
        <v>771</v>
      </c>
      <c r="C26" s="303" t="s">
        <v>39</v>
      </c>
      <c r="D26" s="308">
        <f>'[5]INFRA &amp; PLANCHER'!J5</f>
        <v>123.3575</v>
      </c>
      <c r="E26" s="305">
        <f>40.96*G2*H2</f>
        <v>53.248000000000005</v>
      </c>
      <c r="F26" s="306">
        <f t="shared" si="2"/>
        <v>6568.5401600000005</v>
      </c>
      <c r="G26" s="251">
        <f t="shared" si="1"/>
        <v>0</v>
      </c>
      <c r="H26" s="309"/>
      <c r="I26" s="310"/>
    </row>
    <row r="27" spans="1:9" ht="15">
      <c r="A27" s="301"/>
      <c r="B27" s="313" t="str">
        <f>VLOOKUP([5]ADATATION!M27,[5]ADATATION!H23:I26,2,0)</f>
        <v>sans adaptation au sol</v>
      </c>
      <c r="C27" s="314" t="s">
        <v>39</v>
      </c>
      <c r="D27" s="304">
        <v>0</v>
      </c>
      <c r="E27" s="315" t="s">
        <v>772</v>
      </c>
      <c r="F27" s="306">
        <v>0</v>
      </c>
      <c r="G27" s="251">
        <f>IF($A$18=1,1,0)</f>
        <v>0</v>
      </c>
      <c r="H27" s="309"/>
      <c r="I27" s="310"/>
    </row>
    <row r="28" spans="1:9" ht="15">
      <c r="A28" s="301"/>
      <c r="B28" s="307"/>
      <c r="C28" s="303"/>
      <c r="D28" s="304"/>
      <c r="E28" s="305"/>
      <c r="F28" s="306"/>
      <c r="G28" s="251">
        <f>IF($A$29=1,1,0)</f>
        <v>0</v>
      </c>
      <c r="H28" s="309"/>
      <c r="I28" s="310"/>
    </row>
    <row r="29" spans="1:9" ht="15">
      <c r="A29" s="301"/>
      <c r="B29" s="302" t="s">
        <v>82</v>
      </c>
      <c r="C29" s="303"/>
      <c r="D29" s="304"/>
      <c r="E29" s="305"/>
      <c r="F29" s="306"/>
      <c r="G29" s="251">
        <f t="shared" ref="G29:G34" si="3">IF($A$29=1,1,0)</f>
        <v>0</v>
      </c>
      <c r="H29" s="309"/>
      <c r="I29" s="310"/>
    </row>
    <row r="30" spans="1:9" ht="24">
      <c r="A30" s="301"/>
      <c r="B30" s="307" t="s">
        <v>140</v>
      </c>
      <c r="C30" s="303" t="s">
        <v>31</v>
      </c>
      <c r="D30" s="308">
        <f>'[5]INFRA &amp; PLANCHER'!J7</f>
        <v>47.099999999999994</v>
      </c>
      <c r="E30" s="305">
        <f>10.67*G2*H2</f>
        <v>13.871</v>
      </c>
      <c r="F30" s="306">
        <f>IF($A$29="",D30*E30,"")</f>
        <v>653.32409999999993</v>
      </c>
      <c r="G30" s="251">
        <f t="shared" si="3"/>
        <v>0</v>
      </c>
      <c r="H30" s="309"/>
      <c r="I30" s="310"/>
    </row>
    <row r="31" spans="1:9" ht="24">
      <c r="A31" s="301"/>
      <c r="B31" s="307" t="s">
        <v>142</v>
      </c>
      <c r="C31" s="303" t="s">
        <v>39</v>
      </c>
      <c r="D31" s="308">
        <f>[5]SUPERSTRUCTURE!E14</f>
        <v>133.84</v>
      </c>
      <c r="E31" s="305">
        <f>69.48*G2*H2</f>
        <v>90.324000000000012</v>
      </c>
      <c r="F31" s="306">
        <f t="shared" ref="F31:F34" si="4">IF($A$29="",D31*E31,"")</f>
        <v>12088.964160000001</v>
      </c>
      <c r="G31" s="251">
        <f t="shared" si="3"/>
        <v>0</v>
      </c>
      <c r="H31" s="309"/>
      <c r="I31" s="310"/>
    </row>
    <row r="32" spans="1:9" ht="24">
      <c r="A32" s="301"/>
      <c r="B32" s="307" t="s">
        <v>773</v>
      </c>
      <c r="C32" s="303" t="s">
        <v>39</v>
      </c>
      <c r="D32" s="308">
        <f>'[5]CLOISON &amp; ETANCH'!E14</f>
        <v>44.356000000000009</v>
      </c>
      <c r="E32" s="305">
        <f>29.53*G2*H2</f>
        <v>38.389000000000003</v>
      </c>
      <c r="F32" s="306">
        <f t="shared" si="4"/>
        <v>1702.7824840000005</v>
      </c>
      <c r="G32" s="251">
        <f t="shared" si="3"/>
        <v>0</v>
      </c>
      <c r="H32" s="309"/>
      <c r="I32" s="310"/>
    </row>
    <row r="33" spans="1:9" ht="36">
      <c r="A33" s="301"/>
      <c r="B33" s="307" t="s">
        <v>161</v>
      </c>
      <c r="C33" s="303" t="s">
        <v>18</v>
      </c>
      <c r="D33" s="308">
        <f>[5]SUPERSTRUCTURE!M25</f>
        <v>2.5040000000000004</v>
      </c>
      <c r="E33" s="305">
        <f>551.67*G2*H2</f>
        <v>717.17099999999994</v>
      </c>
      <c r="F33" s="306">
        <f t="shared" si="4"/>
        <v>1795.7961840000003</v>
      </c>
      <c r="G33" s="251">
        <f t="shared" si="3"/>
        <v>0</v>
      </c>
      <c r="H33" s="309"/>
      <c r="I33" s="310"/>
    </row>
    <row r="34" spans="1:9" ht="15">
      <c r="A34" s="301"/>
      <c r="B34" s="307" t="s">
        <v>151</v>
      </c>
      <c r="C34" s="303" t="s">
        <v>0</v>
      </c>
      <c r="D34" s="311">
        <v>2</v>
      </c>
      <c r="E34" s="305">
        <f>24.07*G2*H2</f>
        <v>31.291</v>
      </c>
      <c r="F34" s="306">
        <f t="shared" si="4"/>
        <v>62.582000000000001</v>
      </c>
      <c r="G34" s="251">
        <f t="shared" si="3"/>
        <v>0</v>
      </c>
      <c r="H34" s="309"/>
      <c r="I34" s="310"/>
    </row>
    <row r="35" spans="1:9" ht="15">
      <c r="A35" s="301"/>
      <c r="B35" s="307"/>
      <c r="C35" s="303"/>
      <c r="D35" s="304"/>
      <c r="E35" s="305"/>
      <c r="F35" s="306"/>
      <c r="G35" s="251">
        <f>IF($A$36=1,1,0)</f>
        <v>0</v>
      </c>
      <c r="H35" s="309"/>
      <c r="I35" s="310"/>
    </row>
    <row r="36" spans="1:9" ht="15">
      <c r="A36" s="301"/>
      <c r="B36" s="302" t="s">
        <v>301</v>
      </c>
      <c r="C36" s="303"/>
      <c r="D36" s="304"/>
      <c r="E36" s="305"/>
      <c r="F36" s="306"/>
      <c r="G36" s="251">
        <f t="shared" ref="G36:G43" si="5">IF($A$36=1,1,0)</f>
        <v>0</v>
      </c>
      <c r="H36" s="309"/>
      <c r="I36" s="310"/>
    </row>
    <row r="37" spans="1:9" ht="24">
      <c r="A37" s="301"/>
      <c r="B37" s="307" t="s">
        <v>774</v>
      </c>
      <c r="C37" s="303" t="s">
        <v>39</v>
      </c>
      <c r="D37" s="308">
        <f>'[5]INFRA &amp; PLANCHER'!J13</f>
        <v>55.825000000000003</v>
      </c>
      <c r="E37" s="305">
        <f>96.14*G2*H2</f>
        <v>124.982</v>
      </c>
      <c r="F37" s="306">
        <f>IF($A$36="",D37*E37,"")</f>
        <v>6977.1201500000006</v>
      </c>
      <c r="G37" s="251">
        <f t="shared" si="5"/>
        <v>0</v>
      </c>
      <c r="H37" s="309"/>
      <c r="I37" s="310"/>
    </row>
    <row r="38" spans="1:9" ht="15">
      <c r="A38" s="301"/>
      <c r="B38" s="307"/>
      <c r="C38" s="303"/>
      <c r="D38" s="304"/>
      <c r="E38" s="305"/>
      <c r="F38" s="306"/>
      <c r="G38" s="251">
        <f t="shared" si="5"/>
        <v>0</v>
      </c>
      <c r="H38" s="309"/>
      <c r="I38" s="310"/>
    </row>
    <row r="39" spans="1:9" ht="15">
      <c r="A39" s="301"/>
      <c r="B39" s="302" t="s">
        <v>300</v>
      </c>
      <c r="C39" s="303"/>
      <c r="D39" s="304"/>
      <c r="E39" s="305"/>
      <c r="F39" s="306"/>
      <c r="G39" s="251">
        <f t="shared" si="5"/>
        <v>0</v>
      </c>
      <c r="H39" s="309"/>
      <c r="I39" s="310"/>
    </row>
    <row r="40" spans="1:9" ht="24">
      <c r="A40" s="301"/>
      <c r="B40" s="307" t="s">
        <v>142</v>
      </c>
      <c r="C40" s="303" t="s">
        <v>39</v>
      </c>
      <c r="D40" s="308">
        <f>[5]SUPERSTRUCTURE!K14</f>
        <v>88.172500000000014</v>
      </c>
      <c r="E40" s="305">
        <f>69.48*G2*H2</f>
        <v>90.324000000000012</v>
      </c>
      <c r="F40" s="306">
        <f>IF($A$39="",D40*E40,"")</f>
        <v>7964.0928900000026</v>
      </c>
      <c r="G40" s="251">
        <f t="shared" si="5"/>
        <v>0</v>
      </c>
      <c r="H40" s="309"/>
      <c r="I40" s="310"/>
    </row>
    <row r="41" spans="1:9" ht="24">
      <c r="A41" s="301"/>
      <c r="B41" s="316" t="s">
        <v>773</v>
      </c>
      <c r="C41" s="303" t="s">
        <v>39</v>
      </c>
      <c r="D41" s="308">
        <f>'[5]CLOISON &amp; ETANCH'!J14</f>
        <v>0</v>
      </c>
      <c r="E41" s="305">
        <f>29.53*G2*H2</f>
        <v>38.389000000000003</v>
      </c>
      <c r="F41" s="306">
        <f t="shared" ref="F41:F43" si="6">IF($A$39="",D41*E41,"")</f>
        <v>0</v>
      </c>
      <c r="G41" s="251">
        <f t="shared" si="5"/>
        <v>0</v>
      </c>
      <c r="H41" s="309"/>
      <c r="I41" s="310"/>
    </row>
    <row r="42" spans="1:9" ht="36">
      <c r="A42" s="301"/>
      <c r="B42" s="307" t="s">
        <v>161</v>
      </c>
      <c r="C42" s="303" t="s">
        <v>18</v>
      </c>
      <c r="D42" s="308">
        <f>[5]SUPERSTRUCTURE!M26</f>
        <v>2.4780000000000002</v>
      </c>
      <c r="E42" s="317">
        <f>551.67*G2*H2</f>
        <v>717.17099999999994</v>
      </c>
      <c r="F42" s="306">
        <f t="shared" si="6"/>
        <v>1777.1497380000001</v>
      </c>
      <c r="G42" s="251">
        <f t="shared" si="5"/>
        <v>0</v>
      </c>
      <c r="H42" s="309"/>
      <c r="I42" s="310"/>
    </row>
    <row r="43" spans="1:9" s="318" customFormat="1" ht="15">
      <c r="A43" s="301"/>
      <c r="B43" s="307" t="s">
        <v>151</v>
      </c>
      <c r="C43" s="303" t="s">
        <v>0</v>
      </c>
      <c r="D43" s="311">
        <v>2</v>
      </c>
      <c r="E43" s="317">
        <f>24.07*G2*H2</f>
        <v>31.291</v>
      </c>
      <c r="F43" s="306">
        <f t="shared" si="6"/>
        <v>62.582000000000001</v>
      </c>
      <c r="G43" s="318">
        <f t="shared" si="5"/>
        <v>0</v>
      </c>
      <c r="H43" s="309"/>
      <c r="I43" s="310"/>
    </row>
    <row r="44" spans="1:9" s="325" customFormat="1" ht="15">
      <c r="A44" s="319"/>
      <c r="B44" s="320"/>
      <c r="C44" s="321"/>
      <c r="D44" s="322"/>
      <c r="E44" s="323"/>
      <c r="F44" s="324"/>
      <c r="G44" s="325">
        <f>IF($A$45=1,1,0)</f>
        <v>0</v>
      </c>
      <c r="H44" s="309"/>
      <c r="I44" s="310"/>
    </row>
    <row r="45" spans="1:9" ht="15">
      <c r="A45" s="301"/>
      <c r="B45" s="302" t="s">
        <v>88</v>
      </c>
      <c r="C45" s="303"/>
      <c r="D45" s="304"/>
      <c r="E45" s="305"/>
      <c r="F45" s="306"/>
      <c r="G45" s="251">
        <f t="shared" ref="G45:G50" si="7">IF($A$45=1,1,0)</f>
        <v>0</v>
      </c>
      <c r="H45" s="309"/>
      <c r="I45" s="310"/>
    </row>
    <row r="46" spans="1:9" ht="15">
      <c r="A46" s="301"/>
      <c r="B46" s="307" t="s">
        <v>217</v>
      </c>
      <c r="C46" s="303" t="s">
        <v>31</v>
      </c>
      <c r="D46" s="308">
        <f>[5]SUPERSTRUCTURE!M31</f>
        <v>7.2</v>
      </c>
      <c r="E46" s="305">
        <f>130.47*G2*H2</f>
        <v>169.61100000000002</v>
      </c>
      <c r="F46" s="306">
        <f>IF($A$45="",D46*E46,"")</f>
        <v>1221.1992000000002</v>
      </c>
      <c r="G46" s="251">
        <f t="shared" si="7"/>
        <v>0</v>
      </c>
      <c r="H46" s="309"/>
      <c r="I46" s="310"/>
    </row>
    <row r="47" spans="1:9" ht="15">
      <c r="A47" s="301"/>
      <c r="B47" s="307" t="s">
        <v>219</v>
      </c>
      <c r="C47" s="303" t="s">
        <v>31</v>
      </c>
      <c r="D47" s="308">
        <v>0</v>
      </c>
      <c r="E47" s="305">
        <f>1736.98*G2*H2</f>
        <v>2258.0740000000001</v>
      </c>
      <c r="F47" s="306">
        <f t="shared" ref="F47:F49" si="8">IF($A$45="",D47*E47,"")</f>
        <v>0</v>
      </c>
      <c r="G47" s="251">
        <f t="shared" si="7"/>
        <v>0</v>
      </c>
      <c r="H47" s="309"/>
      <c r="I47" s="310"/>
    </row>
    <row r="48" spans="1:9" ht="15">
      <c r="A48" s="301"/>
      <c r="B48" s="307" t="s">
        <v>775</v>
      </c>
      <c r="C48" s="303" t="s">
        <v>18</v>
      </c>
      <c r="D48" s="308">
        <f>'[5]CLOISON &amp; ETANCH'!F14</f>
        <v>1.3379999999999999</v>
      </c>
      <c r="E48" s="305">
        <f>547.51*$G$2*$H$2</f>
        <v>711.76300000000003</v>
      </c>
      <c r="F48" s="306">
        <f t="shared" si="8"/>
        <v>952.33889399999998</v>
      </c>
      <c r="G48" s="251">
        <f>IF($A$45=1,1,0)</f>
        <v>0</v>
      </c>
      <c r="H48" s="309"/>
      <c r="I48" s="310"/>
    </row>
    <row r="49" spans="1:9" ht="15">
      <c r="A49" s="301"/>
      <c r="B49" s="307" t="s">
        <v>776</v>
      </c>
      <c r="C49" s="303" t="s">
        <v>164</v>
      </c>
      <c r="D49" s="308"/>
      <c r="E49" s="305">
        <f>547.51*$G$2*$H$2</f>
        <v>711.76300000000003</v>
      </c>
      <c r="F49" s="306">
        <f t="shared" si="8"/>
        <v>0</v>
      </c>
      <c r="G49" s="251">
        <f t="shared" si="7"/>
        <v>0</v>
      </c>
      <c r="H49" s="309"/>
      <c r="I49" s="310"/>
    </row>
    <row r="50" spans="1:9" ht="15">
      <c r="A50" s="301"/>
      <c r="B50" s="307"/>
      <c r="C50" s="303"/>
      <c r="D50" s="308"/>
      <c r="E50" s="305"/>
      <c r="F50" s="306"/>
      <c r="G50" s="251">
        <f t="shared" si="7"/>
        <v>0</v>
      </c>
      <c r="H50" s="309"/>
      <c r="I50" s="310"/>
    </row>
    <row r="51" spans="1:9" ht="15">
      <c r="A51" s="301"/>
      <c r="B51" s="302" t="s">
        <v>303</v>
      </c>
      <c r="C51" s="303"/>
      <c r="D51" s="304"/>
      <c r="E51" s="305"/>
      <c r="F51" s="306"/>
      <c r="G51" s="251">
        <f>IF($A$51=1,1,0)</f>
        <v>0</v>
      </c>
      <c r="H51" s="309"/>
      <c r="I51" s="310"/>
    </row>
    <row r="52" spans="1:9" ht="15">
      <c r="A52" s="301"/>
      <c r="B52" s="307" t="s">
        <v>247</v>
      </c>
      <c r="C52" s="303" t="s">
        <v>39</v>
      </c>
      <c r="D52" s="308">
        <f>[5]SUPERSTRUCTURE!M23</f>
        <v>239.11250000000001</v>
      </c>
      <c r="E52" s="305">
        <f>18.72*G2*H2</f>
        <v>24.335999999999999</v>
      </c>
      <c r="F52" s="306">
        <f t="shared" ref="F52:F53" si="9">D52*E52</f>
        <v>5819.0418</v>
      </c>
      <c r="G52" s="251">
        <f t="shared" ref="G52:G53" si="10">IF($A$51=1,1,0)</f>
        <v>0</v>
      </c>
      <c r="H52" s="309"/>
      <c r="I52" s="310"/>
    </row>
    <row r="53" spans="1:9" ht="24">
      <c r="A53" s="301"/>
      <c r="B53" s="307" t="s">
        <v>777</v>
      </c>
      <c r="C53" s="303" t="s">
        <v>39</v>
      </c>
      <c r="D53" s="308">
        <f>[5]SUPERSTRUCTURE!M22</f>
        <v>270.69749999999999</v>
      </c>
      <c r="E53" s="305">
        <f>16.98*G2*H2</f>
        <v>22.074000000000002</v>
      </c>
      <c r="F53" s="306">
        <f t="shared" si="9"/>
        <v>5975.3766150000001</v>
      </c>
      <c r="G53" s="251">
        <f t="shared" si="10"/>
        <v>0</v>
      </c>
      <c r="H53" s="309"/>
      <c r="I53" s="310"/>
    </row>
    <row r="54" spans="1:9" ht="15">
      <c r="A54" s="301"/>
      <c r="B54" s="307"/>
      <c r="C54" s="303"/>
      <c r="D54" s="304"/>
      <c r="E54" s="305"/>
      <c r="F54" s="306"/>
      <c r="G54" s="251">
        <f>IF($A$55=1,1,0)</f>
        <v>0</v>
      </c>
      <c r="H54" s="309"/>
      <c r="I54" s="310"/>
    </row>
    <row r="55" spans="1:9" ht="15">
      <c r="A55" s="301"/>
      <c r="B55" s="302" t="s">
        <v>304</v>
      </c>
      <c r="C55" s="303"/>
      <c r="D55" s="304"/>
      <c r="E55" s="305"/>
      <c r="F55" s="306"/>
      <c r="G55" s="251">
        <f t="shared" ref="G55:G57" si="11">IF($A$55=1,1,0)</f>
        <v>0</v>
      </c>
      <c r="H55" s="309"/>
      <c r="I55" s="310"/>
    </row>
    <row r="56" spans="1:9" ht="24">
      <c r="A56" s="301"/>
      <c r="B56" s="307" t="s">
        <v>778</v>
      </c>
      <c r="C56" s="303" t="s">
        <v>39</v>
      </c>
      <c r="D56" s="308">
        <f>'[5]INFRA &amp; PLANCHER'!K5</f>
        <v>114.09749999999998</v>
      </c>
      <c r="E56" s="305">
        <f>54.43*G2*H2</f>
        <v>70.759</v>
      </c>
      <c r="F56" s="306">
        <f>IF($A$55="",D56*E56,"")</f>
        <v>8073.4250024999992</v>
      </c>
      <c r="G56" s="251">
        <f t="shared" si="11"/>
        <v>0</v>
      </c>
      <c r="H56" s="309"/>
      <c r="I56" s="310"/>
    </row>
    <row r="57" spans="1:9" ht="24">
      <c r="A57" s="301"/>
      <c r="B57" s="307" t="s">
        <v>779</v>
      </c>
      <c r="C57" s="303" t="s">
        <v>39</v>
      </c>
      <c r="D57" s="308">
        <f>'[5]CLOISON &amp; ETANCH'!E27+'[5]CLOISON &amp; ETANCH'!J27</f>
        <v>18.900000000000002</v>
      </c>
      <c r="E57" s="305">
        <f>61.95*G2*H2</f>
        <v>80.535000000000011</v>
      </c>
      <c r="F57" s="306">
        <f>IF($A$55="",D57*E57,"")</f>
        <v>1522.1115000000004</v>
      </c>
      <c r="G57" s="251">
        <f t="shared" si="11"/>
        <v>0</v>
      </c>
      <c r="H57" s="309"/>
      <c r="I57" s="310"/>
    </row>
    <row r="58" spans="1:9" ht="15">
      <c r="A58" s="301"/>
      <c r="B58" s="307"/>
      <c r="C58" s="303"/>
      <c r="D58" s="304"/>
      <c r="E58" s="305"/>
      <c r="F58" s="306"/>
      <c r="G58" s="251">
        <f>IF($A$59=1,1,0)</f>
        <v>0</v>
      </c>
      <c r="H58" s="309"/>
      <c r="I58" s="310"/>
    </row>
    <row r="59" spans="1:9" ht="15">
      <c r="A59" s="301"/>
      <c r="B59" s="302" t="s">
        <v>89</v>
      </c>
      <c r="C59" s="303"/>
      <c r="D59" s="304"/>
      <c r="E59" s="305"/>
      <c r="F59" s="306"/>
      <c r="G59" s="251">
        <f t="shared" ref="G59:G63" si="12">IF($A$59=1,1,0)</f>
        <v>0</v>
      </c>
      <c r="H59" s="309"/>
      <c r="I59" s="310"/>
    </row>
    <row r="60" spans="1:9" ht="15">
      <c r="A60" s="301"/>
      <c r="B60" s="307" t="s">
        <v>90</v>
      </c>
      <c r="C60" s="303" t="s">
        <v>39</v>
      </c>
      <c r="D60" s="308">
        <f>[5]SUPERSTRUCTURE!M28</f>
        <v>270.69749999999999</v>
      </c>
      <c r="E60" s="305">
        <f>14.86*G2*H2</f>
        <v>19.318000000000001</v>
      </c>
      <c r="F60" s="306">
        <f>IF($A$59="",D60*E60,"")</f>
        <v>5229.3343050000003</v>
      </c>
      <c r="G60" s="251">
        <f t="shared" si="12"/>
        <v>0</v>
      </c>
      <c r="H60" s="309"/>
      <c r="I60" s="310"/>
    </row>
    <row r="61" spans="1:9" ht="15">
      <c r="A61" s="301"/>
      <c r="B61" s="307" t="s">
        <v>780</v>
      </c>
      <c r="C61" s="303" t="s">
        <v>39</v>
      </c>
      <c r="D61" s="308">
        <f>[5]SUPERSTRUCTURE!M29</f>
        <v>511.66349999999994</v>
      </c>
      <c r="E61" s="305">
        <f>11.41*G2*H2</f>
        <v>14.833</v>
      </c>
      <c r="F61" s="306">
        <f t="shared" ref="F61:F63" si="13">IF($A$59="",D61*E61,"")</f>
        <v>7589.5046954999989</v>
      </c>
      <c r="G61" s="251">
        <f t="shared" si="12"/>
        <v>0</v>
      </c>
      <c r="H61" s="309"/>
      <c r="I61" s="310"/>
    </row>
    <row r="62" spans="1:9" ht="15">
      <c r="A62" s="301"/>
      <c r="B62" s="307" t="s">
        <v>93</v>
      </c>
      <c r="C62" s="303" t="s">
        <v>39</v>
      </c>
      <c r="D62" s="308">
        <f>'[5]CLOISON &amp; ETANCH'!F16</f>
        <v>19.968000000000004</v>
      </c>
      <c r="E62" s="305">
        <f>11.91*G2*H2</f>
        <v>15.483000000000001</v>
      </c>
      <c r="F62" s="306">
        <f t="shared" si="13"/>
        <v>309.16454400000009</v>
      </c>
      <c r="G62" s="251">
        <f t="shared" si="12"/>
        <v>0</v>
      </c>
      <c r="H62" s="309"/>
      <c r="I62" s="310"/>
    </row>
    <row r="63" spans="1:9" ht="15">
      <c r="A63" s="301"/>
      <c r="B63" s="307" t="s">
        <v>228</v>
      </c>
      <c r="C63" s="303" t="s">
        <v>39</v>
      </c>
      <c r="D63" s="308">
        <f>'[5]CLOISON &amp; ETANCH'!E22+'[5]CLOISON &amp; ETANCH'!J22</f>
        <v>26.400000000000002</v>
      </c>
      <c r="E63" s="305">
        <f>33.19*G2*H2</f>
        <v>43.146999999999998</v>
      </c>
      <c r="F63" s="306">
        <f t="shared" si="13"/>
        <v>1139.0808</v>
      </c>
      <c r="G63" s="251">
        <f t="shared" si="12"/>
        <v>0</v>
      </c>
      <c r="H63" s="309"/>
      <c r="I63" s="310"/>
    </row>
    <row r="64" spans="1:9" ht="15">
      <c r="A64" s="301"/>
      <c r="B64" s="307"/>
      <c r="C64" s="303"/>
      <c r="D64" s="304"/>
      <c r="E64" s="305"/>
      <c r="F64" s="306"/>
      <c r="G64" s="251">
        <f>IF($A$65=1,1,0)</f>
        <v>0</v>
      </c>
      <c r="H64" s="309"/>
      <c r="I64" s="310"/>
    </row>
    <row r="65" spans="1:10" ht="15">
      <c r="A65" s="301"/>
      <c r="B65" s="302" t="s">
        <v>302</v>
      </c>
      <c r="C65" s="303"/>
      <c r="D65" s="304"/>
      <c r="E65" s="305"/>
      <c r="F65" s="306"/>
      <c r="G65" s="251">
        <f t="shared" ref="G65:G74" si="14">IF($A$65=1,1,0)</f>
        <v>0</v>
      </c>
      <c r="H65" s="309"/>
      <c r="I65" s="310"/>
    </row>
    <row r="66" spans="1:10" ht="15">
      <c r="A66" s="301"/>
      <c r="B66" s="307" t="s">
        <v>163</v>
      </c>
      <c r="C66" s="303" t="s">
        <v>31</v>
      </c>
      <c r="D66" s="311">
        <v>48</v>
      </c>
      <c r="E66" s="305">
        <f>20.98*G2*H2</f>
        <v>27.274000000000001</v>
      </c>
      <c r="F66" s="326">
        <f>IF($A$65="",D66*E66,"")</f>
        <v>1309.152</v>
      </c>
      <c r="G66" s="251">
        <f t="shared" si="14"/>
        <v>0</v>
      </c>
      <c r="H66" s="309"/>
      <c r="I66" s="310"/>
    </row>
    <row r="67" spans="1:10" ht="15">
      <c r="A67" s="301"/>
      <c r="B67" s="307" t="s">
        <v>166</v>
      </c>
      <c r="C67" s="303" t="s">
        <v>31</v>
      </c>
      <c r="D67" s="308">
        <f>'[5]CHARP;COUVERT'!J19</f>
        <v>207.37584338406128</v>
      </c>
      <c r="E67" s="305">
        <f>17.1*G2*H2</f>
        <v>22.230000000000004</v>
      </c>
      <c r="F67" s="326">
        <f t="shared" ref="F67:F74" si="15">IF($A$65="",D67*E67,"")</f>
        <v>4609.964998427683</v>
      </c>
      <c r="G67" s="251">
        <f t="shared" si="14"/>
        <v>0</v>
      </c>
      <c r="H67" s="309"/>
      <c r="I67" s="310"/>
    </row>
    <row r="68" spans="1:10" ht="15">
      <c r="A68" s="301"/>
      <c r="B68" s="307" t="s">
        <v>241</v>
      </c>
      <c r="C68" s="303" t="s">
        <v>39</v>
      </c>
      <c r="D68" s="308">
        <f>'[5]CHARP;COUVERT'!F19</f>
        <v>155.67825904565518</v>
      </c>
      <c r="E68" s="305">
        <f>35.75*G2*H2</f>
        <v>46.475000000000001</v>
      </c>
      <c r="F68" s="326">
        <f t="shared" si="15"/>
        <v>7235.1470891468252</v>
      </c>
      <c r="G68" s="251">
        <f t="shared" si="14"/>
        <v>0</v>
      </c>
      <c r="H68" s="309"/>
      <c r="I68" s="310"/>
      <c r="J68" s="274"/>
    </row>
    <row r="69" spans="1:10" ht="24">
      <c r="A69" s="301"/>
      <c r="B69" s="307" t="s">
        <v>239</v>
      </c>
      <c r="C69" s="303" t="s">
        <v>31</v>
      </c>
      <c r="D69" s="308">
        <f>'[5]CHARP;COUVERT'!I27</f>
        <v>43.199999999999996</v>
      </c>
      <c r="E69" s="305">
        <f>56.88*G2*H2</f>
        <v>73.944000000000003</v>
      </c>
      <c r="F69" s="326">
        <f t="shared" si="15"/>
        <v>3194.3807999999999</v>
      </c>
      <c r="G69" s="251">
        <f t="shared" si="14"/>
        <v>0</v>
      </c>
      <c r="H69" s="309"/>
      <c r="I69" s="310"/>
      <c r="J69" s="274"/>
    </row>
    <row r="70" spans="1:10" ht="15">
      <c r="A70" s="301"/>
      <c r="B70" s="307" t="s">
        <v>240</v>
      </c>
      <c r="C70" s="303" t="s">
        <v>31</v>
      </c>
      <c r="D70" s="308">
        <f>'[5]CHARP;COUVERT'!F27+'[5]CHARP;COUVERT'!H27</f>
        <v>30.257149763145733</v>
      </c>
      <c r="E70" s="305">
        <f>38.21*G2*H2</f>
        <v>49.673000000000002</v>
      </c>
      <c r="F70" s="326">
        <f t="shared" si="15"/>
        <v>1502.963400184738</v>
      </c>
      <c r="G70" s="251">
        <f t="shared" si="14"/>
        <v>0</v>
      </c>
      <c r="H70" s="309"/>
      <c r="I70" s="310"/>
      <c r="J70" s="274"/>
    </row>
    <row r="71" spans="1:10" ht="15">
      <c r="A71" s="301"/>
      <c r="B71" s="307" t="s">
        <v>86</v>
      </c>
      <c r="C71" s="303" t="s">
        <v>31</v>
      </c>
      <c r="D71" s="308">
        <f>'[5]CHARP;COUVERT'!H11</f>
        <v>21.599999999999998</v>
      </c>
      <c r="E71" s="305">
        <f>40.16*G2*H2</f>
        <v>52.207999999999998</v>
      </c>
      <c r="F71" s="326">
        <f t="shared" si="15"/>
        <v>1127.6927999999998</v>
      </c>
      <c r="G71" s="251">
        <f t="shared" si="14"/>
        <v>0</v>
      </c>
      <c r="H71" s="309"/>
      <c r="I71" s="310"/>
      <c r="J71" s="274"/>
    </row>
    <row r="72" spans="1:10" ht="15">
      <c r="A72" s="301"/>
      <c r="B72" s="307" t="s">
        <v>213</v>
      </c>
      <c r="C72" s="303" t="s">
        <v>31</v>
      </c>
      <c r="D72" s="308">
        <f>'[5]CHARP;COUVERT'!D19</f>
        <v>0</v>
      </c>
      <c r="E72" s="305">
        <f>81.17*G2*H2</f>
        <v>105.521</v>
      </c>
      <c r="F72" s="326">
        <f t="shared" si="15"/>
        <v>0</v>
      </c>
      <c r="G72" s="251">
        <f t="shared" si="14"/>
        <v>0</v>
      </c>
      <c r="H72" s="309"/>
      <c r="I72" s="310"/>
      <c r="J72" s="274"/>
    </row>
    <row r="73" spans="1:10" ht="15">
      <c r="A73" s="301"/>
      <c r="B73" s="307" t="s">
        <v>216</v>
      </c>
      <c r="C73" s="303" t="s">
        <v>31</v>
      </c>
      <c r="D73" s="308">
        <f>'[5]CHARP;COUVERT'!H27</f>
        <v>0</v>
      </c>
      <c r="E73" s="305">
        <f>60.39*$G$2*$H$2</f>
        <v>78.507000000000005</v>
      </c>
      <c r="F73" s="326">
        <f t="shared" si="15"/>
        <v>0</v>
      </c>
      <c r="G73" s="251">
        <f t="shared" si="14"/>
        <v>0</v>
      </c>
      <c r="H73" s="309"/>
      <c r="I73" s="310"/>
      <c r="J73" s="274"/>
    </row>
    <row r="74" spans="1:10" ht="24">
      <c r="A74" s="301"/>
      <c r="B74" s="307" t="s">
        <v>781</v>
      </c>
      <c r="C74" s="303" t="s">
        <v>31</v>
      </c>
      <c r="D74" s="308">
        <v>4</v>
      </c>
      <c r="E74" s="305">
        <f>38.2*$G$2*$H$2</f>
        <v>49.660000000000004</v>
      </c>
      <c r="F74" s="326">
        <f t="shared" si="15"/>
        <v>198.64000000000001</v>
      </c>
      <c r="G74" s="251">
        <f t="shared" si="14"/>
        <v>0</v>
      </c>
      <c r="H74" s="309"/>
      <c r="I74" s="310"/>
      <c r="J74" s="274"/>
    </row>
    <row r="75" spans="1:10" ht="15">
      <c r="A75" s="301"/>
      <c r="B75" s="307"/>
      <c r="C75" s="303"/>
      <c r="D75" s="308"/>
      <c r="E75" s="305"/>
      <c r="F75" s="306"/>
      <c r="G75" s="251">
        <f>IF($A$76=1,1,0)</f>
        <v>0</v>
      </c>
      <c r="H75" s="309"/>
      <c r="I75" s="310"/>
      <c r="J75" s="274"/>
    </row>
    <row r="76" spans="1:10" ht="15">
      <c r="A76" s="301"/>
      <c r="B76" s="302" t="s">
        <v>337</v>
      </c>
      <c r="C76" s="303"/>
      <c r="D76" s="304"/>
      <c r="E76" s="305"/>
      <c r="F76" s="326"/>
      <c r="G76" s="251">
        <f t="shared" ref="G76:G87" si="16">IF($A$76=1,1,0)</f>
        <v>0</v>
      </c>
      <c r="H76" s="309"/>
      <c r="I76" s="310"/>
      <c r="J76" s="274"/>
    </row>
    <row r="77" spans="1:10" ht="15">
      <c r="A77" s="301"/>
      <c r="B77" s="307" t="s">
        <v>338</v>
      </c>
      <c r="C77" s="303" t="s">
        <v>0</v>
      </c>
      <c r="D77" s="311">
        <v>1</v>
      </c>
      <c r="E77" s="305">
        <f>313.78*G2*H2</f>
        <v>407.91399999999999</v>
      </c>
      <c r="F77" s="306">
        <f>IF($A$76="",D77*E77,"")</f>
        <v>407.91399999999999</v>
      </c>
      <c r="G77" s="251">
        <f t="shared" si="16"/>
        <v>0</v>
      </c>
      <c r="H77" s="309"/>
      <c r="I77" s="310"/>
      <c r="J77" s="274"/>
    </row>
    <row r="78" spans="1:10" ht="15">
      <c r="A78" s="301"/>
      <c r="B78" s="307" t="s">
        <v>341</v>
      </c>
      <c r="C78" s="303" t="s">
        <v>0</v>
      </c>
      <c r="D78" s="311">
        <v>0</v>
      </c>
      <c r="E78" s="305">
        <f>327.03*G2*H2</f>
        <v>425.13899999999995</v>
      </c>
      <c r="F78" s="306">
        <f t="shared" ref="F78:F86" si="17">IF($A$76="",D78*E78,"")</f>
        <v>0</v>
      </c>
      <c r="G78" s="251">
        <f t="shared" si="16"/>
        <v>0</v>
      </c>
      <c r="H78" s="309"/>
      <c r="I78" s="310"/>
      <c r="J78" s="274"/>
    </row>
    <row r="79" spans="1:10">
      <c r="A79" s="301"/>
      <c r="B79" s="307" t="s">
        <v>342</v>
      </c>
      <c r="C79" s="303" t="s">
        <v>0</v>
      </c>
      <c r="D79" s="311">
        <v>1</v>
      </c>
      <c r="E79" s="305">
        <f>237.12*G2*H2</f>
        <v>308.25600000000003</v>
      </c>
      <c r="F79" s="306">
        <f t="shared" si="17"/>
        <v>308.25600000000003</v>
      </c>
      <c r="G79" s="251">
        <f t="shared" si="16"/>
        <v>0</v>
      </c>
      <c r="H79" s="327"/>
      <c r="I79" s="327"/>
      <c r="J79" s="274"/>
    </row>
    <row r="80" spans="1:10">
      <c r="A80" s="301"/>
      <c r="B80" s="307" t="s">
        <v>343</v>
      </c>
      <c r="C80" s="303" t="s">
        <v>0</v>
      </c>
      <c r="D80" s="311">
        <v>1</v>
      </c>
      <c r="E80" s="305">
        <f>383.21*G2*H2</f>
        <v>498.173</v>
      </c>
      <c r="F80" s="306">
        <f t="shared" si="17"/>
        <v>498.173</v>
      </c>
      <c r="G80" s="251">
        <f t="shared" si="16"/>
        <v>0</v>
      </c>
      <c r="H80" s="327"/>
      <c r="I80" s="327"/>
      <c r="J80" s="274"/>
    </row>
    <row r="81" spans="1:11">
      <c r="A81" s="301"/>
      <c r="B81" s="307" t="s">
        <v>345</v>
      </c>
      <c r="C81" s="303" t="s">
        <v>0</v>
      </c>
      <c r="D81" s="311">
        <v>1</v>
      </c>
      <c r="E81" s="305">
        <f>237.12*G2*H2</f>
        <v>308.25600000000003</v>
      </c>
      <c r="F81" s="306">
        <f t="shared" si="17"/>
        <v>308.25600000000003</v>
      </c>
      <c r="G81" s="251">
        <f t="shared" si="16"/>
        <v>0</v>
      </c>
      <c r="H81" s="327"/>
      <c r="I81" s="327"/>
      <c r="J81" s="274"/>
    </row>
    <row r="82" spans="1:11">
      <c r="A82" s="301"/>
      <c r="B82" s="307" t="s">
        <v>347</v>
      </c>
      <c r="C82" s="303" t="s">
        <v>0</v>
      </c>
      <c r="D82" s="311">
        <v>1</v>
      </c>
      <c r="E82" s="305">
        <f>65.2*G2*H2</f>
        <v>84.76</v>
      </c>
      <c r="F82" s="306">
        <f t="shared" si="17"/>
        <v>84.76</v>
      </c>
      <c r="G82" s="251">
        <f t="shared" si="16"/>
        <v>0</v>
      </c>
      <c r="H82" s="327"/>
      <c r="I82" s="327"/>
      <c r="J82" s="327"/>
    </row>
    <row r="83" spans="1:11">
      <c r="A83" s="301"/>
      <c r="B83" s="307" t="s">
        <v>348</v>
      </c>
      <c r="C83" s="303" t="s">
        <v>0</v>
      </c>
      <c r="D83" s="311">
        <v>3</v>
      </c>
      <c r="E83" s="305">
        <f>67.44*G2*H2</f>
        <v>87.671999999999997</v>
      </c>
      <c r="F83" s="306">
        <f t="shared" si="17"/>
        <v>263.01599999999996</v>
      </c>
      <c r="G83" s="251">
        <f t="shared" si="16"/>
        <v>0</v>
      </c>
      <c r="H83" s="274"/>
      <c r="I83" s="327"/>
      <c r="J83" s="274"/>
    </row>
    <row r="84" spans="1:11">
      <c r="A84" s="301"/>
      <c r="B84" s="307" t="s">
        <v>334</v>
      </c>
      <c r="C84" s="303" t="s">
        <v>0</v>
      </c>
      <c r="D84" s="311">
        <v>1</v>
      </c>
      <c r="E84" s="305">
        <f>75.87*G2*H2</f>
        <v>98.631000000000014</v>
      </c>
      <c r="F84" s="306">
        <f t="shared" si="17"/>
        <v>98.631000000000014</v>
      </c>
      <c r="G84" s="251">
        <f t="shared" si="16"/>
        <v>0</v>
      </c>
      <c r="H84" s="328"/>
      <c r="I84" s="328"/>
      <c r="J84" s="328"/>
    </row>
    <row r="85" spans="1:11">
      <c r="A85" s="301"/>
      <c r="B85" s="307" t="s">
        <v>363</v>
      </c>
      <c r="C85" s="303" t="s">
        <v>31</v>
      </c>
      <c r="D85" s="311">
        <v>18</v>
      </c>
      <c r="E85" s="305">
        <f>7.42*G2*H2</f>
        <v>9.6460000000000008</v>
      </c>
      <c r="F85" s="306">
        <f t="shared" si="17"/>
        <v>173.62800000000001</v>
      </c>
      <c r="G85" s="251">
        <f t="shared" si="16"/>
        <v>0</v>
      </c>
      <c r="H85" s="327"/>
      <c r="I85" s="328"/>
    </row>
    <row r="86" spans="1:11">
      <c r="A86" s="301"/>
      <c r="B86" s="307" t="s">
        <v>359</v>
      </c>
      <c r="C86" s="303" t="s">
        <v>31</v>
      </c>
      <c r="D86" s="311">
        <v>36</v>
      </c>
      <c r="E86" s="305">
        <f>6.4*G2*H2</f>
        <v>8.32</v>
      </c>
      <c r="F86" s="306">
        <f t="shared" si="17"/>
        <v>299.52</v>
      </c>
      <c r="G86" s="251">
        <f t="shared" si="16"/>
        <v>0</v>
      </c>
      <c r="H86" s="329"/>
      <c r="I86" s="328"/>
      <c r="J86" s="328"/>
      <c r="K86" s="330"/>
    </row>
    <row r="87" spans="1:11">
      <c r="A87" s="301"/>
      <c r="B87" s="307"/>
      <c r="C87" s="303"/>
      <c r="D87" s="311"/>
      <c r="E87" s="305"/>
      <c r="F87" s="306"/>
      <c r="G87" s="251">
        <f t="shared" si="16"/>
        <v>0</v>
      </c>
      <c r="I87" s="328"/>
      <c r="J87" s="328"/>
    </row>
    <row r="88" spans="1:11">
      <c r="A88" s="301"/>
      <c r="B88" s="302" t="s">
        <v>313</v>
      </c>
      <c r="C88" s="303"/>
      <c r="D88" s="304"/>
      <c r="E88" s="305"/>
      <c r="F88" s="306"/>
      <c r="G88" s="251">
        <f t="shared" ref="G88:G90" si="18">IF($A$88=1,1,0)</f>
        <v>0</v>
      </c>
      <c r="I88" s="328"/>
      <c r="J88" s="328"/>
    </row>
    <row r="89" spans="1:11">
      <c r="A89" s="301"/>
      <c r="B89" s="307"/>
      <c r="C89" s="303"/>
      <c r="D89" s="304"/>
      <c r="E89" s="305"/>
      <c r="F89" s="306"/>
      <c r="G89" s="251">
        <f t="shared" si="18"/>
        <v>0</v>
      </c>
      <c r="H89" s="274"/>
      <c r="I89" s="328"/>
      <c r="J89" s="328"/>
    </row>
    <row r="90" spans="1:11" ht="24">
      <c r="A90" s="301"/>
      <c r="B90" s="307" t="s">
        <v>782</v>
      </c>
      <c r="C90" s="303" t="s">
        <v>39</v>
      </c>
      <c r="D90" s="308">
        <f>[5]SUPERSTRUCTURE!M34</f>
        <v>114.09749999999997</v>
      </c>
      <c r="E90" s="305">
        <f>44.63*G2*H2</f>
        <v>58.019000000000005</v>
      </c>
      <c r="F90" s="306">
        <f>IF($A$88="",D90*E90,"")</f>
        <v>6619.8228524999986</v>
      </c>
      <c r="G90" s="251">
        <f t="shared" si="18"/>
        <v>0</v>
      </c>
      <c r="H90" s="328"/>
      <c r="I90" s="328"/>
    </row>
    <row r="91" spans="1:11">
      <c r="A91" s="301"/>
      <c r="B91" s="307"/>
      <c r="C91" s="303"/>
      <c r="D91" s="304"/>
      <c r="E91" s="305"/>
      <c r="F91" s="306"/>
      <c r="G91" s="251">
        <f>IF($A$92=1,1,0)</f>
        <v>0</v>
      </c>
      <c r="H91" s="328"/>
      <c r="I91" s="328"/>
    </row>
    <row r="92" spans="1:11">
      <c r="A92" s="301"/>
      <c r="B92" s="302" t="s">
        <v>783</v>
      </c>
      <c r="C92" s="303"/>
      <c r="D92" s="304"/>
      <c r="E92" s="305"/>
      <c r="F92" s="306"/>
      <c r="G92" s="251">
        <f t="shared" ref="G92:G93" si="19">IF($A$92=1,1,0)</f>
        <v>0</v>
      </c>
      <c r="H92" s="328"/>
      <c r="I92" s="328"/>
    </row>
    <row r="93" spans="1:11">
      <c r="A93" s="301"/>
      <c r="B93" s="307" t="s">
        <v>784</v>
      </c>
      <c r="C93" s="303" t="s">
        <v>0</v>
      </c>
      <c r="D93" s="308">
        <f>'[5]CLOISON &amp; ETANCH'!C17+'[5]CLOISON &amp; ETANCH'!H17</f>
        <v>6</v>
      </c>
      <c r="E93" s="305">
        <f>107.87*G2*H2</f>
        <v>140.23100000000002</v>
      </c>
      <c r="F93" s="306">
        <f>IF($A$92="",D93*E93,"")</f>
        <v>841.38600000000019</v>
      </c>
      <c r="G93" s="251">
        <f t="shared" si="19"/>
        <v>0</v>
      </c>
      <c r="H93" s="328"/>
      <c r="I93" s="328"/>
    </row>
    <row r="94" spans="1:11">
      <c r="A94" s="301"/>
      <c r="B94" s="307"/>
      <c r="C94" s="303"/>
      <c r="D94" s="304"/>
      <c r="E94" s="305"/>
      <c r="F94" s="306"/>
      <c r="G94" s="251">
        <f>IF($A$95=1,1,0)</f>
        <v>0</v>
      </c>
      <c r="H94" s="328"/>
      <c r="I94" s="328"/>
    </row>
    <row r="95" spans="1:11">
      <c r="A95" s="301"/>
      <c r="B95" s="302" t="s">
        <v>785</v>
      </c>
      <c r="C95" s="303"/>
      <c r="D95" s="304"/>
      <c r="E95" s="305"/>
      <c r="F95" s="306"/>
      <c r="G95" s="251">
        <f>IF($A$95=1,1,0)</f>
        <v>0</v>
      </c>
      <c r="H95" s="328"/>
      <c r="I95" s="328"/>
    </row>
    <row r="96" spans="1:11">
      <c r="A96" s="301"/>
      <c r="B96" s="307" t="s">
        <v>786</v>
      </c>
      <c r="C96" s="303" t="s">
        <v>164</v>
      </c>
      <c r="D96" s="308"/>
      <c r="E96" s="305"/>
      <c r="F96" s="326">
        <f>IF($A$95="",[5]MENUISERIES!E2/1.085,"")</f>
        <v>0</v>
      </c>
      <c r="G96" s="251">
        <f>IF($A$95=1,1,0)</f>
        <v>0</v>
      </c>
      <c r="H96" s="328"/>
      <c r="I96" s="328"/>
    </row>
    <row r="97" spans="1:9">
      <c r="A97" s="301"/>
      <c r="B97" s="331"/>
      <c r="C97" s="303"/>
      <c r="D97" s="308"/>
      <c r="E97" s="305"/>
      <c r="F97" s="306"/>
      <c r="G97" s="251">
        <f>IF($A$98=1,1,0)</f>
        <v>0</v>
      </c>
      <c r="H97" s="328"/>
      <c r="I97" s="328"/>
    </row>
    <row r="98" spans="1:9">
      <c r="A98" s="301"/>
      <c r="B98" s="302" t="s">
        <v>787</v>
      </c>
      <c r="C98" s="303"/>
      <c r="D98" s="308"/>
      <c r="E98" s="305"/>
      <c r="F98" s="306"/>
      <c r="G98" s="251">
        <f t="shared" ref="G98:G116" si="20">IF($A$98=1,1,0)</f>
        <v>0</v>
      </c>
      <c r="H98" s="328"/>
      <c r="I98" s="328"/>
    </row>
    <row r="99" spans="1:9" s="325" customFormat="1" ht="24">
      <c r="A99" s="319"/>
      <c r="B99" s="307" t="s">
        <v>788</v>
      </c>
      <c r="C99" s="321" t="s">
        <v>164</v>
      </c>
      <c r="D99" s="332"/>
      <c r="E99" s="333">
        <v>4500</v>
      </c>
      <c r="F99" s="334">
        <f>IF($A$98="",D99*E99,"")</f>
        <v>0</v>
      </c>
      <c r="G99" s="325">
        <f t="shared" si="20"/>
        <v>0</v>
      </c>
      <c r="H99" s="335"/>
      <c r="I99" s="335"/>
    </row>
    <row r="100" spans="1:9" s="325" customFormat="1">
      <c r="A100" s="319"/>
      <c r="B100" s="320" t="s">
        <v>789</v>
      </c>
      <c r="C100" s="321" t="s">
        <v>6</v>
      </c>
      <c r="D100" s="332">
        <v>11</v>
      </c>
      <c r="E100" s="333">
        <f>60*$G$2*$H$2</f>
        <v>78</v>
      </c>
      <c r="F100" s="334">
        <f t="shared" ref="F100:F115" si="21">IF($A$98="",D100*E100,"")</f>
        <v>858</v>
      </c>
      <c r="G100" s="325">
        <f t="shared" si="20"/>
        <v>0</v>
      </c>
      <c r="H100" s="335"/>
      <c r="I100" s="335"/>
    </row>
    <row r="101" spans="1:9" s="325" customFormat="1">
      <c r="A101" s="319"/>
      <c r="B101" s="320" t="s">
        <v>790</v>
      </c>
      <c r="C101" s="321" t="s">
        <v>6</v>
      </c>
      <c r="D101" s="332">
        <v>20</v>
      </c>
      <c r="E101" s="333">
        <f>75*$G$2*$H$2</f>
        <v>97.5</v>
      </c>
      <c r="F101" s="334">
        <f t="shared" si="21"/>
        <v>1950</v>
      </c>
      <c r="G101" s="325">
        <f t="shared" si="20"/>
        <v>0</v>
      </c>
      <c r="H101" s="335"/>
      <c r="I101" s="335"/>
    </row>
    <row r="102" spans="1:9" s="325" customFormat="1">
      <c r="A102" s="319"/>
      <c r="B102" s="336" t="s">
        <v>791</v>
      </c>
      <c r="C102" s="321" t="s">
        <v>6</v>
      </c>
      <c r="D102" s="332">
        <v>2</v>
      </c>
      <c r="E102" s="333">
        <f>75*$G$2*$H$2</f>
        <v>97.5</v>
      </c>
      <c r="F102" s="334">
        <f t="shared" si="21"/>
        <v>195</v>
      </c>
      <c r="G102" s="325">
        <f t="shared" si="20"/>
        <v>0</v>
      </c>
      <c r="H102" s="335"/>
      <c r="I102" s="335"/>
    </row>
    <row r="103" spans="1:9" s="325" customFormat="1">
      <c r="A103" s="319"/>
      <c r="B103" s="336" t="s">
        <v>792</v>
      </c>
      <c r="C103" s="321" t="s">
        <v>6</v>
      </c>
      <c r="D103" s="332">
        <v>1</v>
      </c>
      <c r="E103" s="333">
        <f>75*$G$2*$H$2</f>
        <v>97.5</v>
      </c>
      <c r="F103" s="334">
        <f t="shared" si="21"/>
        <v>97.5</v>
      </c>
      <c r="G103" s="325">
        <f t="shared" si="20"/>
        <v>0</v>
      </c>
      <c r="H103" s="335"/>
      <c r="I103" s="335"/>
    </row>
    <row r="104" spans="1:9" s="325" customFormat="1">
      <c r="A104" s="319"/>
      <c r="B104" s="336" t="s">
        <v>793</v>
      </c>
      <c r="C104" s="321" t="s">
        <v>6</v>
      </c>
      <c r="D104" s="332">
        <v>4</v>
      </c>
      <c r="E104" s="333">
        <f>65*$G$2*$H$2</f>
        <v>84.5</v>
      </c>
      <c r="F104" s="334">
        <f t="shared" si="21"/>
        <v>338</v>
      </c>
      <c r="G104" s="325">
        <f t="shared" si="20"/>
        <v>0</v>
      </c>
      <c r="H104" s="335"/>
      <c r="I104" s="335"/>
    </row>
    <row r="105" spans="1:9" s="325" customFormat="1">
      <c r="A105" s="319"/>
      <c r="B105" s="320" t="s">
        <v>794</v>
      </c>
      <c r="C105" s="321" t="s">
        <v>6</v>
      </c>
      <c r="D105" s="332">
        <v>4</v>
      </c>
      <c r="E105" s="333">
        <f>65*$G$2*$H$2</f>
        <v>84.5</v>
      </c>
      <c r="F105" s="334">
        <f t="shared" si="21"/>
        <v>338</v>
      </c>
      <c r="G105" s="325">
        <f t="shared" si="20"/>
        <v>0</v>
      </c>
      <c r="H105" s="335"/>
      <c r="I105" s="335"/>
    </row>
    <row r="106" spans="1:9" s="325" customFormat="1">
      <c r="A106" s="319"/>
      <c r="B106" s="320" t="s">
        <v>795</v>
      </c>
      <c r="C106" s="321" t="s">
        <v>6</v>
      </c>
      <c r="D106" s="332"/>
      <c r="E106" s="333">
        <f>80*$G$2*$H$2</f>
        <v>104</v>
      </c>
      <c r="F106" s="334">
        <f t="shared" si="21"/>
        <v>0</v>
      </c>
      <c r="G106" s="325">
        <f t="shared" si="20"/>
        <v>0</v>
      </c>
      <c r="H106" s="335"/>
      <c r="I106" s="335"/>
    </row>
    <row r="107" spans="1:9" s="325" customFormat="1">
      <c r="A107" s="319"/>
      <c r="B107" s="320" t="s">
        <v>796</v>
      </c>
      <c r="C107" s="321" t="s">
        <v>6</v>
      </c>
      <c r="D107" s="332"/>
      <c r="E107" s="333">
        <f>65*$G$2*$H$2</f>
        <v>84.5</v>
      </c>
      <c r="F107" s="334">
        <f t="shared" si="21"/>
        <v>0</v>
      </c>
      <c r="G107" s="325">
        <f t="shared" si="20"/>
        <v>0</v>
      </c>
      <c r="H107" s="335"/>
      <c r="I107" s="335"/>
    </row>
    <row r="108" spans="1:9" s="325" customFormat="1">
      <c r="A108" s="319"/>
      <c r="B108" s="336" t="s">
        <v>797</v>
      </c>
      <c r="C108" s="321" t="s">
        <v>6</v>
      </c>
      <c r="D108" s="332">
        <v>4</v>
      </c>
      <c r="E108" s="333">
        <f>65*$G$2*$H$2</f>
        <v>84.5</v>
      </c>
      <c r="F108" s="334">
        <f t="shared" si="21"/>
        <v>338</v>
      </c>
      <c r="G108" s="325">
        <f t="shared" si="20"/>
        <v>0</v>
      </c>
      <c r="H108" s="335"/>
      <c r="I108" s="335"/>
    </row>
    <row r="109" spans="1:9" s="325" customFormat="1">
      <c r="A109" s="319"/>
      <c r="B109" s="320" t="s">
        <v>798</v>
      </c>
      <c r="C109" s="321" t="s">
        <v>6</v>
      </c>
      <c r="D109" s="332">
        <v>2</v>
      </c>
      <c r="E109" s="333">
        <f>65*$G$2*$H$2</f>
        <v>84.5</v>
      </c>
      <c r="F109" s="334">
        <f t="shared" si="21"/>
        <v>169</v>
      </c>
      <c r="G109" s="325">
        <f t="shared" si="20"/>
        <v>0</v>
      </c>
      <c r="H109" s="335"/>
      <c r="I109" s="335"/>
    </row>
    <row r="110" spans="1:9" s="325" customFormat="1">
      <c r="A110" s="319"/>
      <c r="B110" s="320" t="s">
        <v>799</v>
      </c>
      <c r="C110" s="321" t="s">
        <v>6</v>
      </c>
      <c r="D110" s="332">
        <v>2</v>
      </c>
      <c r="E110" s="333">
        <f>65*$G$2*$H$2</f>
        <v>84.5</v>
      </c>
      <c r="F110" s="334">
        <f t="shared" si="21"/>
        <v>169</v>
      </c>
      <c r="G110" s="325">
        <f t="shared" si="20"/>
        <v>0</v>
      </c>
      <c r="H110" s="335"/>
      <c r="I110" s="335"/>
    </row>
    <row r="111" spans="1:9" s="325" customFormat="1">
      <c r="A111" s="319"/>
      <c r="B111" s="320" t="s">
        <v>800</v>
      </c>
      <c r="C111" s="321" t="s">
        <v>6</v>
      </c>
      <c r="D111" s="332">
        <v>1</v>
      </c>
      <c r="E111" s="333">
        <f>100*$G$2*$H$2</f>
        <v>130</v>
      </c>
      <c r="F111" s="334">
        <f t="shared" si="21"/>
        <v>130</v>
      </c>
      <c r="G111" s="325">
        <f t="shared" si="20"/>
        <v>0</v>
      </c>
      <c r="H111" s="335"/>
      <c r="I111" s="335"/>
    </row>
    <row r="112" spans="1:9" s="325" customFormat="1">
      <c r="A112" s="319"/>
      <c r="B112" s="320" t="s">
        <v>801</v>
      </c>
      <c r="C112" s="321" t="s">
        <v>6</v>
      </c>
      <c r="D112" s="332">
        <v>1</v>
      </c>
      <c r="E112" s="333">
        <f>950*$G$2*$H$2</f>
        <v>1235</v>
      </c>
      <c r="F112" s="334">
        <f t="shared" si="21"/>
        <v>1235</v>
      </c>
      <c r="G112" s="325">
        <f t="shared" si="20"/>
        <v>0</v>
      </c>
      <c r="H112" s="335"/>
      <c r="I112" s="335"/>
    </row>
    <row r="113" spans="1:13" s="325" customFormat="1">
      <c r="A113" s="319"/>
      <c r="B113" s="320" t="s">
        <v>802</v>
      </c>
      <c r="C113" s="321" t="s">
        <v>6</v>
      </c>
      <c r="D113" s="332">
        <v>1</v>
      </c>
      <c r="E113" s="333">
        <f>150*$G$2*$H$2</f>
        <v>195</v>
      </c>
      <c r="F113" s="334">
        <f t="shared" si="21"/>
        <v>195</v>
      </c>
      <c r="G113" s="325">
        <f t="shared" si="20"/>
        <v>0</v>
      </c>
      <c r="H113" s="335"/>
      <c r="I113" s="335"/>
    </row>
    <row r="114" spans="1:13" s="325" customFormat="1">
      <c r="A114" s="319"/>
      <c r="B114" s="320" t="s">
        <v>803</v>
      </c>
      <c r="C114" s="321" t="s">
        <v>6</v>
      </c>
      <c r="D114" s="332">
        <v>1</v>
      </c>
      <c r="E114" s="333">
        <f>100*$G$2*$H$2</f>
        <v>130</v>
      </c>
      <c r="F114" s="334">
        <f t="shared" si="21"/>
        <v>130</v>
      </c>
      <c r="G114" s="325">
        <f t="shared" si="20"/>
        <v>0</v>
      </c>
      <c r="H114" s="335"/>
      <c r="I114" s="335"/>
    </row>
    <row r="115" spans="1:13" s="325" customFormat="1">
      <c r="A115" s="319"/>
      <c r="B115" s="320" t="s">
        <v>804</v>
      </c>
      <c r="C115" s="321" t="s">
        <v>6</v>
      </c>
      <c r="D115" s="332">
        <v>1</v>
      </c>
      <c r="E115" s="333">
        <f>100*$G$2*$H$2</f>
        <v>130</v>
      </c>
      <c r="F115" s="334">
        <f t="shared" si="21"/>
        <v>130</v>
      </c>
      <c r="G115" s="325">
        <f t="shared" si="20"/>
        <v>0</v>
      </c>
      <c r="H115" s="335"/>
      <c r="I115" s="335"/>
    </row>
    <row r="116" spans="1:13" s="325" customFormat="1">
      <c r="A116" s="319"/>
      <c r="B116" s="320"/>
      <c r="C116" s="321"/>
      <c r="D116" s="337"/>
      <c r="E116" s="323"/>
      <c r="F116" s="338"/>
      <c r="G116" s="325">
        <f t="shared" si="20"/>
        <v>0</v>
      </c>
      <c r="H116" s="335"/>
      <c r="I116" s="335"/>
    </row>
    <row r="117" spans="1:13">
      <c r="A117" s="301"/>
      <c r="B117" s="302" t="s">
        <v>805</v>
      </c>
      <c r="C117" s="303"/>
      <c r="D117" s="304"/>
      <c r="E117" s="305"/>
      <c r="F117" s="306"/>
      <c r="G117" s="251">
        <f t="shared" ref="G117:G120" si="22">IF($A$117=1,1,0)</f>
        <v>0</v>
      </c>
      <c r="H117" s="328"/>
      <c r="I117" s="328"/>
      <c r="J117" s="339"/>
      <c r="K117" s="340"/>
      <c r="L117" s="340"/>
      <c r="M117" s="341"/>
    </row>
    <row r="118" spans="1:13">
      <c r="A118" s="301"/>
      <c r="B118" s="307" t="s">
        <v>806</v>
      </c>
      <c r="C118" s="303" t="s">
        <v>31</v>
      </c>
      <c r="D118" s="308">
        <f>'[5]REHAUSSE MUR'!B7</f>
        <v>0</v>
      </c>
      <c r="E118" s="305">
        <f>'[5]REHAUSSE MUR'!E44</f>
        <v>71.0234532315</v>
      </c>
      <c r="F118" s="306">
        <f>IF($A$117="",D118*E118,"")</f>
        <v>0</v>
      </c>
      <c r="G118" s="251">
        <f t="shared" si="22"/>
        <v>0</v>
      </c>
      <c r="H118" s="328"/>
      <c r="I118" s="328"/>
      <c r="J118" s="339"/>
      <c r="K118" s="340"/>
      <c r="L118" s="340"/>
      <c r="M118" s="341"/>
    </row>
    <row r="119" spans="1:13">
      <c r="A119" s="301"/>
      <c r="B119" s="307" t="s">
        <v>807</v>
      </c>
      <c r="C119" s="303" t="s">
        <v>31</v>
      </c>
      <c r="D119" s="308" t="str">
        <f>IF(D120="",'[5]REHAUSSE MUR'!B7," 0 ")</f>
        <v xml:space="preserve"> 0 </v>
      </c>
      <c r="E119" s="305">
        <f>'[5]REHAUSSE MUR'!E48</f>
        <v>64.286233110618753</v>
      </c>
      <c r="F119" s="306">
        <f>IF($A$117="",D119*E119,"")</f>
        <v>0</v>
      </c>
      <c r="G119" s="251">
        <f t="shared" si="22"/>
        <v>0</v>
      </c>
      <c r="H119" s="328"/>
      <c r="I119" s="328"/>
      <c r="J119" s="339"/>
      <c r="K119" s="340"/>
      <c r="L119" s="340"/>
      <c r="M119" s="341"/>
    </row>
    <row r="120" spans="1:13">
      <c r="A120" s="301"/>
      <c r="B120" s="307" t="s">
        <v>808</v>
      </c>
      <c r="C120" s="303" t="s">
        <v>0</v>
      </c>
      <c r="D120" s="311">
        <v>0</v>
      </c>
      <c r="E120" s="305">
        <f>4052.5882*G2*H2</f>
        <v>5268.3646600000002</v>
      </c>
      <c r="F120" s="306">
        <f t="shared" ref="F120" si="23">IF($A$76="",D120*E120,"")</f>
        <v>0</v>
      </c>
      <c r="G120" s="251">
        <f t="shared" si="22"/>
        <v>0</v>
      </c>
      <c r="H120" s="328"/>
      <c r="I120" s="328"/>
      <c r="J120" s="339"/>
      <c r="K120" s="340"/>
      <c r="L120" s="340"/>
      <c r="M120" s="341"/>
    </row>
    <row r="121" spans="1:13">
      <c r="A121" s="342"/>
      <c r="B121" s="343"/>
      <c r="C121" s="344"/>
      <c r="D121" s="345"/>
      <c r="E121" s="346"/>
      <c r="F121" s="347"/>
    </row>
    <row r="122" spans="1:13" ht="15.75">
      <c r="A122" s="348"/>
      <c r="B122" s="349" t="str">
        <f>IF($A$2="DEVIS","Total HT ….","Total TTC")</f>
        <v>Total HT ….</v>
      </c>
      <c r="C122" s="350"/>
      <c r="D122" s="351"/>
      <c r="E122" s="352">
        <f>SUM(E14:E121)</f>
        <v>24047.154346342122</v>
      </c>
      <c r="F122" s="353">
        <f>(SUM($F$14:$F$121))</f>
        <v>124933.08381475921</v>
      </c>
    </row>
    <row r="123" spans="1:13">
      <c r="A123" s="354"/>
      <c r="B123" s="355"/>
      <c r="C123" s="356"/>
      <c r="D123" s="357" t="str">
        <f>IF($A$2="DEVIS","","Montant dû")</f>
        <v/>
      </c>
      <c r="E123" s="358"/>
      <c r="F123" s="359">
        <f>IF($A$2="DEVIS",$F$122,[6]Matrice!$H$10)</f>
        <v>124933.08381475921</v>
      </c>
    </row>
    <row r="124" spans="1:13">
      <c r="A124" s="360"/>
      <c r="B124" s="361"/>
      <c r="C124" s="362"/>
      <c r="D124" s="363" t="str">
        <f>IF($A$2="DEVIS","TVA","Restant:")</f>
        <v>TVA</v>
      </c>
      <c r="E124" s="364" t="str">
        <f>IF(A2="DEVIS","8,5%","")</f>
        <v>8,5%</v>
      </c>
      <c r="F124" s="365">
        <f>IF($A$2="DEVIS",$F$123*$E$124,$F$123-Prix_VHT)</f>
        <v>10619.312124254535</v>
      </c>
    </row>
    <row r="125" spans="1:13">
      <c r="A125" s="360"/>
      <c r="B125" s="366"/>
      <c r="C125" s="367"/>
      <c r="D125" s="368" t="s">
        <v>809</v>
      </c>
      <c r="E125" s="369"/>
      <c r="F125" s="370">
        <f>IF($A$2="DEVIS",$F$123+$F$124,$F$122)</f>
        <v>135552.39593901375</v>
      </c>
      <c r="G125" s="330"/>
    </row>
    <row r="126" spans="1:13">
      <c r="A126" s="360"/>
      <c r="B126" s="361"/>
      <c r="C126" s="371"/>
      <c r="D126" s="372" t="s">
        <v>810</v>
      </c>
      <c r="E126" s="373">
        <v>0</v>
      </c>
      <c r="F126" s="374">
        <f>$F$123*$E$126</f>
        <v>0</v>
      </c>
    </row>
    <row r="127" spans="1:13" ht="15.75">
      <c r="A127" s="375"/>
      <c r="B127" s="376" t="str">
        <f>IF(A2="Devis","Devis valable 2 mois","")</f>
        <v>Devis valable 2 mois</v>
      </c>
      <c r="C127" s="377"/>
      <c r="D127" s="378" t="str">
        <f>IF($A$2="DEVIS","Total TTC","NET à PAYER")</f>
        <v>Total TTC</v>
      </c>
      <c r="E127" s="379"/>
      <c r="F127" s="380">
        <f>$F$125-F126</f>
        <v>135552.39593901375</v>
      </c>
    </row>
    <row r="128" spans="1:13">
      <c r="A128" s="381"/>
      <c r="B128" s="381"/>
      <c r="C128" s="382"/>
      <c r="D128" s="383"/>
      <c r="E128" s="381"/>
      <c r="F128" s="384"/>
    </row>
    <row r="129" spans="1:7">
      <c r="A129" s="381"/>
      <c r="B129" s="381"/>
      <c r="C129" s="382"/>
      <c r="D129" s="383"/>
      <c r="E129" s="381"/>
      <c r="F129" s="384"/>
    </row>
    <row r="130" spans="1:7">
      <c r="A130" s="381"/>
      <c r="B130" s="385" t="s">
        <v>811</v>
      </c>
      <c r="C130" s="382"/>
      <c r="D130" s="383"/>
      <c r="E130" s="381"/>
      <c r="F130" s="384"/>
    </row>
    <row r="131" spans="1:7" ht="18.75">
      <c r="A131" s="381"/>
      <c r="B131" s="386" t="e">
        <f ca="1">[7]!ConvNumberLetter(PVente,1,0)</f>
        <v>#NAME?</v>
      </c>
      <c r="C131" s="382"/>
      <c r="D131" s="383"/>
      <c r="E131" s="381"/>
      <c r="F131" s="384"/>
    </row>
    <row r="132" spans="1:7" ht="18.75">
      <c r="A132" s="381"/>
      <c r="B132" s="386"/>
      <c r="C132" s="382"/>
      <c r="D132" s="383"/>
      <c r="E132" s="381"/>
      <c r="F132" s="384"/>
    </row>
    <row r="133" spans="1:7">
      <c r="A133" s="387"/>
      <c r="B133" s="388" t="s">
        <v>812</v>
      </c>
      <c r="C133" s="389"/>
      <c r="D133" s="390"/>
      <c r="E133" s="391" t="s">
        <v>58</v>
      </c>
      <c r="F133" s="392" t="s">
        <v>813</v>
      </c>
    </row>
    <row r="134" spans="1:7">
      <c r="A134" s="393"/>
      <c r="B134" s="394" t="s">
        <v>814</v>
      </c>
      <c r="C134" s="395"/>
      <c r="D134" s="396"/>
      <c r="E134" s="397">
        <v>0.2</v>
      </c>
      <c r="F134" s="398">
        <f>PVente*$E$134</f>
        <v>27110.47918780275</v>
      </c>
      <c r="G134" s="399"/>
    </row>
    <row r="135" spans="1:7">
      <c r="A135" s="400"/>
      <c r="B135" s="401" t="s">
        <v>815</v>
      </c>
      <c r="C135" s="402"/>
      <c r="D135" s="403"/>
      <c r="E135" s="404">
        <v>0.2</v>
      </c>
      <c r="F135" s="405">
        <f>PVente*$E$135</f>
        <v>27110.47918780275</v>
      </c>
    </row>
    <row r="136" spans="1:7">
      <c r="A136" s="400"/>
      <c r="B136" s="401" t="s">
        <v>816</v>
      </c>
      <c r="C136" s="402"/>
      <c r="D136" s="403"/>
      <c r="E136" s="404">
        <v>0.4</v>
      </c>
      <c r="F136" s="405">
        <f>PVente*$E$136</f>
        <v>54220.9583756055</v>
      </c>
    </row>
    <row r="137" spans="1:7">
      <c r="A137" s="400"/>
      <c r="B137" s="401" t="s">
        <v>817</v>
      </c>
      <c r="C137" s="402"/>
      <c r="D137" s="403"/>
      <c r="E137" s="404">
        <v>0.15</v>
      </c>
      <c r="F137" s="405">
        <f>PVente*$E$137</f>
        <v>20332.85939085206</v>
      </c>
    </row>
    <row r="138" spans="1:7">
      <c r="A138" s="406"/>
      <c r="B138" s="407" t="s">
        <v>818</v>
      </c>
      <c r="C138" s="408"/>
      <c r="D138" s="409"/>
      <c r="E138" s="410">
        <v>0.05</v>
      </c>
      <c r="F138" s="411">
        <f>PVente*$E$138</f>
        <v>6777.6197969506875</v>
      </c>
    </row>
    <row r="139" spans="1:7">
      <c r="A139" s="412"/>
      <c r="B139" s="413" t="s">
        <v>819</v>
      </c>
      <c r="C139" s="382"/>
      <c r="D139" s="383"/>
      <c r="E139" s="412"/>
      <c r="F139" s="414"/>
    </row>
    <row r="140" spans="1:7">
      <c r="A140" s="415"/>
      <c r="B140" s="413" t="s">
        <v>820</v>
      </c>
      <c r="C140" s="382"/>
      <c r="D140" s="383"/>
      <c r="E140" s="415"/>
      <c r="F140" s="416"/>
    </row>
    <row r="141" spans="1:7" ht="18.75">
      <c r="A141" s="381"/>
      <c r="B141" s="386"/>
      <c r="C141" s="382"/>
      <c r="D141" s="383"/>
      <c r="E141" s="381"/>
      <c r="F141" s="384"/>
    </row>
    <row r="142" spans="1:7" ht="15">
      <c r="B142" s="417" t="s">
        <v>821</v>
      </c>
      <c r="C142" s="418"/>
      <c r="E142" s="417" t="s">
        <v>822</v>
      </c>
    </row>
    <row r="143" spans="1:7" ht="18.75">
      <c r="A143" s="381"/>
      <c r="B143" s="386"/>
      <c r="C143" s="382"/>
      <c r="D143" s="383"/>
      <c r="E143" s="381"/>
      <c r="F143" s="384"/>
    </row>
    <row r="144" spans="1:7" ht="18.75">
      <c r="A144" s="381"/>
      <c r="B144" s="386"/>
      <c r="C144" s="382"/>
      <c r="D144" s="383"/>
      <c r="E144" s="381"/>
      <c r="F144" s="384"/>
    </row>
    <row r="145" spans="1:10" ht="18.75">
      <c r="A145" s="381"/>
      <c r="B145" s="386"/>
      <c r="C145" s="382"/>
      <c r="D145" s="383"/>
      <c r="E145" s="381"/>
      <c r="F145" s="384"/>
    </row>
    <row r="146" spans="1:10" ht="18.75">
      <c r="A146" s="381"/>
      <c r="B146" s="386"/>
      <c r="C146" s="382"/>
      <c r="D146" s="383"/>
      <c r="E146" s="381"/>
      <c r="F146" s="384"/>
    </row>
    <row r="147" spans="1:10" ht="15">
      <c r="A147" s="419" t="s">
        <v>316</v>
      </c>
      <c r="B147" s="420"/>
      <c r="C147" s="382"/>
      <c r="D147" s="383"/>
      <c r="E147" s="381"/>
      <c r="F147" s="384"/>
    </row>
    <row r="148" spans="1:10" ht="15">
      <c r="A148" s="419" t="s">
        <v>315</v>
      </c>
      <c r="B148" s="420"/>
      <c r="C148" s="382"/>
      <c r="D148" s="383"/>
      <c r="E148" s="381"/>
      <c r="F148" s="384"/>
    </row>
    <row r="149" spans="1:10" ht="15">
      <c r="A149" s="421" t="s">
        <v>759</v>
      </c>
      <c r="B149" s="420"/>
      <c r="C149" s="382"/>
      <c r="D149" s="383"/>
      <c r="E149" s="381"/>
      <c r="F149" s="384"/>
    </row>
    <row r="150" spans="1:10" ht="15">
      <c r="A150" s="419" t="s">
        <v>369</v>
      </c>
      <c r="B150" s="420"/>
      <c r="C150" s="382"/>
      <c r="D150" s="383"/>
      <c r="E150" s="381"/>
      <c r="F150" s="384"/>
    </row>
    <row r="151" spans="1:10" ht="15">
      <c r="A151" s="419" t="s">
        <v>368</v>
      </c>
      <c r="B151" s="420"/>
      <c r="C151" s="382"/>
      <c r="D151" s="383"/>
      <c r="E151" s="381"/>
      <c r="F151" s="384"/>
    </row>
    <row r="152" spans="1:10" ht="15.75">
      <c r="A152" s="422"/>
      <c r="B152" s="423"/>
      <c r="C152" s="382"/>
      <c r="D152" s="383"/>
      <c r="E152" s="381"/>
      <c r="F152" s="384"/>
    </row>
    <row r="153" spans="1:10" ht="19.7" customHeight="1">
      <c r="A153" s="424" t="s">
        <v>823</v>
      </c>
      <c r="B153" s="425"/>
      <c r="C153" s="425"/>
      <c r="D153" s="425"/>
      <c r="E153" s="425"/>
      <c r="F153" s="426"/>
    </row>
    <row r="154" spans="1:10" ht="10.5" customHeight="1">
      <c r="A154" s="427"/>
      <c r="B154" s="428"/>
      <c r="C154" s="290"/>
      <c r="D154" s="291"/>
      <c r="E154" s="427"/>
      <c r="F154" s="429"/>
    </row>
    <row r="155" spans="1:10" ht="19.7" customHeight="1">
      <c r="A155" s="430"/>
      <c r="B155" s="431" t="s">
        <v>824</v>
      </c>
      <c r="C155" s="432"/>
      <c r="D155" s="433"/>
      <c r="E155" s="434"/>
      <c r="F155" s="435"/>
    </row>
    <row r="156" spans="1:10" ht="12" customHeight="1">
      <c r="A156" s="381"/>
      <c r="B156" s="436"/>
      <c r="C156" s="382"/>
      <c r="D156" s="383"/>
      <c r="E156" s="381"/>
      <c r="F156" s="384"/>
    </row>
    <row r="157" spans="1:10" ht="17.100000000000001" customHeight="1">
      <c r="A157" s="437"/>
      <c r="B157" s="438" t="s">
        <v>299</v>
      </c>
      <c r="C157" s="439"/>
      <c r="D157" s="440"/>
      <c r="E157" s="441"/>
      <c r="F157" s="442">
        <f>SUM(F15:F16)*1.085</f>
        <v>2215.1338299999998</v>
      </c>
      <c r="G157" s="443">
        <f>IF($A$14=1,1,0)</f>
        <v>0</v>
      </c>
    </row>
    <row r="158" spans="1:10" ht="17.100000000000001" customHeight="1">
      <c r="A158" s="444"/>
      <c r="B158" s="445" t="s">
        <v>362</v>
      </c>
      <c r="C158" s="446"/>
      <c r="D158" s="447"/>
      <c r="E158" s="448"/>
      <c r="F158" s="449">
        <f>SUM(F19:F27)*1.085</f>
        <v>18035.641231562502</v>
      </c>
      <c r="G158" s="443">
        <f>IF($A$18=1,1,0)</f>
        <v>0</v>
      </c>
      <c r="J158" s="450"/>
    </row>
    <row r="159" spans="1:10" ht="17.100000000000001" customHeight="1">
      <c r="A159" s="444"/>
      <c r="B159" s="451" t="s">
        <v>82</v>
      </c>
      <c r="C159" s="446"/>
      <c r="D159" s="447"/>
      <c r="E159" s="448"/>
      <c r="F159" s="449">
        <f>SUM(F30:F35,F46:F49)*1.085</f>
        <v>20047.530918870005</v>
      </c>
      <c r="G159" s="443">
        <f>IF($A$29=1,1,0)</f>
        <v>0</v>
      </c>
      <c r="I159" s="452">
        <f>SUM(F157:F163)</f>
        <v>92110.641125056281</v>
      </c>
    </row>
    <row r="160" spans="1:10" ht="17.100000000000001" customHeight="1">
      <c r="A160" s="444"/>
      <c r="B160" s="451" t="s">
        <v>301</v>
      </c>
      <c r="C160" s="446"/>
      <c r="D160" s="447"/>
      <c r="E160" s="448"/>
      <c r="F160" s="449">
        <f>SUM(F37)*1.085</f>
        <v>7570.1753627500002</v>
      </c>
      <c r="G160" s="453">
        <f>IF($A$36=1,1,0)</f>
        <v>0</v>
      </c>
      <c r="H160" s="452"/>
      <c r="I160" s="452"/>
      <c r="J160" s="452"/>
    </row>
    <row r="161" spans="1:8" ht="17.100000000000001" customHeight="1">
      <c r="A161" s="444"/>
      <c r="B161" s="451" t="s">
        <v>300</v>
      </c>
      <c r="C161" s="446"/>
      <c r="D161" s="447"/>
      <c r="E161" s="448"/>
      <c r="F161" s="449">
        <f>SUM(F40:F43)*1.085</f>
        <v>10637.149721380003</v>
      </c>
      <c r="G161" s="443">
        <f>IF($A$36=1,1,0)</f>
        <v>0</v>
      </c>
    </row>
    <row r="162" spans="1:8" ht="17.100000000000001" customHeight="1">
      <c r="A162" s="444"/>
      <c r="B162" s="451" t="s">
        <v>303</v>
      </c>
      <c r="C162" s="446"/>
      <c r="D162" s="447"/>
      <c r="E162" s="448"/>
      <c r="F162" s="449">
        <f>SUM(F52:F53)*1.085</f>
        <v>12796.943980275</v>
      </c>
      <c r="G162" s="443">
        <f>IF($A$51=1,1,0)</f>
        <v>0</v>
      </c>
    </row>
    <row r="163" spans="1:8" ht="17.100000000000001" customHeight="1">
      <c r="A163" s="444"/>
      <c r="B163" s="451" t="s">
        <v>302</v>
      </c>
      <c r="C163" s="446"/>
      <c r="D163" s="447"/>
      <c r="E163" s="448"/>
      <c r="F163" s="449">
        <f>SUM(F66:F74)*1.085</f>
        <v>20808.066080218781</v>
      </c>
      <c r="G163" s="443">
        <f>IF($A$65=1,1,0)</f>
        <v>0</v>
      </c>
    </row>
    <row r="164" spans="1:8" ht="17.100000000000001" customHeight="1">
      <c r="A164" s="444"/>
      <c r="B164" s="451" t="s">
        <v>825</v>
      </c>
      <c r="C164" s="446"/>
      <c r="D164" s="447"/>
      <c r="E164" s="448"/>
      <c r="F164" s="449">
        <f>(SUM(F77:F86)/1.7)*1.085</f>
        <v>1558.6688764705882</v>
      </c>
      <c r="G164" s="453">
        <f>IF($A$76=1,1,0)</f>
        <v>0</v>
      </c>
      <c r="H164" s="274"/>
    </row>
    <row r="165" spans="1:8" ht="17.100000000000001" customHeight="1">
      <c r="A165" s="444"/>
      <c r="B165" s="451" t="s">
        <v>787</v>
      </c>
      <c r="C165" s="446"/>
      <c r="D165" s="447"/>
      <c r="E165" s="448"/>
      <c r="F165" s="449">
        <f>SUM(F99:F116)*1.085</f>
        <v>6805.6624999999995</v>
      </c>
      <c r="G165" s="453">
        <f>IF($A$117=1,1,0)</f>
        <v>0</v>
      </c>
      <c r="H165" s="274"/>
    </row>
    <row r="166" spans="1:8" ht="8.25" customHeight="1">
      <c r="A166" s="454"/>
      <c r="B166" s="455"/>
      <c r="C166" s="456"/>
      <c r="D166" s="457"/>
      <c r="E166" s="458"/>
      <c r="F166" s="459"/>
      <c r="G166" s="453"/>
      <c r="H166" s="274"/>
    </row>
    <row r="167" spans="1:8" ht="19.7" customHeight="1">
      <c r="A167" s="460"/>
      <c r="B167" s="461" t="s">
        <v>826</v>
      </c>
      <c r="C167" s="462"/>
      <c r="D167" s="463"/>
      <c r="E167" s="464"/>
      <c r="F167" s="465">
        <f>SUM(F157:F165)</f>
        <v>100474.97250152688</v>
      </c>
      <c r="G167" s="453"/>
      <c r="H167" s="274"/>
    </row>
    <row r="168" spans="1:8" ht="9" customHeight="1">
      <c r="A168" s="466"/>
      <c r="B168" s="467"/>
      <c r="C168" s="468"/>
      <c r="D168" s="469"/>
      <c r="E168" s="470"/>
      <c r="F168" s="471"/>
      <c r="G168" s="453"/>
      <c r="H168" s="274"/>
    </row>
    <row r="169" spans="1:8" ht="19.7" customHeight="1">
      <c r="A169" s="472"/>
      <c r="B169" s="473" t="s">
        <v>827</v>
      </c>
      <c r="C169" s="474"/>
      <c r="D169" s="475"/>
      <c r="E169" s="476"/>
      <c r="F169" s="477">
        <f>IF(F96="","",F96*1.085)</f>
        <v>0</v>
      </c>
      <c r="G169" s="453">
        <f>IF($A$92=1,1,0)</f>
        <v>0</v>
      </c>
      <c r="H169" s="274"/>
    </row>
    <row r="170" spans="1:8" ht="6" customHeight="1">
      <c r="A170" s="466"/>
      <c r="B170" s="478"/>
      <c r="C170" s="479"/>
      <c r="D170" s="418"/>
      <c r="E170" s="417"/>
      <c r="F170" s="480"/>
      <c r="G170" s="443"/>
    </row>
    <row r="171" spans="1:8" ht="19.7" customHeight="1">
      <c r="A171" s="481"/>
      <c r="B171" s="482" t="s">
        <v>828</v>
      </c>
      <c r="C171" s="483"/>
      <c r="D171" s="484"/>
      <c r="E171" s="485"/>
      <c r="F171" s="486">
        <f>IF(F169="","Non Compris",F167+F169)</f>
        <v>100474.97250152688</v>
      </c>
      <c r="G171" s="443"/>
    </row>
    <row r="172" spans="1:8" ht="6.75" customHeight="1">
      <c r="A172" s="487"/>
      <c r="B172" s="455"/>
      <c r="C172" s="456"/>
      <c r="D172" s="457"/>
      <c r="E172" s="458"/>
      <c r="F172" s="488"/>
      <c r="G172" s="443"/>
    </row>
    <row r="173" spans="1:8" ht="19.7" customHeight="1">
      <c r="A173" s="489"/>
      <c r="B173" s="490" t="s">
        <v>373</v>
      </c>
      <c r="C173" s="491"/>
      <c r="D173" s="492"/>
      <c r="E173" s="493"/>
      <c r="F173" s="494"/>
      <c r="G173" s="443"/>
    </row>
    <row r="174" spans="1:8" ht="17.100000000000001" customHeight="1">
      <c r="A174" s="495"/>
      <c r="B174" s="496" t="s">
        <v>313</v>
      </c>
      <c r="C174" s="497"/>
      <c r="D174" s="498"/>
      <c r="E174" s="499"/>
      <c r="F174" s="500">
        <f>SUM(F90)*1.085</f>
        <v>7182.5077949624983</v>
      </c>
      <c r="G174" s="443">
        <f>IF($A$88=1,1,0)</f>
        <v>0</v>
      </c>
    </row>
    <row r="175" spans="1:8" ht="17.100000000000001" customHeight="1">
      <c r="A175" s="444"/>
      <c r="B175" s="451" t="s">
        <v>304</v>
      </c>
      <c r="C175" s="446"/>
      <c r="D175" s="447"/>
      <c r="E175" s="448"/>
      <c r="F175" s="449">
        <f>SUM(F56:F57)*1.085</f>
        <v>10411.157105212498</v>
      </c>
      <c r="G175" s="443">
        <f>IF($A$55=1,1,0)</f>
        <v>0</v>
      </c>
    </row>
    <row r="176" spans="1:8" ht="17.100000000000001" customHeight="1">
      <c r="A176" s="444"/>
      <c r="B176" s="451" t="s">
        <v>829</v>
      </c>
      <c r="C176" s="446"/>
      <c r="D176" s="447"/>
      <c r="E176" s="448"/>
      <c r="F176" s="449">
        <f>SUM(F60:F63)*1.085</f>
        <v>15479.786513782499</v>
      </c>
      <c r="G176" s="443">
        <f>IF($A$65=1,1,0)</f>
        <v>0</v>
      </c>
    </row>
    <row r="177" spans="1:14" ht="17.100000000000001" customHeight="1">
      <c r="A177" s="501"/>
      <c r="B177" s="502" t="s">
        <v>374</v>
      </c>
      <c r="C177" s="503"/>
      <c r="D177" s="504"/>
      <c r="E177" s="505"/>
      <c r="F177" s="506">
        <f>((SUM(F77:F86)/1.7)*0.7)*1.085</f>
        <v>1091.0682135294117</v>
      </c>
      <c r="G177" s="453">
        <f>IF($A$76=1,1,0)</f>
        <v>0</v>
      </c>
    </row>
    <row r="178" spans="1:14" ht="17.100000000000001" customHeight="1">
      <c r="A178" s="444"/>
      <c r="B178" s="451" t="s">
        <v>783</v>
      </c>
      <c r="C178" s="446"/>
      <c r="D178" s="447"/>
      <c r="E178" s="448"/>
      <c r="F178" s="449">
        <f>IF(F93="","",F93*1.085)</f>
        <v>912.90381000000014</v>
      </c>
      <c r="G178" s="443">
        <f>IF($A$95=1,1,0)</f>
        <v>0</v>
      </c>
    </row>
    <row r="179" spans="1:14" ht="17.100000000000001" customHeight="1">
      <c r="A179" s="507"/>
      <c r="B179" s="508" t="s">
        <v>830</v>
      </c>
      <c r="C179" s="509"/>
      <c r="D179" s="510"/>
      <c r="E179" s="511"/>
      <c r="F179" s="512">
        <f>SUM(F118:F120)*1.085</f>
        <v>0</v>
      </c>
      <c r="G179" s="443">
        <f>IF($A$117=1,1,0)</f>
        <v>0</v>
      </c>
    </row>
    <row r="180" spans="1:14" ht="19.7" customHeight="1">
      <c r="A180" s="454"/>
      <c r="B180" s="513" t="s">
        <v>831</v>
      </c>
      <c r="C180" s="474"/>
      <c r="D180" s="475"/>
      <c r="E180" s="514"/>
      <c r="F180" s="515">
        <f>SUM(F174:F179)</f>
        <v>35077.423437486912</v>
      </c>
      <c r="G180" s="443"/>
    </row>
    <row r="181" spans="1:14" ht="10.5" customHeight="1">
      <c r="A181" s="466"/>
      <c r="B181" s="516"/>
      <c r="C181" s="468"/>
      <c r="D181" s="469"/>
      <c r="E181" s="470"/>
      <c r="F181" s="517"/>
      <c r="G181" s="443"/>
    </row>
    <row r="182" spans="1:14" ht="13.5" customHeight="1">
      <c r="A182" s="466"/>
      <c r="B182" s="518"/>
      <c r="C182" s="519"/>
      <c r="D182" s="520"/>
      <c r="E182" s="521"/>
      <c r="F182" s="522"/>
      <c r="G182" s="443"/>
    </row>
    <row r="183" spans="1:14" ht="12" customHeight="1">
      <c r="A183" s="523"/>
      <c r="B183" s="478"/>
      <c r="C183" s="274"/>
      <c r="D183" s="274"/>
      <c r="E183" s="274"/>
      <c r="F183" s="274"/>
    </row>
    <row r="184" spans="1:14" ht="18.75" customHeight="1">
      <c r="A184" s="454"/>
      <c r="B184" s="524" t="s">
        <v>832</v>
      </c>
      <c r="C184" s="525"/>
      <c r="D184" s="526"/>
      <c r="E184" s="527"/>
      <c r="F184" s="486">
        <f>IF(F171="Non Compris","Non Compris",F171+F180)</f>
        <v>135552.3959390138</v>
      </c>
    </row>
    <row r="185" spans="1:14" s="534" customFormat="1" ht="8.25" customHeight="1">
      <c r="A185" s="528"/>
      <c r="B185" s="529"/>
      <c r="C185" s="530"/>
      <c r="D185" s="531"/>
      <c r="E185" s="532"/>
      <c r="F185" s="533"/>
    </row>
    <row r="186" spans="1:14" ht="19.7" customHeight="1">
      <c r="A186" s="454"/>
      <c r="B186" s="524" t="s">
        <v>833</v>
      </c>
      <c r="C186" s="525"/>
      <c r="D186" s="526"/>
      <c r="E186" s="527"/>
      <c r="F186" s="486">
        <f>IF(F171="Non Compris","Non Compris",F171+F180+F182)</f>
        <v>135552.3959390138</v>
      </c>
    </row>
    <row r="187" spans="1:14" ht="19.7" customHeight="1">
      <c r="A187" s="381"/>
      <c r="B187" s="535" t="str">
        <f>B127</f>
        <v>Devis valable 2 mois</v>
      </c>
      <c r="C187" s="536"/>
      <c r="D187" s="537"/>
      <c r="E187" s="538"/>
      <c r="F187" s="539"/>
      <c r="G187" s="381"/>
      <c r="H187" s="381"/>
      <c r="I187" s="381"/>
      <c r="J187" s="381"/>
      <c r="K187" s="381"/>
      <c r="L187" s="381"/>
      <c r="M187" s="381"/>
      <c r="N187" s="381"/>
    </row>
    <row r="188" spans="1:14" ht="19.7" customHeight="1">
      <c r="A188" s="381"/>
      <c r="B188" s="381" t="str">
        <f>B130</f>
        <v>Arrêté le présent devis à la somme de :</v>
      </c>
      <c r="C188" s="382"/>
      <c r="D188" s="383"/>
      <c r="E188" s="381"/>
      <c r="F188" s="384"/>
    </row>
    <row r="189" spans="1:14" ht="19.7" customHeight="1">
      <c r="B189" s="540" t="e">
        <f ca="1">[7]!ConvNumberLetter(F184,1,0)</f>
        <v>#NAME?</v>
      </c>
    </row>
    <row r="190" spans="1:14" ht="19.7" customHeight="1">
      <c r="B190" s="541" t="str">
        <f>B139</f>
        <v>Le présent devis est valable 2mois. Toutes demandes non comprises au présent devis seront calculées et feront l'objet d'un</v>
      </c>
      <c r="G190" s="399"/>
    </row>
    <row r="191" spans="1:14" ht="19.7" customHeight="1">
      <c r="B191" s="542" t="str">
        <f>B140</f>
        <v>devis de travaux supplémentaires et sera validé par les 2 parties avant tout interavention sur le chantier.</v>
      </c>
    </row>
    <row r="192" spans="1:14" ht="19.7" customHeight="1">
      <c r="B192" s="543" t="str">
        <f>B142</f>
        <v xml:space="preserve">Signature client           </v>
      </c>
      <c r="E192" s="543" t="str">
        <f>E142</f>
        <v xml:space="preserve">  Signature entrepreneur</v>
      </c>
    </row>
    <row r="193" spans="1:6" ht="19.7" customHeight="1"/>
    <row r="194" spans="1:6" ht="19.7" customHeight="1"/>
    <row r="197" spans="1:6" ht="15">
      <c r="A197" s="415"/>
      <c r="B197" s="417"/>
      <c r="C197" s="544"/>
      <c r="D197" s="418"/>
      <c r="E197" s="417"/>
      <c r="F197" s="545"/>
    </row>
    <row r="198" spans="1:6">
      <c r="A198" s="546"/>
      <c r="B198" s="546"/>
      <c r="C198" s="547"/>
      <c r="D198" s="548"/>
      <c r="E198" s="546"/>
      <c r="F198" s="549"/>
    </row>
    <row r="199" spans="1:6">
      <c r="A199" s="546"/>
      <c r="B199" s="546"/>
      <c r="C199" s="547"/>
      <c r="D199" s="550" t="s">
        <v>834</v>
      </c>
      <c r="E199" s="546"/>
      <c r="F199" s="549"/>
    </row>
    <row r="200" spans="1:6">
      <c r="A200" s="546"/>
      <c r="B200" s="551"/>
      <c r="C200" s="547"/>
      <c r="D200" s="548"/>
      <c r="E200" s="546"/>
      <c r="F200" s="549"/>
    </row>
    <row r="201" spans="1:6">
      <c r="A201" s="552"/>
      <c r="B201" s="546"/>
      <c r="C201" s="547"/>
      <c r="D201" s="548"/>
      <c r="E201" s="546"/>
      <c r="F201" s="549"/>
    </row>
    <row r="202" spans="1:6">
      <c r="A202" s="550"/>
      <c r="B202" s="550"/>
      <c r="C202" s="547"/>
      <c r="D202" s="548"/>
      <c r="E202" s="546"/>
      <c r="F202" s="549"/>
    </row>
    <row r="203" spans="1:6">
      <c r="A203" s="546"/>
      <c r="B203" s="546"/>
      <c r="C203" s="547"/>
      <c r="D203" s="548"/>
      <c r="E203" s="546"/>
      <c r="F203" s="549"/>
    </row>
  </sheetData>
  <sheetProtection selectLockedCells="1"/>
  <autoFilter ref="A10:G120"/>
  <mergeCells count="6">
    <mergeCell ref="A2:F2"/>
    <mergeCell ref="E12:F12"/>
    <mergeCell ref="D123:E123"/>
    <mergeCell ref="D125:E125"/>
    <mergeCell ref="D127:E127"/>
    <mergeCell ref="A153:F153"/>
  </mergeCells>
  <conditionalFormatting sqref="M117:M120 J117:J120">
    <cfRule type="cellIs" dxfId="2" priority="3" stopIfTrue="1" operator="greaterThan">
      <formula>0.5</formula>
    </cfRule>
  </conditionalFormatting>
  <conditionalFormatting sqref="D118:D119 D99:D115 D96 D93 D90 D77:D87 D60:D63 D56:D57 D52:D53 D40:D43 D37 D66:D74 D30:D34 D19:D26 D15:D16 D46:D50">
    <cfRule type="cellIs" dxfId="1" priority="2" operator="lessThanOrEqual">
      <formula>0</formula>
    </cfRule>
  </conditionalFormatting>
  <conditionalFormatting sqref="D120">
    <cfRule type="cellIs" dxfId="0" priority="1" operator="lessThanOrEqual">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9.xml><?xml version="1.0" encoding="utf-8"?>
<worksheet xmlns="http://schemas.openxmlformats.org/spreadsheetml/2006/main" xmlns:r="http://schemas.openxmlformats.org/officeDocument/2006/relationships">
  <sheetPr codeName="Feuil6"/>
  <dimension ref="A1:I64"/>
  <sheetViews>
    <sheetView topLeftCell="A31" workbookViewId="0">
      <selection activeCell="A64" sqref="A64:XFD64"/>
    </sheetView>
  </sheetViews>
  <sheetFormatPr baseColWidth="10" defaultRowHeight="15"/>
  <cols>
    <col min="4" max="6" width="11.42578125" style="556"/>
    <col min="7" max="7" width="32" customWidth="1"/>
  </cols>
  <sheetData>
    <row r="1" spans="1:9">
      <c r="A1" t="s">
        <v>749</v>
      </c>
      <c r="C1" s="197"/>
      <c r="D1" s="553">
        <v>1160.4749438842105</v>
      </c>
      <c r="E1" s="553">
        <f>F1/FDF</f>
        <v>1105.4127514500001</v>
      </c>
      <c r="F1" s="554">
        <v>1160.6833890225003</v>
      </c>
      <c r="G1" s="197" t="s">
        <v>156</v>
      </c>
      <c r="I1" s="197">
        <v>1508.8884057292503</v>
      </c>
    </row>
    <row r="2" spans="1:9">
      <c r="A2" t="s">
        <v>74</v>
      </c>
      <c r="C2" s="197"/>
      <c r="D2" s="553">
        <v>286.83276090000004</v>
      </c>
      <c r="E2" s="553">
        <f>F2/FDF</f>
        <v>287.82238590000003</v>
      </c>
      <c r="F2" s="554">
        <v>302.21350519500004</v>
      </c>
      <c r="G2" s="197" t="s">
        <v>74</v>
      </c>
      <c r="I2" s="197">
        <v>392.87755675350007</v>
      </c>
    </row>
    <row r="3" spans="1:9">
      <c r="A3" t="s">
        <v>79</v>
      </c>
      <c r="C3" s="197"/>
      <c r="D3" s="553">
        <v>20</v>
      </c>
      <c r="E3" s="553">
        <f>F3/FDF</f>
        <v>23.615550000000002</v>
      </c>
      <c r="F3" s="554">
        <v>24.796327500000004</v>
      </c>
      <c r="G3" s="197" t="s">
        <v>79</v>
      </c>
      <c r="I3" s="197">
        <v>32.235225750000005</v>
      </c>
    </row>
    <row r="4" spans="1:9">
      <c r="A4" t="s">
        <v>157</v>
      </c>
      <c r="C4" s="197"/>
      <c r="D4" s="553">
        <v>5.2166929359999994</v>
      </c>
      <c r="E4" s="553">
        <f>F4/FDF</f>
        <v>5.5404429359999998</v>
      </c>
      <c r="F4" s="554">
        <v>5.8174650828000001</v>
      </c>
      <c r="G4" s="197" t="s">
        <v>157</v>
      </c>
      <c r="I4" s="197">
        <v>7.5627046076400006</v>
      </c>
    </row>
    <row r="5" spans="1:9">
      <c r="A5" t="s">
        <v>116</v>
      </c>
      <c r="C5" s="197"/>
      <c r="D5" s="553">
        <v>24.927127251310345</v>
      </c>
      <c r="E5" s="553">
        <f>F5/FDF</f>
        <v>27.168290247000002</v>
      </c>
      <c r="F5" s="554">
        <v>28.526704759350004</v>
      </c>
      <c r="G5" s="197" t="s">
        <v>116</v>
      </c>
      <c r="I5" s="197">
        <v>37.084716187155003</v>
      </c>
    </row>
    <row r="6" spans="1:9">
      <c r="A6" t="s">
        <v>158</v>
      </c>
      <c r="C6" s="197"/>
      <c r="D6" s="553">
        <v>29.547960021710342</v>
      </c>
      <c r="E6" s="553">
        <f>F6/FDF</f>
        <v>31.2540123924</v>
      </c>
      <c r="F6" s="554">
        <v>32.816713012020003</v>
      </c>
      <c r="G6" s="197" t="s">
        <v>158</v>
      </c>
      <c r="I6" s="197">
        <v>42.661726915626005</v>
      </c>
    </row>
    <row r="7" spans="1:9">
      <c r="A7" t="s">
        <v>159</v>
      </c>
      <c r="C7" s="197"/>
      <c r="D7" s="553">
        <v>5.1652367549999996</v>
      </c>
      <c r="E7" s="553">
        <f>F7/FDF</f>
        <v>5.5166586299999993</v>
      </c>
      <c r="F7" s="554">
        <v>5.7924915614999994</v>
      </c>
      <c r="G7" s="197" t="s">
        <v>159</v>
      </c>
      <c r="I7" s="197">
        <v>7.5302390299499997</v>
      </c>
    </row>
    <row r="8" spans="1:9">
      <c r="A8" t="s">
        <v>127</v>
      </c>
      <c r="C8" s="197"/>
      <c r="D8" s="553">
        <v>73.316306182272712</v>
      </c>
      <c r="E8" s="553">
        <f>F8/FDF</f>
        <v>60.664740557272722</v>
      </c>
      <c r="F8" s="554">
        <v>63.697977585136364</v>
      </c>
      <c r="G8" s="197" t="s">
        <v>127</v>
      </c>
      <c r="I8" s="197">
        <v>82.807370860677281</v>
      </c>
    </row>
    <row r="9" spans="1:9">
      <c r="A9" t="s">
        <v>131</v>
      </c>
      <c r="C9" s="197"/>
      <c r="D9" s="553">
        <v>16.716080765999997</v>
      </c>
      <c r="E9" s="553">
        <f>F9/FDF</f>
        <v>28.654974600000003</v>
      </c>
      <c r="F9" s="554">
        <v>30.087723330000003</v>
      </c>
      <c r="G9" s="197" t="s">
        <v>131</v>
      </c>
      <c r="I9" s="197">
        <v>39.114040329000005</v>
      </c>
    </row>
    <row r="10" spans="1:9">
      <c r="A10" t="s">
        <v>136</v>
      </c>
      <c r="C10" s="197"/>
      <c r="D10" s="553">
        <v>48.315871274999992</v>
      </c>
      <c r="E10" s="553">
        <f>F10/FDF</f>
        <v>40.728676274999998</v>
      </c>
      <c r="F10" s="554">
        <v>42.765110088749999</v>
      </c>
      <c r="G10" s="197" t="s">
        <v>136</v>
      </c>
      <c r="I10" s="197">
        <v>55.594643115375</v>
      </c>
    </row>
    <row r="11" spans="1:9" s="557" customFormat="1">
      <c r="A11" s="557" t="s">
        <v>138</v>
      </c>
      <c r="C11" s="558"/>
      <c r="D11" s="559">
        <v>38.276481506666663</v>
      </c>
      <c r="E11" s="559">
        <f>F11/FDF</f>
        <v>41.262133616114198</v>
      </c>
      <c r="F11" s="560">
        <v>43.325240296919908</v>
      </c>
      <c r="G11" s="558" t="s">
        <v>138</v>
      </c>
      <c r="I11" s="558">
        <v>56.322812385995881</v>
      </c>
    </row>
    <row r="12" spans="1:9" s="557" customFormat="1">
      <c r="A12" s="557" t="s">
        <v>140</v>
      </c>
      <c r="C12" s="558"/>
      <c r="D12" s="559">
        <v>9.9706441170000009</v>
      </c>
      <c r="E12" s="559">
        <f>F12/FDF</f>
        <v>12.388426617000002</v>
      </c>
      <c r="F12" s="560">
        <v>13.007847947850003</v>
      </c>
      <c r="G12" s="558" t="s">
        <v>140</v>
      </c>
      <c r="I12" s="558">
        <v>16.910202332205003</v>
      </c>
    </row>
    <row r="13" spans="1:9" s="557" customFormat="1">
      <c r="A13" s="557" t="s">
        <v>142</v>
      </c>
      <c r="C13" s="558"/>
      <c r="D13" s="559">
        <v>64.937306182272721</v>
      </c>
      <c r="E13" s="559">
        <f>F13/FDF</f>
        <v>51.117090557272725</v>
      </c>
      <c r="F13" s="560">
        <v>53.672945085136362</v>
      </c>
      <c r="G13" s="558" t="s">
        <v>142</v>
      </c>
      <c r="I13" s="558">
        <v>69.774828610677275</v>
      </c>
    </row>
    <row r="14" spans="1:9" s="557" customFormat="1">
      <c r="A14" s="557" t="s">
        <v>143</v>
      </c>
      <c r="C14" s="558"/>
      <c r="D14" s="559">
        <v>48.087099932272722</v>
      </c>
      <c r="E14" s="559">
        <f>F14/FDF</f>
        <v>42.72856399477272</v>
      </c>
      <c r="F14" s="560">
        <v>44.864992194511359</v>
      </c>
      <c r="G14" s="558" t="s">
        <v>143</v>
      </c>
      <c r="I14" s="558">
        <v>58.324489852864765</v>
      </c>
    </row>
    <row r="15" spans="1:9" s="557" customFormat="1">
      <c r="A15" s="557" t="s">
        <v>145</v>
      </c>
      <c r="C15" s="558"/>
      <c r="D15" s="559">
        <v>574.33535612727269</v>
      </c>
      <c r="E15" s="559">
        <f>F15/FDF</f>
        <v>527.40783021818197</v>
      </c>
      <c r="F15" s="560">
        <v>553.77822172909111</v>
      </c>
      <c r="G15" s="558" t="s">
        <v>145</v>
      </c>
      <c r="I15" s="558">
        <v>719.91168824781846</v>
      </c>
    </row>
    <row r="16" spans="1:9" s="557" customFormat="1">
      <c r="A16" s="557" t="s">
        <v>160</v>
      </c>
      <c r="C16" s="558"/>
      <c r="D16" s="559">
        <v>511.69369425450344</v>
      </c>
      <c r="E16" s="559">
        <f>F16/FDF</f>
        <v>974.02449251085454</v>
      </c>
      <c r="F16" s="560">
        <v>1022.7257171363973</v>
      </c>
      <c r="G16" s="558" t="s">
        <v>160</v>
      </c>
      <c r="I16" s="558">
        <v>1329.5434322773165</v>
      </c>
    </row>
    <row r="17" spans="1:9" s="557" customFormat="1">
      <c r="A17" s="557" t="s">
        <v>161</v>
      </c>
      <c r="C17" s="558"/>
      <c r="D17" s="559">
        <v>473.54343272727272</v>
      </c>
      <c r="E17" s="559">
        <f>F17/FDF</f>
        <v>858.44096088251752</v>
      </c>
      <c r="F17" s="560">
        <v>901.36300892664337</v>
      </c>
      <c r="G17" s="558" t="s">
        <v>161</v>
      </c>
      <c r="I17" s="558">
        <v>1171.7719116046364</v>
      </c>
    </row>
    <row r="18" spans="1:9" s="557" customFormat="1">
      <c r="A18" s="557" t="s">
        <v>151</v>
      </c>
      <c r="C18" s="558"/>
      <c r="D18" s="559">
        <v>22.498063349999999</v>
      </c>
      <c r="E18" s="559">
        <f>F18/FDF</f>
        <v>34.126130850000003</v>
      </c>
      <c r="F18" s="560">
        <v>35.832437392500005</v>
      </c>
      <c r="G18" s="558" t="s">
        <v>151</v>
      </c>
      <c r="I18" s="558">
        <v>46.582168610250008</v>
      </c>
    </row>
    <row r="19" spans="1:9">
      <c r="A19" t="s">
        <v>377</v>
      </c>
      <c r="C19" s="197"/>
      <c r="D19" s="553">
        <v>27.595270882307688</v>
      </c>
      <c r="E19" s="553">
        <f>F19/FDF</f>
        <v>28.366024728461539</v>
      </c>
      <c r="F19" s="554">
        <v>29.784325964884619</v>
      </c>
      <c r="G19" s="197" t="s">
        <v>377</v>
      </c>
      <c r="I19" s="197">
        <v>38.719623754350003</v>
      </c>
    </row>
    <row r="20" spans="1:9">
      <c r="A20" t="s">
        <v>153</v>
      </c>
      <c r="C20" s="197"/>
      <c r="D20" s="553">
        <v>122.53881582016666</v>
      </c>
      <c r="E20" s="553">
        <f>F20/FDF</f>
        <v>117.36262542961418</v>
      </c>
      <c r="F20" s="554">
        <v>123.2307567010949</v>
      </c>
      <c r="G20" s="197" t="s">
        <v>153</v>
      </c>
      <c r="I20" s="197">
        <v>160.19998371142339</v>
      </c>
    </row>
    <row r="21" spans="1:9">
      <c r="A21" t="s">
        <v>378</v>
      </c>
      <c r="C21" s="197"/>
      <c r="D21" s="553">
        <v>262.25737019999997</v>
      </c>
      <c r="E21" s="553">
        <f>F21/FDF</f>
        <v>275.66786519999999</v>
      </c>
      <c r="F21" s="554">
        <v>289.45125846000002</v>
      </c>
      <c r="G21" s="197" t="s">
        <v>378</v>
      </c>
      <c r="I21" s="197">
        <v>376.28663599800007</v>
      </c>
    </row>
    <row r="22" spans="1:9" s="557" customFormat="1">
      <c r="A22" s="557" t="s">
        <v>163</v>
      </c>
      <c r="C22" s="558"/>
      <c r="D22" s="559">
        <v>10.145099999999999</v>
      </c>
      <c r="E22" s="559">
        <f>F22/FDF</f>
        <v>20.156529015</v>
      </c>
      <c r="F22" s="560">
        <v>21.164355465750003</v>
      </c>
      <c r="G22" s="558" t="s">
        <v>163</v>
      </c>
      <c r="I22" s="558">
        <v>27.513662105475003</v>
      </c>
    </row>
    <row r="23" spans="1:9">
      <c r="A23" t="s">
        <v>166</v>
      </c>
      <c r="C23" s="197"/>
      <c r="D23" s="553">
        <v>15.986182764999999</v>
      </c>
      <c r="E23" s="553">
        <f>F23/FDF</f>
        <v>16.326076514999997</v>
      </c>
      <c r="F23" s="554">
        <v>17.142380340749998</v>
      </c>
      <c r="G23" s="197" t="s">
        <v>166</v>
      </c>
      <c r="I23" s="197">
        <v>22.285094442974998</v>
      </c>
    </row>
    <row r="24" spans="1:9">
      <c r="A24" t="s">
        <v>241</v>
      </c>
      <c r="C24" s="197"/>
      <c r="D24" s="553">
        <v>33.414470133421048</v>
      </c>
      <c r="E24" s="553">
        <f>F24/FDF</f>
        <v>34.602647765</v>
      </c>
      <c r="F24" s="554">
        <v>36.332780153249999</v>
      </c>
      <c r="G24" s="197" t="s">
        <v>241</v>
      </c>
      <c r="I24" s="197">
        <v>47.232614199224997</v>
      </c>
    </row>
    <row r="25" spans="1:9">
      <c r="A25" t="s">
        <v>240</v>
      </c>
      <c r="C25" s="197"/>
      <c r="D25" s="553">
        <v>42.660522764999996</v>
      </c>
      <c r="E25" s="553">
        <f>F25/FDF</f>
        <v>44.767085265000006</v>
      </c>
      <c r="F25" s="554">
        <v>47.005439528250008</v>
      </c>
      <c r="G25" s="197" t="s">
        <v>240</v>
      </c>
      <c r="I25" s="197">
        <v>61.107071386725011</v>
      </c>
    </row>
    <row r="26" spans="1:9">
      <c r="A26" t="s">
        <v>239</v>
      </c>
      <c r="C26" s="197"/>
      <c r="D26" s="553">
        <v>53.16052276500001</v>
      </c>
      <c r="E26" s="553">
        <f>F26/FDF</f>
        <v>55.792085264999997</v>
      </c>
      <c r="F26" s="554">
        <v>58.581689528250003</v>
      </c>
      <c r="G26" s="197" t="s">
        <v>239</v>
      </c>
      <c r="I26" s="197">
        <v>76.156196386725</v>
      </c>
    </row>
    <row r="27" spans="1:9">
      <c r="A27" t="s">
        <v>238</v>
      </c>
      <c r="C27" s="197"/>
      <c r="D27" s="553">
        <v>56.436522765000007</v>
      </c>
      <c r="E27" s="553">
        <f>F27/FDF</f>
        <v>61.580210264999998</v>
      </c>
      <c r="F27" s="554">
        <v>64.659220778250003</v>
      </c>
      <c r="G27" s="197" t="s">
        <v>238</v>
      </c>
      <c r="I27" s="197">
        <v>84.056987011725013</v>
      </c>
    </row>
    <row r="28" spans="1:9">
      <c r="A28" t="s">
        <v>242</v>
      </c>
      <c r="C28" s="197"/>
      <c r="D28" s="553">
        <v>56.436522765000007</v>
      </c>
      <c r="E28" s="553">
        <f>F28/FDF</f>
        <v>61.580210264999998</v>
      </c>
      <c r="F28" s="554">
        <v>64.659220778250003</v>
      </c>
      <c r="G28" s="197" t="s">
        <v>242</v>
      </c>
      <c r="I28" s="197">
        <v>84.056987011725013</v>
      </c>
    </row>
    <row r="29" spans="1:9">
      <c r="A29" t="s">
        <v>243</v>
      </c>
      <c r="C29" s="197"/>
      <c r="D29" s="553">
        <v>37.536522765000001</v>
      </c>
      <c r="E29" s="553">
        <f>F29/FDF</f>
        <v>41.735210265000006</v>
      </c>
      <c r="F29" s="554">
        <v>43.821970778250005</v>
      </c>
      <c r="G29" s="197" t="s">
        <v>243</v>
      </c>
      <c r="I29" s="197">
        <v>56.968562011725005</v>
      </c>
    </row>
    <row r="30" spans="1:9">
      <c r="A30" t="s">
        <v>86</v>
      </c>
      <c r="D30" s="553">
        <v>37.536522765000001</v>
      </c>
      <c r="E30" s="553">
        <f>F30/FDF</f>
        <v>41.735210265000006</v>
      </c>
      <c r="F30" s="554">
        <v>43.821970778250005</v>
      </c>
      <c r="G30" s="197" t="s">
        <v>86</v>
      </c>
      <c r="I30" s="197">
        <v>56.968562011725005</v>
      </c>
    </row>
    <row r="31" spans="1:9">
      <c r="A31" t="s">
        <v>213</v>
      </c>
      <c r="D31" s="553">
        <v>75.861522765000018</v>
      </c>
      <c r="E31" s="553">
        <f>F31/FDF</f>
        <v>80.350272765</v>
      </c>
      <c r="F31" s="554">
        <v>84.367786403250008</v>
      </c>
      <c r="G31" s="197" t="s">
        <v>213</v>
      </c>
      <c r="I31" s="197">
        <v>109.67812232422501</v>
      </c>
    </row>
    <row r="32" spans="1:9">
      <c r="A32" t="s">
        <v>216</v>
      </c>
      <c r="D32" s="553">
        <v>56.436522765000007</v>
      </c>
      <c r="E32" s="553">
        <f>F32/FDF</f>
        <v>41.983272765000009</v>
      </c>
      <c r="F32" s="554">
        <v>44.082436403250014</v>
      </c>
      <c r="G32" s="197" t="s">
        <v>216</v>
      </c>
      <c r="I32" s="197">
        <v>57.30716732422502</v>
      </c>
    </row>
    <row r="33" spans="1:9">
      <c r="A33" t="s">
        <v>247</v>
      </c>
      <c r="C33" s="197"/>
      <c r="D33" s="553">
        <v>28.003494119999999</v>
      </c>
      <c r="E33" s="553">
        <f>F33/FDF</f>
        <v>29.21238537</v>
      </c>
      <c r="F33" s="554">
        <v>30.6730046385</v>
      </c>
      <c r="G33" s="197" t="s">
        <v>247</v>
      </c>
      <c r="I33" s="197">
        <v>39.874906030049999</v>
      </c>
    </row>
    <row r="34" spans="1:9">
      <c r="A34" t="s">
        <v>246</v>
      </c>
      <c r="C34" s="197"/>
      <c r="D34" s="553">
        <v>22.172523029999997</v>
      </c>
      <c r="E34" s="553">
        <f>F34/FDF</f>
        <v>22.97845053</v>
      </c>
      <c r="F34" s="554">
        <v>24.127373056500002</v>
      </c>
      <c r="G34" s="197" t="s">
        <v>246</v>
      </c>
      <c r="I34" s="197">
        <v>31.365584973450002</v>
      </c>
    </row>
    <row r="35" spans="1:9">
      <c r="A35" t="s">
        <v>217</v>
      </c>
      <c r="C35" s="197"/>
      <c r="D35" s="553">
        <v>121.93310388</v>
      </c>
      <c r="E35" s="553">
        <f>F35/FDF</f>
        <v>88.889656379999991</v>
      </c>
      <c r="F35" s="554">
        <v>93.334139198999992</v>
      </c>
      <c r="G35" s="197" t="s">
        <v>217</v>
      </c>
      <c r="I35" s="197">
        <v>121.3343809587</v>
      </c>
    </row>
    <row r="36" spans="1:9" s="557" customFormat="1">
      <c r="A36" s="557" t="s">
        <v>219</v>
      </c>
      <c r="C36" s="558"/>
      <c r="D36" s="559">
        <v>1623.345543034091</v>
      </c>
      <c r="E36" s="559">
        <f>F36/FDF</f>
        <v>1048.5414180340911</v>
      </c>
      <c r="F36" s="560">
        <v>1100.9684889357957</v>
      </c>
      <c r="G36" s="558" t="s">
        <v>219</v>
      </c>
      <c r="I36" s="558">
        <v>1431.2590356165344</v>
      </c>
    </row>
    <row r="37" spans="1:9">
      <c r="A37" t="s">
        <v>371</v>
      </c>
      <c r="C37" s="197"/>
      <c r="D37" s="553">
        <v>62.082591059999999</v>
      </c>
      <c r="E37" s="553">
        <f>F37/FDF</f>
        <v>64.33943481</v>
      </c>
      <c r="F37" s="554">
        <v>67.5564065505</v>
      </c>
      <c r="G37" s="197" t="s">
        <v>371</v>
      </c>
      <c r="I37" s="197">
        <v>87.823328515650005</v>
      </c>
    </row>
    <row r="38" spans="1:9" s="557" customFormat="1">
      <c r="A38" s="557" t="s">
        <v>248</v>
      </c>
      <c r="B38" s="557" t="s">
        <v>231</v>
      </c>
      <c r="C38" s="558"/>
      <c r="D38" s="561">
        <v>40.872591059999998</v>
      </c>
      <c r="E38" s="559">
        <f>F38/FDF</f>
        <v>26.501343750000004</v>
      </c>
      <c r="F38" s="560">
        <v>27.826410937500004</v>
      </c>
      <c r="G38" s="558" t="s">
        <v>231</v>
      </c>
      <c r="I38" s="558">
        <v>36.174334218750005</v>
      </c>
    </row>
    <row r="39" spans="1:9" s="557" customFormat="1">
      <c r="A39" s="557" t="s">
        <v>372</v>
      </c>
      <c r="C39" s="558"/>
      <c r="D39" s="559">
        <v>113.27489681740633</v>
      </c>
      <c r="E39" s="559">
        <f>F39/FDF</f>
        <v>63.223153560000007</v>
      </c>
      <c r="F39" s="560">
        <v>66.384311238000009</v>
      </c>
      <c r="G39" s="558" t="s">
        <v>372</v>
      </c>
      <c r="I39" s="558">
        <v>86.299604609400021</v>
      </c>
    </row>
    <row r="40" spans="1:9">
      <c r="A40" t="s">
        <v>249</v>
      </c>
      <c r="B40" t="s">
        <v>257</v>
      </c>
      <c r="C40" s="197"/>
      <c r="D40" s="555">
        <v>46.032448408703168</v>
      </c>
      <c r="E40" s="553">
        <f>F40/FDF</f>
        <v>25.385062500000004</v>
      </c>
      <c r="F40" s="554">
        <v>26.654315625000006</v>
      </c>
      <c r="G40" s="197" t="s">
        <v>257</v>
      </c>
      <c r="I40" s="197">
        <v>34.650610312500007</v>
      </c>
    </row>
    <row r="41" spans="1:9">
      <c r="A41" t="s">
        <v>90</v>
      </c>
      <c r="C41" s="197"/>
      <c r="D41" s="553">
        <v>15.755290424999998</v>
      </c>
      <c r="E41" s="553">
        <f>F41/FDF</f>
        <v>14.104231049999999</v>
      </c>
      <c r="F41" s="554">
        <v>14.809442602499999</v>
      </c>
      <c r="G41" s="197" t="s">
        <v>90</v>
      </c>
      <c r="I41" s="197">
        <v>19.252275383249998</v>
      </c>
    </row>
    <row r="42" spans="1:9">
      <c r="A42" t="s">
        <v>92</v>
      </c>
      <c r="C42" s="197"/>
      <c r="D42" s="553">
        <v>10.660636578846153</v>
      </c>
      <c r="E42" s="553">
        <f>F42/FDF</f>
        <v>8.7872594249999985</v>
      </c>
      <c r="F42" s="554">
        <v>9.2266223962499989</v>
      </c>
      <c r="G42" s="197" t="s">
        <v>92</v>
      </c>
      <c r="I42" s="197">
        <v>11.994609115125</v>
      </c>
    </row>
    <row r="43" spans="1:9">
      <c r="A43" t="s">
        <v>91</v>
      </c>
      <c r="C43" s="197"/>
      <c r="D43" s="553">
        <v>11.711694663846153</v>
      </c>
      <c r="E43" s="553">
        <f>F43/FDF</f>
        <v>9.8383175099999995</v>
      </c>
      <c r="F43" s="554">
        <v>10.3302333855</v>
      </c>
      <c r="G43" s="197" t="s">
        <v>91</v>
      </c>
      <c r="I43" s="197">
        <v>13.429303401149999</v>
      </c>
    </row>
    <row r="44" spans="1:9">
      <c r="A44" t="s">
        <v>93</v>
      </c>
      <c r="C44" s="197"/>
      <c r="D44" s="553">
        <v>11.135290425000001</v>
      </c>
      <c r="E44" s="553">
        <f>F44/FDF</f>
        <v>10.068805425000001</v>
      </c>
      <c r="F44" s="554">
        <v>10.57224569625</v>
      </c>
      <c r="G44" s="197" t="s">
        <v>93</v>
      </c>
      <c r="I44" s="197">
        <v>13.743919405125</v>
      </c>
    </row>
    <row r="45" spans="1:9">
      <c r="A45" t="s">
        <v>228</v>
      </c>
      <c r="C45" s="197"/>
      <c r="D45" s="553">
        <v>25.765489940909088</v>
      </c>
      <c r="E45" s="553">
        <f>F45/FDF</f>
        <v>30.307070849999995</v>
      </c>
      <c r="F45" s="554">
        <v>31.822424392499997</v>
      </c>
      <c r="G45" s="197" t="s">
        <v>228</v>
      </c>
      <c r="I45" s="197">
        <v>41.369151710249994</v>
      </c>
    </row>
    <row r="46" spans="1:9">
      <c r="A46" t="s">
        <v>94</v>
      </c>
      <c r="C46" s="197"/>
      <c r="D46" s="553">
        <v>30.26438705230769</v>
      </c>
      <c r="E46" s="553">
        <f>F46/FDF</f>
        <v>28.872272148461541</v>
      </c>
      <c r="F46" s="554">
        <v>30.315885755884619</v>
      </c>
      <c r="G46" s="197" t="s">
        <v>94</v>
      </c>
      <c r="I46" s="197">
        <v>39.410651482650003</v>
      </c>
    </row>
    <row r="47" spans="1:9" s="557" customFormat="1">
      <c r="A47" s="557" t="s">
        <v>367</v>
      </c>
      <c r="C47" s="558"/>
      <c r="D47" s="559">
        <v>189</v>
      </c>
      <c r="E47" s="559">
        <f>F47/FDF</f>
        <v>214.98750000000001</v>
      </c>
      <c r="F47" s="560">
        <v>225.73687500000003</v>
      </c>
      <c r="G47" s="558" t="s">
        <v>367</v>
      </c>
      <c r="I47" s="558">
        <v>293.45793750000007</v>
      </c>
    </row>
    <row r="48" spans="1:9">
      <c r="A48" t="s">
        <v>107</v>
      </c>
      <c r="C48" s="197"/>
      <c r="D48" s="553">
        <v>4913.0853286794527</v>
      </c>
      <c r="E48" s="553">
        <f>F48/FDF</f>
        <v>21.193419293132532</v>
      </c>
      <c r="F48" s="554">
        <v>22.253090257789161</v>
      </c>
      <c r="G48" s="197" t="s">
        <v>107</v>
      </c>
      <c r="I48" s="197">
        <v>28.929017335125909</v>
      </c>
    </row>
    <row r="49" spans="1:9" s="557" customFormat="1">
      <c r="A49" s="557" t="s">
        <v>370</v>
      </c>
      <c r="C49" s="558"/>
      <c r="D49" s="559">
        <v>69.767361215909091</v>
      </c>
      <c r="E49" s="559">
        <f>F49/FDF</f>
        <v>48.472349624999993</v>
      </c>
      <c r="F49" s="560">
        <v>50.895967106249998</v>
      </c>
      <c r="G49" s="558" t="s">
        <v>370</v>
      </c>
      <c r="I49" s="558">
        <v>66.164757238125006</v>
      </c>
    </row>
    <row r="50" spans="1:9">
      <c r="A50" t="s">
        <v>338</v>
      </c>
      <c r="C50" s="197"/>
      <c r="D50" s="553">
        <v>293.25522764999999</v>
      </c>
      <c r="E50" s="553">
        <f>F50/FDF</f>
        <v>379.26072764999998</v>
      </c>
      <c r="F50" s="554">
        <v>398.22376403250001</v>
      </c>
      <c r="G50" s="197" t="s">
        <v>338</v>
      </c>
      <c r="I50" s="197">
        <v>517.69089324225001</v>
      </c>
    </row>
    <row r="51" spans="1:9">
      <c r="A51" t="s">
        <v>341</v>
      </c>
      <c r="C51" s="197"/>
      <c r="D51" s="553">
        <v>305.64522764999998</v>
      </c>
      <c r="E51" s="553">
        <f>F51/FDF</f>
        <v>403.2952276499999</v>
      </c>
      <c r="F51" s="554">
        <v>423.45998903249989</v>
      </c>
      <c r="G51" s="197" t="s">
        <v>341</v>
      </c>
      <c r="I51" s="197">
        <v>550.49798574224985</v>
      </c>
    </row>
    <row r="52" spans="1:9">
      <c r="A52" t="s">
        <v>342</v>
      </c>
      <c r="C52" s="197"/>
      <c r="D52" s="553">
        <v>221.61348509999999</v>
      </c>
      <c r="E52" s="553">
        <f>F52/FDF</f>
        <v>305.61348509999999</v>
      </c>
      <c r="F52" s="554">
        <v>320.894159355</v>
      </c>
      <c r="G52" s="197" t="s">
        <v>342</v>
      </c>
      <c r="I52" s="197">
        <v>417.16240716150003</v>
      </c>
    </row>
    <row r="53" spans="1:9">
      <c r="A53" t="s">
        <v>343</v>
      </c>
      <c r="C53" s="197"/>
      <c r="D53" s="553">
        <v>358.14522764999998</v>
      </c>
      <c r="E53" s="553">
        <f>F53/FDF</f>
        <v>447.39522764999992</v>
      </c>
      <c r="F53" s="554">
        <v>469.76498903249995</v>
      </c>
      <c r="G53" s="197" t="s">
        <v>343</v>
      </c>
      <c r="I53" s="197">
        <v>610.69448574224998</v>
      </c>
    </row>
    <row r="54" spans="1:9">
      <c r="A54" t="s">
        <v>344</v>
      </c>
      <c r="C54" s="197"/>
      <c r="D54" s="553">
        <v>265.71348510000001</v>
      </c>
      <c r="E54" s="553">
        <f>F54/FDF</f>
        <v>360.73848509999993</v>
      </c>
      <c r="F54" s="554">
        <v>378.77540935499997</v>
      </c>
      <c r="G54" s="197" t="s">
        <v>344</v>
      </c>
      <c r="I54" s="197">
        <v>492.40803216149999</v>
      </c>
    </row>
    <row r="55" spans="1:9">
      <c r="A55" t="s">
        <v>345</v>
      </c>
      <c r="C55" s="197"/>
      <c r="D55" s="553">
        <v>221.61348509999999</v>
      </c>
      <c r="E55" s="553">
        <f>F55/FDF</f>
        <v>305.61348509999999</v>
      </c>
      <c r="F55" s="554">
        <v>320.894159355</v>
      </c>
      <c r="G55" s="197" t="s">
        <v>345</v>
      </c>
      <c r="I55" s="197">
        <v>417.16240716150003</v>
      </c>
    </row>
    <row r="56" spans="1:9">
      <c r="A56" t="s">
        <v>346</v>
      </c>
      <c r="C56" s="197"/>
      <c r="D56" s="553">
        <v>164.62704583181818</v>
      </c>
      <c r="E56" s="553">
        <f>F56/FDF</f>
        <v>209.84947514999999</v>
      </c>
      <c r="F56" s="554">
        <v>220.34194890750001</v>
      </c>
      <c r="G56" s="197" t="s">
        <v>346</v>
      </c>
      <c r="I56" s="197">
        <v>286.44453357975004</v>
      </c>
    </row>
    <row r="57" spans="1:9">
      <c r="A57" t="s">
        <v>347</v>
      </c>
      <c r="C57" s="197"/>
      <c r="D57" s="553">
        <v>60.931742549999996</v>
      </c>
      <c r="E57" s="553">
        <f>F57/FDF</f>
        <v>114.49486755000001</v>
      </c>
      <c r="F57" s="554">
        <v>120.21961092750001</v>
      </c>
      <c r="G57" s="197" t="s">
        <v>627</v>
      </c>
      <c r="I57" s="197">
        <v>156.28549420575001</v>
      </c>
    </row>
    <row r="58" spans="1:9">
      <c r="A58" t="s">
        <v>348</v>
      </c>
      <c r="C58" s="197"/>
      <c r="D58" s="553">
        <v>63.03174254999999</v>
      </c>
      <c r="E58" s="553">
        <f>F58/FDF</f>
        <v>116.69986754999999</v>
      </c>
      <c r="F58" s="554">
        <v>122.53486092749999</v>
      </c>
      <c r="G58" s="197" t="s">
        <v>348</v>
      </c>
      <c r="I58" s="197">
        <v>159.29531920574999</v>
      </c>
    </row>
    <row r="59" spans="1:9">
      <c r="A59" t="s">
        <v>349</v>
      </c>
      <c r="C59" s="197"/>
      <c r="D59" s="553">
        <v>276.45522764999998</v>
      </c>
      <c r="E59" s="553">
        <f>F59/FDF</f>
        <v>224.91072764999996</v>
      </c>
      <c r="F59" s="554">
        <v>236.15626403249996</v>
      </c>
      <c r="G59" s="197" t="s">
        <v>626</v>
      </c>
      <c r="I59" s="197">
        <v>307.00314324224996</v>
      </c>
    </row>
    <row r="60" spans="1:9" s="557" customFormat="1">
      <c r="A60" s="557" t="s">
        <v>334</v>
      </c>
      <c r="C60" s="558"/>
      <c r="D60" s="559">
        <v>70.90674254999999</v>
      </c>
      <c r="E60" s="559">
        <f>F60/FDF</f>
        <v>204.34861755</v>
      </c>
      <c r="F60" s="560">
        <v>214.56604842750002</v>
      </c>
      <c r="G60" s="558" t="s">
        <v>625</v>
      </c>
      <c r="I60" s="558">
        <v>278.93586295575005</v>
      </c>
    </row>
    <row r="61" spans="1:9" s="557" customFormat="1">
      <c r="A61" s="557" t="s">
        <v>350</v>
      </c>
      <c r="C61" s="558"/>
      <c r="D61" s="559">
        <v>42.446452124999993</v>
      </c>
      <c r="E61" s="559">
        <f>F61/FDF</f>
        <v>68.061202124999994</v>
      </c>
      <c r="F61" s="560">
        <v>71.464262231250004</v>
      </c>
      <c r="G61" s="558" t="s">
        <v>350</v>
      </c>
      <c r="I61" s="558">
        <v>92.903540900625003</v>
      </c>
    </row>
    <row r="62" spans="1:9">
      <c r="A62" t="s">
        <v>363</v>
      </c>
      <c r="C62" s="197"/>
      <c r="D62" s="553">
        <v>6.9302116169999994</v>
      </c>
      <c r="E62" s="553">
        <f>F62/FDF</f>
        <v>5.6124616170000001</v>
      </c>
      <c r="F62" s="554">
        <v>5.89308469785</v>
      </c>
      <c r="G62" s="197" t="s">
        <v>363</v>
      </c>
      <c r="I62" s="197">
        <v>7.6610101072050005</v>
      </c>
    </row>
    <row r="63" spans="1:9" s="557" customFormat="1">
      <c r="A63" s="557" t="s">
        <v>364</v>
      </c>
      <c r="C63" s="558"/>
      <c r="D63" s="559">
        <v>5.985211617</v>
      </c>
      <c r="E63" s="559">
        <f>F63/FDF</f>
        <v>31.907086617000004</v>
      </c>
      <c r="F63" s="560">
        <v>33.502440947850005</v>
      </c>
      <c r="G63" s="558" t="s">
        <v>624</v>
      </c>
      <c r="I63" s="558">
        <v>43.553173232205005</v>
      </c>
    </row>
    <row r="64" spans="1:9" s="557" customFormat="1">
      <c r="A64" s="557" t="s">
        <v>350</v>
      </c>
      <c r="C64" s="558"/>
      <c r="D64" s="559">
        <v>42.446452124999993</v>
      </c>
      <c r="E64" s="559">
        <f>F64/FDF</f>
        <v>68.061202124999994</v>
      </c>
      <c r="F64" s="560">
        <v>71.464262231250004</v>
      </c>
      <c r="G64" s="558" t="s">
        <v>350</v>
      </c>
      <c r="I64" s="558">
        <v>92.903540900625003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8"/>
  <dimension ref="A1:I39"/>
  <sheetViews>
    <sheetView workbookViewId="0">
      <selection activeCell="G19" sqref="G19"/>
    </sheetView>
  </sheetViews>
  <sheetFormatPr baseColWidth="10" defaultRowHeight="15"/>
  <sheetData>
    <row r="1" spans="1:9" s="199" customFormat="1" ht="36" customHeight="1">
      <c r="A1" s="207"/>
      <c r="F1" s="199" t="s">
        <v>835</v>
      </c>
      <c r="G1" s="213" t="s">
        <v>723</v>
      </c>
      <c r="H1" s="211" t="s">
        <v>722</v>
      </c>
    </row>
    <row r="2" spans="1:9" s="201" customFormat="1" ht="12">
      <c r="A2" s="582" t="s">
        <v>623</v>
      </c>
      <c r="B2" s="218" t="s">
        <v>849</v>
      </c>
      <c r="C2" s="582" t="s">
        <v>57</v>
      </c>
      <c r="D2" s="582" t="s">
        <v>0</v>
      </c>
      <c r="E2" s="582" t="s">
        <v>745</v>
      </c>
      <c r="F2" s="583" t="s">
        <v>744</v>
      </c>
      <c r="G2" s="584" t="s">
        <v>59</v>
      </c>
      <c r="H2" s="582" t="s">
        <v>69</v>
      </c>
      <c r="I2" s="585" t="s">
        <v>724</v>
      </c>
    </row>
    <row r="3" spans="1:9" s="201" customFormat="1" ht="18.75" customHeight="1">
      <c r="A3" s="207" t="s">
        <v>504</v>
      </c>
      <c r="B3" s="201" t="s">
        <v>504</v>
      </c>
      <c r="C3" s="201" t="s">
        <v>156</v>
      </c>
      <c r="D3" s="201" t="s">
        <v>365</v>
      </c>
      <c r="E3" s="216">
        <f>E7</f>
        <v>6</v>
      </c>
      <c r="F3" s="216">
        <f>F7</f>
        <v>21.021161699999997</v>
      </c>
      <c r="G3" s="217">
        <f>SUM(H4:H6)</f>
        <v>971.70013500000005</v>
      </c>
      <c r="H3" s="210">
        <f>SUM(H4:H7)*FDF</f>
        <v>1152.71846046</v>
      </c>
      <c r="I3" s="219">
        <f>H3*BENEF</f>
        <v>1498.5339985979999</v>
      </c>
    </row>
    <row r="4" spans="1:9" s="199" customFormat="1" ht="12">
      <c r="A4" s="207" t="s">
        <v>504</v>
      </c>
      <c r="B4" s="199" t="s">
        <v>599</v>
      </c>
      <c r="C4" s="199" t="s">
        <v>70</v>
      </c>
      <c r="D4" s="199" t="s">
        <v>22</v>
      </c>
      <c r="E4" s="199">
        <v>0.26</v>
      </c>
      <c r="G4" s="212">
        <f>VLOOKUP(B4,BD_Prod!$A$6:$O$104,15,0)</f>
        <v>516.82443750000004</v>
      </c>
      <c r="H4" s="212">
        <f>E4*G4</f>
        <v>134.37435375000001</v>
      </c>
    </row>
    <row r="5" spans="1:9" s="199" customFormat="1" ht="12">
      <c r="A5" s="207" t="s">
        <v>504</v>
      </c>
      <c r="B5" s="199" t="s">
        <v>537</v>
      </c>
      <c r="C5" s="199" t="s">
        <v>71</v>
      </c>
      <c r="D5" s="199" t="s">
        <v>31</v>
      </c>
      <c r="E5" s="199">
        <v>48</v>
      </c>
      <c r="G5" s="212">
        <f>VLOOKUP(B5,BD_Prod!$A$6:$O$104,15,0)</f>
        <v>17.425625</v>
      </c>
      <c r="H5" s="212">
        <f>E5*G5</f>
        <v>836.43000000000006</v>
      </c>
    </row>
    <row r="6" spans="1:9" s="199" customFormat="1" ht="12">
      <c r="A6" s="207" t="s">
        <v>504</v>
      </c>
      <c r="B6" s="199" t="s">
        <v>570</v>
      </c>
      <c r="C6" s="199" t="s">
        <v>72</v>
      </c>
      <c r="D6" s="199" t="s">
        <v>36</v>
      </c>
      <c r="E6" s="199">
        <v>0.5</v>
      </c>
      <c r="G6" s="212">
        <f>VLOOKUP(B6,BD_Prod!$A$6:$O$104,15,0)</f>
        <v>1.7915625000000002</v>
      </c>
      <c r="H6" s="212">
        <f>E6*G6</f>
        <v>0.89578125000000008</v>
      </c>
    </row>
    <row r="7" spans="1:9" s="199" customFormat="1" ht="12">
      <c r="A7" s="207" t="s">
        <v>504</v>
      </c>
      <c r="B7" s="199" t="s">
        <v>688</v>
      </c>
      <c r="C7" s="199" t="s">
        <v>1</v>
      </c>
      <c r="D7" s="199" t="s">
        <v>5</v>
      </c>
      <c r="E7" s="199">
        <v>6</v>
      </c>
      <c r="F7" s="212">
        <f>VLOOKUP(B7,BD_Prod!$A$1:$O$104,15,0)</f>
        <v>21.021161699999997</v>
      </c>
      <c r="G7" s="212"/>
      <c r="H7" s="212">
        <f>E7*F7</f>
        <v>126.12697019999999</v>
      </c>
    </row>
    <row r="8" spans="1:9" s="201" customFormat="1">
      <c r="A8" s="201" t="s">
        <v>634</v>
      </c>
      <c r="B8" s="201" t="s">
        <v>634</v>
      </c>
      <c r="C8" s="201" t="s">
        <v>74</v>
      </c>
      <c r="D8" s="201" t="s">
        <v>365</v>
      </c>
      <c r="E8" s="586">
        <f>E12</f>
        <v>2</v>
      </c>
      <c r="F8" s="586">
        <f>F12</f>
        <v>21.021161699999997</v>
      </c>
      <c r="G8" s="219">
        <f>SUM(H9:H11)</f>
        <v>232.94281500000002</v>
      </c>
      <c r="H8" s="219">
        <f>SUM(H9:H12)*FDF</f>
        <v>288.73439532000003</v>
      </c>
      <c r="I8" s="219">
        <f>H8*BENEF</f>
        <v>375.35471391600004</v>
      </c>
    </row>
    <row r="9" spans="1:9" s="199" customFormat="1" ht="12">
      <c r="A9" s="207" t="s">
        <v>634</v>
      </c>
      <c r="B9" s="199" t="s">
        <v>599</v>
      </c>
      <c r="C9" s="199" t="s">
        <v>70</v>
      </c>
      <c r="D9" s="199" t="s">
        <v>22</v>
      </c>
      <c r="E9" s="199">
        <v>0.44</v>
      </c>
      <c r="G9" s="212">
        <f>VLOOKUP(B9,BD_Prod!$A$6:$O$104,15,0)</f>
        <v>516.82443750000004</v>
      </c>
      <c r="H9" s="212">
        <f>E9*G9</f>
        <v>227.40275250000002</v>
      </c>
    </row>
    <row r="10" spans="1:9" s="199" customFormat="1" ht="12">
      <c r="A10" s="207" t="s">
        <v>634</v>
      </c>
      <c r="B10" s="199" t="s">
        <v>596</v>
      </c>
      <c r="C10" s="199" t="s">
        <v>75</v>
      </c>
      <c r="D10" s="199" t="s">
        <v>0</v>
      </c>
      <c r="E10" s="199">
        <v>1</v>
      </c>
      <c r="G10" s="212">
        <f>VLOOKUP(B10,BD_Prod!$A$6:$O$104,15,0)</f>
        <v>3.7484999999999999</v>
      </c>
      <c r="H10" s="212">
        <f t="shared" ref="H10:H11" si="0">E10*G10</f>
        <v>3.7484999999999999</v>
      </c>
    </row>
    <row r="11" spans="1:9" s="199" customFormat="1" ht="12">
      <c r="A11" s="207" t="s">
        <v>634</v>
      </c>
      <c r="B11" s="199" t="s">
        <v>570</v>
      </c>
      <c r="C11" s="199" t="s">
        <v>72</v>
      </c>
      <c r="D11" s="199" t="s">
        <v>36</v>
      </c>
      <c r="E11" s="199">
        <v>1</v>
      </c>
      <c r="G11" s="212">
        <f>VLOOKUP(B11,BD_Prod!$A$6:$O$104,15,0)</f>
        <v>1.7915625000000002</v>
      </c>
      <c r="H11" s="212">
        <f t="shared" si="0"/>
        <v>1.7915625000000002</v>
      </c>
    </row>
    <row r="12" spans="1:9" s="199" customFormat="1" ht="12">
      <c r="A12" s="207" t="s">
        <v>634</v>
      </c>
      <c r="B12" s="199" t="s">
        <v>688</v>
      </c>
      <c r="C12" s="199" t="s">
        <v>1</v>
      </c>
      <c r="D12" s="199" t="s">
        <v>5</v>
      </c>
      <c r="E12" s="199">
        <v>2</v>
      </c>
      <c r="F12" s="212">
        <f>VLOOKUP(B12,BD_Prod!$A$1:$O$104,15,0)</f>
        <v>21.021161699999997</v>
      </c>
      <c r="G12" s="212"/>
      <c r="H12" s="212">
        <f>E12*F12</f>
        <v>42.042323399999994</v>
      </c>
    </row>
    <row r="13" spans="1:9" s="201" customFormat="1">
      <c r="A13" s="201" t="s">
        <v>73</v>
      </c>
      <c r="C13" s="201" t="s">
        <v>79</v>
      </c>
      <c r="D13" s="201" t="s">
        <v>22</v>
      </c>
      <c r="E13" s="586">
        <f>E14</f>
        <v>1</v>
      </c>
      <c r="F13" s="586">
        <f>F14</f>
        <v>0</v>
      </c>
      <c r="G13" s="219">
        <f>SUM(H14)</f>
        <v>14.700000000000003</v>
      </c>
      <c r="H13" s="219">
        <f>SUM(H14)*FDF</f>
        <v>15.435000000000004</v>
      </c>
      <c r="I13" s="219">
        <f>H13*BENEF</f>
        <v>20.065500000000007</v>
      </c>
    </row>
    <row r="14" spans="1:9" s="199" customFormat="1" ht="12">
      <c r="A14" s="207" t="s">
        <v>73</v>
      </c>
      <c r="B14" s="199" t="s">
        <v>845</v>
      </c>
      <c r="C14" s="199" t="s">
        <v>76</v>
      </c>
      <c r="D14" s="199" t="s">
        <v>77</v>
      </c>
      <c r="E14" s="199">
        <v>1</v>
      </c>
      <c r="G14" s="212">
        <f>VLOOKUP(B14,BD_Prod!$A$6:$O$104,15,0)</f>
        <v>14.700000000000003</v>
      </c>
      <c r="H14" s="212">
        <f>E14*G14</f>
        <v>14.700000000000003</v>
      </c>
    </row>
    <row r="15" spans="1:9" s="201" customFormat="1">
      <c r="A15" s="201" t="s">
        <v>73</v>
      </c>
      <c r="B15" s="201" t="s">
        <v>635</v>
      </c>
      <c r="C15" s="201" t="s">
        <v>157</v>
      </c>
      <c r="D15" s="201" t="s">
        <v>39</v>
      </c>
      <c r="E15" s="586">
        <f>E17</f>
        <v>0.08</v>
      </c>
      <c r="F15" s="586">
        <f>F17</f>
        <v>21.021161699999997</v>
      </c>
      <c r="G15" s="219">
        <f>SUM(H16)</f>
        <v>3.8587500000000006</v>
      </c>
      <c r="H15" s="219">
        <f>SUM(H16:H17)*FDF</f>
        <v>5.8174650828000001</v>
      </c>
      <c r="I15" s="219">
        <f>H15*BENEF</f>
        <v>7.5627046076400006</v>
      </c>
    </row>
    <row r="16" spans="1:9" s="199" customFormat="1" ht="12">
      <c r="A16" s="207" t="s">
        <v>73</v>
      </c>
      <c r="B16" s="199" t="s">
        <v>535</v>
      </c>
      <c r="C16" s="199" t="s">
        <v>24</v>
      </c>
      <c r="D16" s="199" t="s">
        <v>39</v>
      </c>
      <c r="E16" s="199">
        <v>1</v>
      </c>
      <c r="G16" s="212">
        <f>VLOOKUP(B16,BD_Prod!$A$6:$O$104,15,0)</f>
        <v>3.8587500000000006</v>
      </c>
      <c r="H16" s="212">
        <f>E16*G16</f>
        <v>3.8587500000000006</v>
      </c>
    </row>
    <row r="17" spans="1:9" s="199" customFormat="1" ht="12">
      <c r="A17" s="207" t="s">
        <v>73</v>
      </c>
      <c r="B17" s="199" t="s">
        <v>688</v>
      </c>
      <c r="C17" s="199" t="s">
        <v>1</v>
      </c>
      <c r="D17" s="199" t="s">
        <v>5</v>
      </c>
      <c r="E17" s="199">
        <v>0.08</v>
      </c>
      <c r="F17" s="212">
        <f>VLOOKUP(B17,BD_Prod!$A$1:$O$104,15,0)</f>
        <v>21.021161699999997</v>
      </c>
      <c r="G17" s="212"/>
      <c r="H17" s="212">
        <f>E17*F17</f>
        <v>1.6816929359999997</v>
      </c>
    </row>
    <row r="18" spans="1:9" s="201" customFormat="1">
      <c r="A18" s="201" t="s">
        <v>636</v>
      </c>
      <c r="C18" s="201" t="s">
        <v>116</v>
      </c>
      <c r="D18" s="201" t="s">
        <v>31</v>
      </c>
      <c r="E18" s="586">
        <f>E22</f>
        <v>0.16</v>
      </c>
      <c r="F18" s="586">
        <f>F22</f>
        <v>21.021161699999997</v>
      </c>
      <c r="G18" s="219" t="e">
        <f>SUM(H19:H21)</f>
        <v>#N/A</v>
      </c>
      <c r="H18" s="219" t="e">
        <f>SUM(H19:H22)*FDF</f>
        <v>#N/A</v>
      </c>
      <c r="I18" s="219" t="e">
        <f>H18*BENEF</f>
        <v>#N/A</v>
      </c>
    </row>
    <row r="19" spans="1:9" s="199" customFormat="1" ht="12">
      <c r="A19" s="207" t="s">
        <v>636</v>
      </c>
      <c r="B19" s="199" t="s">
        <v>680</v>
      </c>
      <c r="C19" s="199" t="s">
        <v>84</v>
      </c>
      <c r="D19" s="199" t="s">
        <v>18</v>
      </c>
      <c r="E19" s="199">
        <v>0.16</v>
      </c>
      <c r="G19" s="212" t="e">
        <f>VLOOKUP(B19,BD_Prod!$A$6:$O$104,15,0)</f>
        <v>#N/A</v>
      </c>
      <c r="H19" s="212" t="e">
        <f>E19*G19</f>
        <v>#N/A</v>
      </c>
    </row>
    <row r="20" spans="1:9" s="199" customFormat="1" ht="12">
      <c r="A20" s="207" t="s">
        <v>636</v>
      </c>
      <c r="B20" s="199" t="s">
        <v>535</v>
      </c>
      <c r="C20" s="199" t="s">
        <v>23</v>
      </c>
      <c r="D20" s="199" t="s">
        <v>39</v>
      </c>
      <c r="E20" s="199">
        <v>0.5</v>
      </c>
      <c r="G20" s="212">
        <f>VLOOKUP(B20,BD_Prod!$A$6:$O$104,15,0)</f>
        <v>3.8587500000000006</v>
      </c>
      <c r="H20" s="212">
        <f t="shared" ref="H20:H21" si="1">E20*G20</f>
        <v>1.9293750000000003</v>
      </c>
    </row>
    <row r="21" spans="1:9" s="199" customFormat="1" ht="12">
      <c r="A21" s="207" t="s">
        <v>636</v>
      </c>
      <c r="B21" s="199" t="s">
        <v>536</v>
      </c>
      <c r="C21" s="199" t="s">
        <v>692</v>
      </c>
      <c r="D21" s="199" t="s">
        <v>36</v>
      </c>
      <c r="E21" s="199">
        <v>0.87</v>
      </c>
      <c r="G21" s="212">
        <f>VLOOKUP(B21,BD_Prod!$A$6:$O$104,15,0)</f>
        <v>3.1956659482758627</v>
      </c>
      <c r="H21" s="212">
        <f t="shared" si="1"/>
        <v>2.7802293750000007</v>
      </c>
    </row>
    <row r="22" spans="1:9" s="199" customFormat="1" ht="12">
      <c r="A22" s="207" t="s">
        <v>636</v>
      </c>
      <c r="B22" s="199" t="s">
        <v>688</v>
      </c>
      <c r="C22" s="199" t="s">
        <v>1</v>
      </c>
      <c r="D22" s="199" t="s">
        <v>5</v>
      </c>
      <c r="E22" s="199">
        <v>0.16</v>
      </c>
      <c r="F22" s="212">
        <f>VLOOKUP(B22,BD_Prod!$A$1:$O$104,15,0)</f>
        <v>21.021161699999997</v>
      </c>
      <c r="G22" s="212"/>
      <c r="H22" s="212">
        <f>E22*F22</f>
        <v>3.3633858719999994</v>
      </c>
    </row>
    <row r="23" spans="1:9" s="201" customFormat="1">
      <c r="A23" s="201" t="s">
        <v>637</v>
      </c>
      <c r="C23" s="201" t="s">
        <v>158</v>
      </c>
      <c r="D23" s="201" t="s">
        <v>721</v>
      </c>
      <c r="E23" s="586">
        <f>E29</f>
        <v>7.1999999999999995E-2</v>
      </c>
      <c r="F23" s="586">
        <f>F29</f>
        <v>21.021161699999997</v>
      </c>
      <c r="G23" s="219" t="e">
        <f>SUM(H24:H28)</f>
        <v>#REF!</v>
      </c>
      <c r="H23" s="219" t="e">
        <f>SUM(H24:H29)*FDF</f>
        <v>#REF!</v>
      </c>
      <c r="I23" s="219" t="e">
        <f>H23*BENEF</f>
        <v>#REF!</v>
      </c>
    </row>
    <row r="24" spans="1:9" s="199" customFormat="1" ht="12">
      <c r="A24" s="207" t="s">
        <v>637</v>
      </c>
      <c r="B24" s="199" t="s">
        <v>680</v>
      </c>
      <c r="C24" s="199" t="s">
        <v>84</v>
      </c>
      <c r="D24" s="199" t="s">
        <v>18</v>
      </c>
      <c r="E24" s="199">
        <v>7.0000000000000007E-2</v>
      </c>
      <c r="G24" s="212" t="e">
        <f>VLOOKUP(B24,BD_ET_PR!#REF!,5,0)</f>
        <v>#REF!</v>
      </c>
      <c r="H24" s="212" t="e">
        <f>E24*G24</f>
        <v>#REF!</v>
      </c>
    </row>
    <row r="25" spans="1:9" s="199" customFormat="1" ht="12">
      <c r="A25" s="207" t="s">
        <v>637</v>
      </c>
      <c r="B25" s="199" t="s">
        <v>535</v>
      </c>
      <c r="C25" s="199" t="s">
        <v>23</v>
      </c>
      <c r="D25" s="199" t="s">
        <v>39</v>
      </c>
      <c r="E25" s="199">
        <v>0.36</v>
      </c>
      <c r="G25" s="212">
        <f>VLOOKUP(B25,BD_Prod!$A$6:$O$104,15,0)</f>
        <v>3.8587500000000006</v>
      </c>
      <c r="H25" s="212">
        <f t="shared" ref="H25:H28" si="2">E25*G25</f>
        <v>1.3891500000000001</v>
      </c>
    </row>
    <row r="26" spans="1:9" s="199" customFormat="1" ht="12">
      <c r="A26" s="207" t="s">
        <v>637</v>
      </c>
      <c r="B26" s="199" t="s">
        <v>536</v>
      </c>
      <c r="C26" s="199" t="s">
        <v>691</v>
      </c>
      <c r="D26" s="199" t="s">
        <v>87</v>
      </c>
      <c r="E26" s="199">
        <v>0.87</v>
      </c>
      <c r="G26" s="212">
        <f>VLOOKUP(B26,BD_Prod!$A$6:$O$104,15,0)</f>
        <v>3.1956659482758627</v>
      </c>
      <c r="H26" s="212">
        <f t="shared" si="2"/>
        <v>2.7802293750000007</v>
      </c>
    </row>
    <row r="27" spans="1:9" s="199" customFormat="1" ht="12">
      <c r="A27" s="207" t="s">
        <v>637</v>
      </c>
      <c r="B27" s="199" t="s">
        <v>570</v>
      </c>
      <c r="C27" s="199" t="s">
        <v>72</v>
      </c>
      <c r="D27" s="199" t="s">
        <v>87</v>
      </c>
      <c r="E27" s="199">
        <v>0.01</v>
      </c>
      <c r="G27" s="212">
        <f>VLOOKUP(B27,BD_Prod!$A$6:$O$104,15,0)</f>
        <v>1.7915625000000002</v>
      </c>
      <c r="H27" s="212">
        <f t="shared" si="2"/>
        <v>1.7915625000000001E-2</v>
      </c>
    </row>
    <row r="28" spans="1:9" s="199" customFormat="1" ht="12">
      <c r="A28" s="207" t="s">
        <v>637</v>
      </c>
      <c r="B28" s="199" t="s">
        <v>838</v>
      </c>
      <c r="C28" s="199" t="s">
        <v>125</v>
      </c>
      <c r="E28" s="199">
        <v>1</v>
      </c>
      <c r="G28" s="212">
        <f>VLOOKUP(B28,BD_Prod!$A$6:$O$104,15,0)</f>
        <v>16.813124999999999</v>
      </c>
      <c r="H28" s="212">
        <f t="shared" si="2"/>
        <v>16.813124999999999</v>
      </c>
    </row>
    <row r="29" spans="1:9" s="199" customFormat="1" ht="12">
      <c r="A29" s="207" t="s">
        <v>637</v>
      </c>
      <c r="B29" s="199" t="s">
        <v>688</v>
      </c>
      <c r="C29" s="199" t="s">
        <v>1</v>
      </c>
      <c r="D29" s="199" t="s">
        <v>5</v>
      </c>
      <c r="E29" s="199">
        <v>7.1999999999999995E-2</v>
      </c>
      <c r="F29" s="212">
        <f>VLOOKUP(B29,BD_Prod!$A$1:$O$104,15,0)</f>
        <v>21.021161699999997</v>
      </c>
      <c r="G29" s="212"/>
      <c r="H29" s="212">
        <f>E29*F29</f>
        <v>1.5135236423999996</v>
      </c>
    </row>
    <row r="30" spans="1:9" s="201" customFormat="1">
      <c r="A30" s="201" t="s">
        <v>638</v>
      </c>
      <c r="C30" s="201" t="s">
        <v>159</v>
      </c>
      <c r="D30" s="201" t="s">
        <v>39</v>
      </c>
      <c r="E30" s="586">
        <f>E32</f>
        <v>0.15</v>
      </c>
      <c r="F30" s="586">
        <f>F32</f>
        <v>21.021161699999997</v>
      </c>
      <c r="G30" s="219" t="e">
        <f>SUM(H31)</f>
        <v>#REF!</v>
      </c>
      <c r="H30" s="219" t="e">
        <f>SUM(H31:H32)*FDF</f>
        <v>#REF!</v>
      </c>
      <c r="I30" s="219" t="e">
        <f>H30*BENEF</f>
        <v>#REF!</v>
      </c>
    </row>
    <row r="31" spans="1:9" s="199" customFormat="1" ht="12">
      <c r="A31" s="207" t="s">
        <v>638</v>
      </c>
      <c r="B31" s="199" t="s">
        <v>681</v>
      </c>
      <c r="C31" s="199" t="s">
        <v>101</v>
      </c>
      <c r="D31" s="199" t="s">
        <v>18</v>
      </c>
      <c r="E31" s="199">
        <v>2.5000000000000001E-2</v>
      </c>
      <c r="G31" s="212" t="e">
        <f>VLOOKUP(B31,BD_ET_PR!#REF!,5,0)</f>
        <v>#REF!</v>
      </c>
      <c r="H31" s="212" t="e">
        <f>E31*G31</f>
        <v>#REF!</v>
      </c>
    </row>
    <row r="32" spans="1:9" s="199" customFormat="1" ht="12">
      <c r="A32" s="207" t="s">
        <v>638</v>
      </c>
      <c r="B32" s="199" t="s">
        <v>688</v>
      </c>
      <c r="C32" s="199" t="s">
        <v>1</v>
      </c>
      <c r="D32" s="199" t="s">
        <v>5</v>
      </c>
      <c r="E32" s="199">
        <v>0.15</v>
      </c>
      <c r="F32" s="212">
        <f>VLOOKUP(B32,BD_Prod!$A$1:$O$104,15,0)</f>
        <v>21.021161699999997</v>
      </c>
      <c r="G32" s="212"/>
      <c r="H32" s="212">
        <f>E32*F32</f>
        <v>3.1531742549999993</v>
      </c>
    </row>
    <row r="33" spans="1:9" s="201" customFormat="1">
      <c r="A33" s="201" t="s">
        <v>639</v>
      </c>
      <c r="C33" s="201" t="s">
        <v>127</v>
      </c>
      <c r="D33" s="201" t="s">
        <v>39</v>
      </c>
      <c r="E33" s="586">
        <f>E39</f>
        <v>1.1499999999999999</v>
      </c>
      <c r="F33" s="586">
        <f>F39</f>
        <v>21.021161699999997</v>
      </c>
      <c r="G33" s="219" t="e">
        <f>SUM(H34:H38)</f>
        <v>#REF!</v>
      </c>
      <c r="H33" s="219" t="e">
        <f>SUM(H34:H39)*FDF</f>
        <v>#REF!</v>
      </c>
      <c r="I33" s="219" t="e">
        <f>H33*BENEF</f>
        <v>#REF!</v>
      </c>
    </row>
    <row r="34" spans="1:9" s="199" customFormat="1" ht="12">
      <c r="A34" s="207" t="s">
        <v>639</v>
      </c>
      <c r="B34" s="199" t="s">
        <v>680</v>
      </c>
      <c r="C34" s="199" t="s">
        <v>84</v>
      </c>
      <c r="D34" s="199" t="s">
        <v>18</v>
      </c>
      <c r="E34" s="199">
        <v>0.11</v>
      </c>
      <c r="G34" s="212" t="e">
        <f>VLOOKUP(B34,BD_ET_PR!#REF!,5,0)</f>
        <v>#REF!</v>
      </c>
      <c r="H34" s="212" t="e">
        <f>E34*G34</f>
        <v>#REF!</v>
      </c>
    </row>
    <row r="35" spans="1:9" s="199" customFormat="1" ht="12">
      <c r="A35" s="207" t="s">
        <v>639</v>
      </c>
      <c r="B35" s="199" t="s">
        <v>532</v>
      </c>
      <c r="C35" s="199" t="s">
        <v>128</v>
      </c>
      <c r="D35" s="199" t="s">
        <v>0</v>
      </c>
      <c r="E35" s="199">
        <v>12.5</v>
      </c>
      <c r="G35" s="212">
        <f>VLOOKUP(B35,BD_Prod!$A$6:$O$104,15,0)</f>
        <v>1.1462500000000002</v>
      </c>
      <c r="H35" s="212">
        <f t="shared" ref="H35:H38" si="3">E35*G35</f>
        <v>14.328125000000004</v>
      </c>
    </row>
    <row r="36" spans="1:9" s="199" customFormat="1" ht="12">
      <c r="A36" s="207" t="s">
        <v>639</v>
      </c>
      <c r="B36" s="199" t="s">
        <v>534</v>
      </c>
      <c r="C36" s="199" t="s">
        <v>129</v>
      </c>
      <c r="D36" s="199" t="s">
        <v>87</v>
      </c>
      <c r="E36" s="199">
        <v>0.21</v>
      </c>
      <c r="G36" s="212">
        <f>VLOOKUP(B36,BD_Prod!$A$6:$O$104,15,0)</f>
        <v>0.86278977272727286</v>
      </c>
      <c r="H36" s="212">
        <f t="shared" si="3"/>
        <v>0.18118585227272729</v>
      </c>
    </row>
    <row r="37" spans="1:9" s="199" customFormat="1" ht="12">
      <c r="A37" s="207" t="s">
        <v>639</v>
      </c>
      <c r="B37" s="199" t="s">
        <v>682</v>
      </c>
      <c r="C37" s="199" t="s">
        <v>130</v>
      </c>
      <c r="D37" s="199" t="s">
        <v>18</v>
      </c>
      <c r="E37" s="199">
        <v>0.03</v>
      </c>
      <c r="G37" s="212" t="e">
        <f>VLOOKUP(B37,BD_ET_PR!#REF!,5,0)</f>
        <v>#REF!</v>
      </c>
      <c r="H37" s="212" t="e">
        <f t="shared" si="3"/>
        <v>#REF!</v>
      </c>
    </row>
    <row r="38" spans="1:9" s="199" customFormat="1" ht="12">
      <c r="A38" s="207" t="s">
        <v>639</v>
      </c>
      <c r="B38" s="199" t="s">
        <v>596</v>
      </c>
      <c r="C38" s="199" t="s">
        <v>33</v>
      </c>
      <c r="D38" s="199" t="s">
        <v>0</v>
      </c>
      <c r="E38" s="199">
        <v>0.2</v>
      </c>
      <c r="G38" s="212">
        <f>VLOOKUP(B38,BD_Prod!$A$6:$O$104,15,0)</f>
        <v>3.7484999999999999</v>
      </c>
      <c r="H38" s="212">
        <f t="shared" si="3"/>
        <v>0.74970000000000003</v>
      </c>
    </row>
    <row r="39" spans="1:9" s="199" customFormat="1" ht="12">
      <c r="A39" s="207" t="s">
        <v>639</v>
      </c>
      <c r="B39" s="199" t="s">
        <v>688</v>
      </c>
      <c r="C39" s="199" t="s">
        <v>1</v>
      </c>
      <c r="D39" s="199" t="s">
        <v>5</v>
      </c>
      <c r="E39" s="199">
        <v>1.1499999999999999</v>
      </c>
      <c r="F39" s="212">
        <f>VLOOKUP(B39,BD_Prod!$A$1:$O$104,15,0)</f>
        <v>21.021161699999997</v>
      </c>
      <c r="G39" s="212"/>
      <c r="H39" s="212">
        <f>E39*F39</f>
        <v>24.174335954999993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23</vt:i4>
      </vt:variant>
    </vt:vector>
  </HeadingPairs>
  <TitlesOfParts>
    <vt:vector size="33" baseType="lpstr">
      <vt:lpstr>BD</vt:lpstr>
      <vt:lpstr>BD_Client</vt:lpstr>
      <vt:lpstr>Matrice</vt:lpstr>
      <vt:lpstr>Bon_Commande</vt:lpstr>
      <vt:lpstr>BD_ET_PR</vt:lpstr>
      <vt:lpstr>BD_Prod</vt:lpstr>
      <vt:lpstr>ET_PRIX</vt:lpstr>
      <vt:lpstr>DEVIS Estimatif</vt:lpstr>
      <vt:lpstr>Feuil5</vt:lpstr>
      <vt:lpstr>Feuil6</vt:lpstr>
      <vt:lpstr>AGL</vt:lpstr>
      <vt:lpstr>AGM</vt:lpstr>
      <vt:lpstr>ALEA</vt:lpstr>
      <vt:lpstr>BENEF</vt:lpstr>
      <vt:lpstr>BD!Bville</vt:lpstr>
      <vt:lpstr>BD!CODEPO</vt:lpstr>
      <vt:lpstr>BD!ECHEAN</vt:lpstr>
      <vt:lpstr>BD!Echéancier</vt:lpstr>
      <vt:lpstr>BD!Etape</vt:lpstr>
      <vt:lpstr>FDF</vt:lpstr>
      <vt:lpstr>BD!Fournisseurs</vt:lpstr>
      <vt:lpstr>BD!incre</vt:lpstr>
      <vt:lpstr>BD!incref</vt:lpstr>
      <vt:lpstr>BD!Matrice</vt:lpstr>
      <vt:lpstr>MEG</vt:lpstr>
      <vt:lpstr>MOA</vt:lpstr>
      <vt:lpstr>BD!mois</vt:lpstr>
      <vt:lpstr>BD!Nbr_Ech</vt:lpstr>
      <vt:lpstr>'DEVIS Estimatif'!Prix_VHT</vt:lpstr>
      <vt:lpstr>'DEVIS Estimatif'!PVente</vt:lpstr>
      <vt:lpstr>BD!TotalFacturé</vt:lpstr>
      <vt:lpstr>Bon_Commande!Zone_d_impression</vt:lpstr>
      <vt:lpstr>'DEVIS Estimatif'!Zone_d_impression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2018-07-03T12:12:44Z</cp:lastPrinted>
  <dcterms:created xsi:type="dcterms:W3CDTF">2008-02-25T10:30:05Z</dcterms:created>
  <dcterms:modified xsi:type="dcterms:W3CDTF">2018-07-27T17:00:42Z</dcterms:modified>
  <cp:category>Excel, VBA</cp:category>
</cp:coreProperties>
</file>