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05" yWindow="-105" windowWidth="20730" windowHeight="11760" tabRatio="686" firstSheet="1" activeTab="13"/>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Type d'Absences" sheetId="26" r:id="rId13"/>
    <sheet name="Bilan absences" sheetId="27" r:id="rId14"/>
  </sheets>
  <definedNames>
    <definedName name="_xlnm._FilterDatabase" localSheetId="0" hidden="1">Janvier!$B$6:$D$72</definedName>
    <definedName name="AnnéeCalendrier">Janvier!$AK$4</definedName>
    <definedName name="CléCD">Janvier!$I$2</definedName>
    <definedName name="CléCongé">Janvier!$F$2</definedName>
    <definedName name="CléMaladie">Janvier!$K$2</definedName>
    <definedName name="CléMD">Janvier!$N$2</definedName>
    <definedName name="CléPersonnalisée1">Janvier!$P$2</definedName>
    <definedName name="CléPersonnalisée2">Janvier!$U$2</definedName>
    <definedName name="CléPersonnel">Janvier!$I$2</definedName>
    <definedName name="CléTD">Janvier!$S$2</definedName>
    <definedName name="ÉtiquetteCléCongé">Janvier!$G$2</definedName>
    <definedName name="ÉtiquetteCléMaladie">Janvier!$L$2</definedName>
    <definedName name="ÉtiquetteCléPersonnalisée1">Janvier!$Q$2</definedName>
    <definedName name="ÉtiquetteCléPersonnalisée2">Janvier!$V$2</definedName>
    <definedName name="ÉtiquetteCléPersonnel">Janvier!$J$2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Janvier!$E$2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Janvier!$E$4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Janvier!$E$1</definedName>
    <definedName name="Titre1">Janvier[[#Headers],[Service]]</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#REF!</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8" i="27" l="1"/>
  <c r="E8" i="27"/>
  <c r="F2" i="27"/>
  <c r="F3" i="27"/>
  <c r="F4" i="27"/>
  <c r="F5" i="27"/>
  <c r="F6" i="27"/>
  <c r="F7" i="27"/>
  <c r="E3" i="27"/>
  <c r="E4" i="27"/>
  <c r="E5" i="27"/>
  <c r="E6" i="27"/>
  <c r="E7" i="27"/>
  <c r="E2" i="27"/>
  <c r="AE13" i="4"/>
  <c r="AK73" i="4" l="1"/>
  <c r="AK72" i="4"/>
  <c r="AK71" i="4"/>
  <c r="AJ13" i="4"/>
  <c r="AI13" i="4"/>
  <c r="AH13" i="4"/>
  <c r="AG13" i="4"/>
  <c r="AF13" i="4"/>
  <c r="AD13" i="4"/>
  <c r="AC13" i="4"/>
  <c r="AB13" i="4"/>
  <c r="AA13" i="4"/>
  <c r="Z13" i="4"/>
  <c r="Y13" i="4"/>
  <c r="X13" i="4"/>
  <c r="W13" i="4"/>
  <c r="V13" i="4"/>
  <c r="U13" i="4"/>
  <c r="T13" i="4"/>
  <c r="S13" i="4"/>
  <c r="R13" i="4"/>
  <c r="Q13" i="4"/>
  <c r="P13" i="4"/>
  <c r="O13" i="4"/>
  <c r="N13" i="4"/>
  <c r="M13" i="4"/>
  <c r="L13" i="4"/>
  <c r="K13" i="4"/>
  <c r="J13" i="4"/>
  <c r="I13" i="4"/>
  <c r="H13" i="4"/>
  <c r="G13" i="4"/>
  <c r="F13" i="4"/>
  <c r="AK12"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J5" i="4"/>
  <c r="AI5" i="4"/>
  <c r="AH5" i="4"/>
  <c r="AG5" i="4"/>
  <c r="AF5" i="4"/>
  <c r="AE5" i="4"/>
  <c r="AD5" i="4"/>
  <c r="AC5" i="4"/>
  <c r="AB5" i="4"/>
  <c r="AA5" i="4"/>
  <c r="Z5" i="4"/>
  <c r="Y5" i="4"/>
  <c r="X5" i="4"/>
  <c r="W5" i="4"/>
  <c r="V5" i="4"/>
  <c r="U5" i="4"/>
  <c r="T5" i="4"/>
  <c r="S5" i="4"/>
  <c r="R5" i="4"/>
  <c r="Q5" i="4"/>
  <c r="P5" i="4"/>
  <c r="O5" i="4"/>
  <c r="N5" i="4"/>
  <c r="M5" i="4"/>
  <c r="L5" i="4"/>
  <c r="K5" i="4"/>
  <c r="J5" i="4"/>
  <c r="I5" i="4"/>
  <c r="H5" i="4"/>
  <c r="G5" i="4"/>
  <c r="F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AK9" i="4" l="1"/>
  <c r="AK10" i="4"/>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11" i="21"/>
  <c r="AH10" i="21"/>
  <c r="AH9" i="21"/>
  <c r="AH8" i="21"/>
  <c r="AH7"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15"/>
  <c r="B1" i="5"/>
  <c r="AH12" i="17" l="1"/>
  <c r="AH12" i="21"/>
  <c r="AH12" i="22"/>
  <c r="AH12" i="25"/>
  <c r="AH12" i="20"/>
  <c r="AH12" i="19"/>
  <c r="AH12" i="24"/>
  <c r="AH4" i="5" l="1"/>
  <c r="AH4" i="15" l="1"/>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E13" i="4"/>
  <c r="AH11" i="5" l="1"/>
  <c r="AH10" i="5"/>
  <c r="AH9" i="5"/>
  <c r="AK11" i="4"/>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K7" i="4"/>
  <c r="AK8" i="4"/>
  <c r="AK13" i="4" l="1"/>
</calcChain>
</file>

<file path=xl/sharedStrings.xml><?xml version="1.0" encoding="utf-8"?>
<sst xmlns="http://schemas.openxmlformats.org/spreadsheetml/2006/main" count="700" uniqueCount="111">
  <si>
    <t>Calendrier des absences des employés</t>
  </si>
  <si>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</si>
  <si>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</si>
  <si>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</si>
  <si>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</si>
  <si>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</si>
  <si>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</si>
  <si>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</si>
  <si>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</si>
  <si>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</si>
  <si>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</si>
  <si>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</si>
  <si>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</si>
  <si>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</si>
  <si>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</si>
  <si>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</si>
  <si>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</si>
  <si>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</si>
  <si>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</si>
  <si>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</si>
  <si>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</si>
  <si>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</si>
  <si>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</si>
  <si>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</si>
  <si>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</si>
  <si>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</si>
  <si>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</si>
  <si>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</si>
  <si>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</si>
  <si>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</si>
  <si>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</si>
  <si>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</si>
  <si>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</si>
  <si>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</si>
  <si>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</si>
  <si>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</si>
  <si>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</si>
  <si>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</si>
  <si>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</si>
  <si>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</si>
  <si>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</si>
  <si>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</si>
  <si>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</si>
  <si>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</si>
  <si>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</si>
  <si>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</si>
  <si>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</si>
  <si>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</si>
  <si>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</si>
  <si>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</si>
  <si>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</si>
  <si>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</si>
  <si>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</si>
  <si>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</si>
  <si>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</si>
  <si>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</si>
  <si>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</si>
  <si>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</si>
  <si>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</si>
  <si>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</si>
  <si>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</si>
  <si>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</si>
  <si>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</si>
  <si>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</si>
  <si>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c</t>
  </si>
  <si>
    <t>Site</t>
  </si>
  <si>
    <t>Nom</t>
  </si>
  <si>
    <t>Service</t>
  </si>
  <si>
    <t>Présent</t>
  </si>
  <si>
    <t>T</t>
  </si>
  <si>
    <t>Télétravail</t>
  </si>
  <si>
    <t>Chômage Partiel</t>
  </si>
  <si>
    <t>CH</t>
  </si>
  <si>
    <t>1/2 J</t>
  </si>
  <si>
    <t>DEP</t>
  </si>
  <si>
    <t>p</t>
  </si>
  <si>
    <t>m</t>
  </si>
  <si>
    <t>Types d'absences</t>
  </si>
  <si>
    <t>Chomage partiel</t>
  </si>
  <si>
    <t>Télétravail J</t>
  </si>
  <si>
    <t>Télétravail 1/2J</t>
  </si>
  <si>
    <t>Congé 1/2J</t>
  </si>
  <si>
    <t>Maladie 1/2J</t>
  </si>
  <si>
    <t>Chomage partiel 1/2J</t>
  </si>
  <si>
    <t>Valeur</t>
  </si>
  <si>
    <t>Code</t>
  </si>
  <si>
    <t>TD</t>
  </si>
  <si>
    <t>CHD</t>
  </si>
  <si>
    <t>MD</t>
  </si>
  <si>
    <t>CD</t>
  </si>
  <si>
    <t>d</t>
  </si>
  <si>
    <t>ch</t>
  </si>
  <si>
    <t>x</t>
  </si>
  <si>
    <t>1/2J</t>
  </si>
  <si>
    <t xml:space="preserve"> 1/2J</t>
  </si>
  <si>
    <t>Sce</t>
  </si>
  <si>
    <t>DEPOT</t>
  </si>
  <si>
    <t>LOGISTIQUE</t>
  </si>
  <si>
    <t>ADMINISTRATIF</t>
  </si>
  <si>
    <t>s</t>
  </si>
  <si>
    <t>f</t>
  </si>
  <si>
    <t>k</t>
  </si>
  <si>
    <t>l</t>
  </si>
  <si>
    <t>tat</t>
  </si>
  <si>
    <t>Noms</t>
  </si>
  <si>
    <t>Nb de jours d'absence</t>
  </si>
  <si>
    <t>Mois</t>
  </si>
  <si>
    <t>Janvier'</t>
  </si>
  <si>
    <t>Nb de jours chaumés</t>
  </si>
  <si>
    <t>Février'</t>
  </si>
  <si>
    <t>total Janvier</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</si>
</sst>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3"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
      <sz val="10"/>
      <name val="Arial"/>
      <family val="2"/>
    </font>
    <font>
      <sz val="11"/>
      <color theme="1"/>
      <name val="Calibri"/>
      <scheme val="minor"/>
    </font>
    <font>
      <b/>
      <sz val="14"/>
      <color theme="1"/>
      <name val="Calibri"/>
      <family val="2"/>
      <scheme val="minor"/>
    </font>
  </fonts>
  <fills count="35">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00B0F0"/>
        <bgColor indexed="64"/>
      </patternFill>
    </fill>
    <fill>
      <patternFill patternType="solid">
        <fgColor rgb="FFFFFF00"/>
        <bgColor indexed="64"/>
      </patternFill>
    </fill>
  </fills>
  <borders count="9">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51">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20" fillId="0" borderId="0"/>
    <xf numFmtId="0" fontId="1" fillId="0" borderId="0"/>
  </cellStyleXfs>
  <cellXfs count="42">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8" fillId="0" borderId="0" xfId="0" applyFont="1" applyFill="1" applyBorder="1" applyAlignment="1"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xf numFmtId="0" fontId="1" fillId="0" borderId="0" xfId="26" applyFill="1">
      <alignment horizontal="left" vertical="center" wrapText="1" indent="2"/>
    </xf>
    <xf numFmtId="166" fontId="2" fillId="33" borderId="0" xfId="24" applyNumberFormat="1" applyFont="1" applyFill="1" applyAlignment="1" applyProtection="1">
      <alignment horizontal="center" vertical="center"/>
    </xf>
    <xf numFmtId="0" fontId="0" fillId="33" borderId="0" xfId="0" applyFill="1">
      <alignment horizontal="left" vertical="center"/>
    </xf>
    <xf numFmtId="0" fontId="1" fillId="2" borderId="0" xfId="21" applyAlignment="1" applyProtection="1">
      <alignment vertical="center"/>
    </xf>
    <xf numFmtId="0" fontId="1" fillId="2" borderId="0" xfId="21" applyAlignment="1" applyProtection="1">
      <alignment horizontal="center" vertical="center"/>
    </xf>
    <xf numFmtId="166" fontId="1" fillId="4" borderId="0" xfId="7" applyNumberFormat="1" applyProtection="1">
      <alignment horizontal="center" vertical="center"/>
    </xf>
    <xf numFmtId="0" fontId="5" fillId="2" borderId="0" xfId="3" applyProtection="1">
      <alignment horizontal="center" vertical="center"/>
    </xf>
    <xf numFmtId="0" fontId="1" fillId="2" borderId="0" xfId="21" applyAlignment="1" applyProtection="1">
      <alignment horizontal="left" vertical="center"/>
    </xf>
    <xf numFmtId="0" fontId="1" fillId="2" borderId="0" xfId="21" applyAlignment="1" applyProtection="1">
      <alignment horizontal="center" vertical="center"/>
    </xf>
    <xf numFmtId="0" fontId="21" fillId="0" borderId="0" xfId="0" applyNumberFormat="1" applyFont="1" applyFill="1" applyBorder="1" applyAlignment="1" applyProtection="1">
      <alignment horizontal="center" vertical="center"/>
    </xf>
    <xf numFmtId="0" fontId="0" fillId="0" borderId="0" xfId="0" applyAlignment="1">
      <alignment horizontal="center" vertical="center"/>
    </xf>
    <xf numFmtId="0" fontId="1" fillId="0" borderId="6" xfId="26" applyFill="1" applyBorder="1" applyAlignment="1">
      <alignment horizontal="center" vertical="center" wrapText="1"/>
    </xf>
    <xf numFmtId="0" fontId="0" fillId="0" borderId="6" xfId="0" quotePrefix="1" applyBorder="1" applyAlignment="1">
      <alignment horizontal="center" vertical="center"/>
    </xf>
    <xf numFmtId="0" fontId="0" fillId="0" borderId="6" xfId="0" applyBorder="1" applyAlignment="1">
      <alignment horizontal="center" vertical="center"/>
    </xf>
    <xf numFmtId="0" fontId="22" fillId="0" borderId="6" xfId="0" applyFont="1" applyBorder="1" applyAlignment="1">
      <alignment horizontal="center" vertical="center"/>
    </xf>
    <xf numFmtId="0" fontId="0" fillId="34" borderId="7" xfId="0" applyFill="1" applyBorder="1" applyAlignment="1">
      <alignment horizontal="center" vertical="center"/>
    </xf>
    <xf numFmtId="0" fontId="0" fillId="34" borderId="8" xfId="0" applyFill="1" applyBorder="1" applyAlignment="1">
      <alignment horizontal="center" vertical="center"/>
    </xf>
    <xf numFmtId="0" fontId="0" fillId="34" borderId="6" xfId="0" applyFill="1" applyBorder="1" applyAlignment="1">
      <alignment horizontal="center" vertical="center"/>
    </xf>
  </cellXfs>
  <cellStyles count="51">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2" xfId="49"/>
    <cellStyle name="Normal 3" xfId="50"/>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5">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FFC000"/>
        </patternFill>
      </fill>
    </dxf>
    <dxf>
      <fill>
        <patternFill>
          <bgColor rgb="FF92D050"/>
        </patternFill>
      </fill>
    </dxf>
    <dxf>
      <fill>
        <patternFill>
          <bgColor rgb="FFFF0000"/>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904"/>
      <tableStyleElement type="headerRow" dxfId="903"/>
      <tableStyleElement type="totalRow" dxfId="902"/>
      <tableStyleElement type="firstColumn" dxfId="901"/>
      <tableStyleElement type="lastColumn" dxfId="900"/>
      <tableStyleElement type="firstRowStripe" dxfId="899"/>
      <tableStyleElement type="secondRowStripe" dxfId="898"/>
      <tableStyleElement type="firstColumnStripe" dxfId="897"/>
      <tableStyleElement type="secondColumnStripe" dxfId="896"/>
      <tableStyleElement type="firstHeaderCell" dxfId="895"/>
      <tableStyleElement type="lastHeaderCell" dxfId="894"/>
      <tableStyleElement type="firstTotalCell" dxfId="893"/>
      <tableStyleElement type="lastTotalCell" dxfId="89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id="3" name="Janvier" displayName="Janvier" ref="E6:AK13" totalsRowCount="1" headerRowDxfId="883" dataDxfId="882" totalsRowDxfId="881">
  <tableColumns count="33">
    <tableColumn id="1" name="Service" totalsRowFunction="custom" dataDxfId="880" totalsRowDxfId="32" dataCellStyle="Employé">
      <totalsRowFormula>NomMois&amp;" Total"</totalsRowFormula>
    </tableColumn>
    <tableColumn id="2" name="1" totalsRowFunction="custom" dataDxfId="879" totalsRowDxfId="31">
      <totalsRowFormula>SUBTOTAL(103,Janvier!$F$7:$F$12)</totalsRowFormula>
    </tableColumn>
    <tableColumn id="3" name="2" totalsRowFunction="custom" dataDxfId="878" totalsRowDxfId="30">
      <totalsRowFormula>SUBTOTAL(103,Janvier!$G$7:$G$12)</totalsRowFormula>
    </tableColumn>
    <tableColumn id="4" name="3" totalsRowFunction="custom" dataDxfId="877" totalsRowDxfId="29">
      <totalsRowFormula>SUBTOTAL(103,Janvier!$H$7:$H$12)</totalsRowFormula>
    </tableColumn>
    <tableColumn id="5" name="4" totalsRowFunction="custom" dataDxfId="876" totalsRowDxfId="28">
      <totalsRowFormula>SUBTOTAL(103,Janvier!$I$7:$I$12)</totalsRowFormula>
    </tableColumn>
    <tableColumn id="6" name="5" totalsRowFunction="custom" totalsRowDxfId="27">
      <totalsRowFormula>SUBTOTAL(103,Janvier!$J$7:$J$12)</totalsRowFormula>
    </tableColumn>
    <tableColumn id="7" name="6" totalsRowFunction="custom" dataDxfId="875" totalsRowDxfId="26">
      <totalsRowFormula>SUBTOTAL(103,Janvier!$K$7:$K$12)</totalsRowFormula>
    </tableColumn>
    <tableColumn id="8" name="7" totalsRowFunction="custom" dataDxfId="874" totalsRowDxfId="25">
      <totalsRowFormula>SUBTOTAL(103,Janvier!$L$7:$L$12)</totalsRowFormula>
    </tableColumn>
    <tableColumn id="9" name="8" totalsRowFunction="custom" dataDxfId="873" totalsRowDxfId="24">
      <totalsRowFormula>SUBTOTAL(103,Janvier!$M$7:$M$12)</totalsRowFormula>
    </tableColumn>
    <tableColumn id="10" name="9" totalsRowFunction="custom" dataDxfId="872" totalsRowDxfId="23">
      <totalsRowFormula>SUBTOTAL(103,Janvier!$N$7:$N$12)</totalsRowFormula>
    </tableColumn>
    <tableColumn id="11" name="10" totalsRowFunction="custom" dataDxfId="871" totalsRowDxfId="22">
      <totalsRowFormula>SUBTOTAL(103,Janvier!$O$7:$O$12)</totalsRowFormula>
    </tableColumn>
    <tableColumn id="12" name="11" totalsRowFunction="custom" dataDxfId="870" totalsRowDxfId="21">
      <totalsRowFormula>SUBTOTAL(103,Janvier!$P$7:$P$12)</totalsRowFormula>
    </tableColumn>
    <tableColumn id="13" name="12" totalsRowFunction="custom" dataDxfId="869" totalsRowDxfId="20">
      <totalsRowFormula>SUBTOTAL(103,Janvier!$Q$7:$Q$12)</totalsRowFormula>
    </tableColumn>
    <tableColumn id="14" name="13" totalsRowFunction="custom" dataDxfId="868" totalsRowDxfId="19">
      <totalsRowFormula>SUBTOTAL(103,Janvier!$R$7:$R$12)</totalsRowFormula>
    </tableColumn>
    <tableColumn id="15" name="14" totalsRowFunction="custom" dataDxfId="867" totalsRowDxfId="18">
      <totalsRowFormula>SUBTOTAL(103,Janvier!$S$7:$S$12)</totalsRowFormula>
    </tableColumn>
    <tableColumn id="16" name="15" totalsRowFunction="custom" dataDxfId="866" totalsRowDxfId="17">
      <totalsRowFormula>SUBTOTAL(103,Janvier!$T$7:$T$12)</totalsRowFormula>
    </tableColumn>
    <tableColumn id="17" name="16" totalsRowFunction="custom" dataDxfId="865" totalsRowDxfId="16">
      <totalsRowFormula>SUBTOTAL(103,Janvier!$U$7:$U$12)</totalsRowFormula>
    </tableColumn>
    <tableColumn id="18" name="17" totalsRowFunction="custom" dataDxfId="864" totalsRowDxfId="15">
      <totalsRowFormula>SUBTOTAL(103,Janvier!$V$7:$V$12)</totalsRowFormula>
    </tableColumn>
    <tableColumn id="19" name="18" totalsRowFunction="custom" dataDxfId="863" totalsRowDxfId="14">
      <totalsRowFormula>SUBTOTAL(103,Janvier!$W$7:$W$12)</totalsRowFormula>
    </tableColumn>
    <tableColumn id="20" name="19" totalsRowFunction="custom" dataDxfId="862" totalsRowDxfId="13">
      <totalsRowFormula>SUBTOTAL(103,Janvier!$X$7:$X$12)</totalsRowFormula>
    </tableColumn>
    <tableColumn id="21" name="20" totalsRowFunction="custom" dataDxfId="861" totalsRowDxfId="12">
      <totalsRowFormula>SUBTOTAL(103,Janvier!$Y$7:$Y$12)</totalsRowFormula>
    </tableColumn>
    <tableColumn id="22" name="21" totalsRowFunction="custom" dataDxfId="860" totalsRowDxfId="11">
      <totalsRowFormula>SUBTOTAL(103,Janvier!$Z$7:$Z$12)</totalsRowFormula>
    </tableColumn>
    <tableColumn id="23" name="22" totalsRowFunction="custom" dataDxfId="859" totalsRowDxfId="10">
      <totalsRowFormula>SUBTOTAL(103,Janvier!$AA$7:$AA$12)</totalsRowFormula>
    </tableColumn>
    <tableColumn id="24" name="23" totalsRowFunction="custom" dataDxfId="858" totalsRowDxfId="9">
      <totalsRowFormula>SUBTOTAL(103,Janvier!$AB$7:$AB$12)</totalsRowFormula>
    </tableColumn>
    <tableColumn id="25" name="24" totalsRowFunction="custom" dataDxfId="857" totalsRowDxfId="8">
      <totalsRowFormula>SUBTOTAL(103,Janvier!$AC$7:$AC$12)</totalsRowFormula>
    </tableColumn>
    <tableColumn id="26" name="25" totalsRowFunction="custom" dataDxfId="856" totalsRowDxfId="7">
      <totalsRowFormula>SUBTOTAL(103,Janvier!$AD$7:$AD$12)</totalsRowFormula>
    </tableColumn>
    <tableColumn id="27" name="26" totalsRowFunction="count" dataDxfId="855" totalsRowDxfId="6"/>
    <tableColumn id="28" name="27" totalsRowFunction="custom" dataDxfId="854" totalsRowDxfId="5">
      <totalsRowFormula>SUBTOTAL(103,Janvier!$AF$7:$AF$12)</totalsRowFormula>
    </tableColumn>
    <tableColumn id="29" name="28" totalsRowFunction="custom" dataDxfId="853" totalsRowDxfId="4">
      <totalsRowFormula>SUBTOTAL(103,Janvier!$AG$7:$AG$12)</totalsRowFormula>
    </tableColumn>
    <tableColumn id="30" name="29" totalsRowFunction="custom" dataDxfId="852" totalsRowDxfId="3">
      <totalsRowFormula>SUBTOTAL(103,Janvier!$AH$7:$AH$12)</totalsRowFormula>
    </tableColumn>
    <tableColumn id="31" name="30" totalsRowFunction="custom" dataDxfId="851" totalsRowDxfId="2">
      <totalsRowFormula>SUBTOTAL(103,Janvier!$AI$7:$AI$12)</totalsRowFormula>
    </tableColumn>
    <tableColumn id="32" name="31" totalsRowFunction="custom" dataDxfId="850" totalsRowDxfId="1">
      <totalsRowFormula>SUBTOTAL(103,Janvier!$AJ$7:$AJ$12)</totalsRowFormula>
    </tableColumn>
    <tableColumn id="33" name="Total des jours" totalsRowFunction="sum" dataDxfId="849" totalsRowDxfId="0">
      <calculatedColumnFormula>COUNTA(Janvier!$F7:$AJ7)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H12" totalsRowCount="1" headerRowDxfId="841" dataDxfId="840" totalsRowDxfId="839">
  <tableColumns count="33">
    <tableColumn id="1" name="Nom de l’employé" totalsRowFunction="custom" dataDxfId="838" totalsRowDxfId="837" dataCellStyle="Employé">
      <totalsRowFormula>NomMois&amp;" Total"</totalsRowFormula>
    </tableColumn>
    <tableColumn id="2" name="1" totalsRowFunction="count" dataDxfId="836" totalsRowDxfId="835"/>
    <tableColumn id="3" name="2" totalsRowFunction="count" dataDxfId="834" totalsRowDxfId="833"/>
    <tableColumn id="4" name="3" totalsRowFunction="count" dataDxfId="832" totalsRowDxfId="831"/>
    <tableColumn id="5" name="4" totalsRowFunction="count" dataDxfId="830" totalsRowDxfId="829"/>
    <tableColumn id="6" name="5" totalsRowFunction="count" dataDxfId="828" totalsRowDxfId="827"/>
    <tableColumn id="7" name="6" totalsRowFunction="count" dataDxfId="826" totalsRowDxfId="825"/>
    <tableColumn id="8" name="7" totalsRowFunction="count" dataDxfId="824" totalsRowDxfId="823"/>
    <tableColumn id="9" name="8" totalsRowFunction="count" dataDxfId="822" totalsRowDxfId="821"/>
    <tableColumn id="10" name="9" totalsRowFunction="count" dataDxfId="820" totalsRowDxfId="819"/>
    <tableColumn id="11" name="10" totalsRowFunction="count" dataDxfId="818" totalsRowDxfId="817"/>
    <tableColumn id="12" name="11" totalsRowFunction="count" dataDxfId="816" totalsRowDxfId="815"/>
    <tableColumn id="13" name="12" totalsRowFunction="count" dataDxfId="814" totalsRowDxfId="813"/>
    <tableColumn id="14" name="13" totalsRowFunction="count" dataDxfId="812" totalsRowDxfId="811"/>
    <tableColumn id="15" name="14" totalsRowFunction="count" dataDxfId="810" totalsRowDxfId="809"/>
    <tableColumn id="16" name="15" totalsRowFunction="count" dataDxfId="808" totalsRowDxfId="807"/>
    <tableColumn id="17" name="16" totalsRowFunction="count" dataDxfId="806" totalsRowDxfId="805"/>
    <tableColumn id="18" name="17" totalsRowFunction="count" dataDxfId="804" totalsRowDxfId="803"/>
    <tableColumn id="19" name="18" totalsRowFunction="count" dataDxfId="802" totalsRowDxfId="801"/>
    <tableColumn id="20" name="19" totalsRowFunction="count" dataDxfId="800" totalsRowDxfId="799"/>
    <tableColumn id="21" name="20" totalsRowFunction="count" dataDxfId="798" totalsRowDxfId="797"/>
    <tableColumn id="22" name="21" totalsRowFunction="count" dataDxfId="796" totalsRowDxfId="795"/>
    <tableColumn id="23" name="22" totalsRowFunction="count" dataDxfId="794" totalsRowDxfId="793"/>
    <tableColumn id="24" name="23" totalsRowFunction="count" dataDxfId="792" totalsRowDxfId="791"/>
    <tableColumn id="25" name="24" totalsRowFunction="count" dataDxfId="790" totalsRowDxfId="789"/>
    <tableColumn id="26" name="25" totalsRowFunction="count" dataDxfId="788" totalsRowDxfId="787"/>
    <tableColumn id="27" name="26" totalsRowFunction="count" dataDxfId="786" totalsRowDxfId="785"/>
    <tableColumn id="28" name="27" totalsRowFunction="count" dataDxfId="784" totalsRowDxfId="783"/>
    <tableColumn id="29" name="28" totalsRowFunction="count" dataDxfId="782" totalsRowDxfId="781"/>
    <tableColumn id="30" name="29" totalsRowFunction="count" dataDxfId="780" totalsRowDxfId="779"/>
    <tableColumn id="31" name=" " dataDxfId="778" totalsRowDxfId="777"/>
    <tableColumn id="32" name="  " dataDxfId="776" totalsRowDxfId="775"/>
    <tableColumn id="33" name="Total des jours" totalsRowFunction="sum" dataDxfId="774" totalsRowDxfId="773">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H12" totalsRowCount="1" headerRowDxfId="767" dataDxfId="766" totalsRowDxfId="765">
  <tableColumns count="33">
    <tableColumn id="1" name="Nom de l’employé" totalsRowFunction="custom" dataDxfId="764" totalsRowDxfId="763" dataCellStyle="Employé">
      <totalsRowFormula>NomMois&amp;" Total"</totalsRowFormula>
    </tableColumn>
    <tableColumn id="2" name="1" totalsRowFunction="count" dataDxfId="762" totalsRowDxfId="761"/>
    <tableColumn id="3" name="2" totalsRowFunction="count" dataDxfId="760" totalsRowDxfId="759"/>
    <tableColumn id="4" name="3" totalsRowFunction="count" dataDxfId="758" totalsRowDxfId="757"/>
    <tableColumn id="5" name="4" totalsRowFunction="count" dataDxfId="756" totalsRowDxfId="755"/>
    <tableColumn id="6" name="5" totalsRowFunction="count" dataDxfId="754" totalsRowDxfId="753"/>
    <tableColumn id="7" name="6" totalsRowFunction="count" dataDxfId="752" totalsRowDxfId="751"/>
    <tableColumn id="8" name="7" totalsRowFunction="count" dataDxfId="750" totalsRowDxfId="749"/>
    <tableColumn id="9" name="8" totalsRowFunction="count" dataDxfId="748" totalsRowDxfId="747"/>
    <tableColumn id="10" name="9" totalsRowFunction="count" dataDxfId="746" totalsRowDxfId="745"/>
    <tableColumn id="11" name="10" totalsRowFunction="count" dataDxfId="744" totalsRowDxfId="743"/>
    <tableColumn id="12" name="11" totalsRowFunction="count" dataDxfId="742" totalsRowDxfId="741"/>
    <tableColumn id="13" name="12" totalsRowFunction="count" dataDxfId="740" totalsRowDxfId="739"/>
    <tableColumn id="14" name="13" totalsRowFunction="count" dataDxfId="738" totalsRowDxfId="737"/>
    <tableColumn id="15" name="14" totalsRowFunction="count" dataDxfId="736" totalsRowDxfId="735"/>
    <tableColumn id="16" name="15" totalsRowFunction="count" dataDxfId="734" totalsRowDxfId="733"/>
    <tableColumn id="17" name="16" totalsRowFunction="count" dataDxfId="732" totalsRowDxfId="731"/>
    <tableColumn id="18" name="17" totalsRowFunction="count" dataDxfId="730" totalsRowDxfId="729"/>
    <tableColumn id="19" name="18" totalsRowFunction="count" dataDxfId="728" totalsRowDxfId="727"/>
    <tableColumn id="20" name="19" totalsRowFunction="count" dataDxfId="726" totalsRowDxfId="725"/>
    <tableColumn id="21" name="20" totalsRowFunction="count" dataDxfId="724" totalsRowDxfId="723"/>
    <tableColumn id="22" name="21" totalsRowFunction="count" dataDxfId="722" totalsRowDxfId="721"/>
    <tableColumn id="23" name="22" totalsRowFunction="count" dataDxfId="720" totalsRowDxfId="719"/>
    <tableColumn id="24" name="23" totalsRowFunction="count" dataDxfId="718" totalsRowDxfId="717"/>
    <tableColumn id="25" name="24" totalsRowFunction="count" dataDxfId="716" totalsRowDxfId="715"/>
    <tableColumn id="26" name="25" totalsRowFunction="count" dataDxfId="714" totalsRowDxfId="713"/>
    <tableColumn id="27" name="26" totalsRowFunction="count" dataDxfId="712" totalsRowDxfId="711"/>
    <tableColumn id="28" name="27" totalsRowFunction="count" dataDxfId="710" totalsRowDxfId="709"/>
    <tableColumn id="29" name="28" totalsRowFunction="count" dataDxfId="708" totalsRowDxfId="707"/>
    <tableColumn id="30" name="29" totalsRowFunction="count" dataDxfId="706" totalsRowDxfId="705"/>
    <tableColumn id="31" name="30" totalsRowFunction="count" dataDxfId="704" totalsRowDxfId="703"/>
    <tableColumn id="32" name="31" totalsRowFunction="count" dataDxfId="702" totalsRowDxfId="701"/>
    <tableColumn id="33" name="Total des jours" totalsRowFunction="sum" dataDxfId="700" totalsRowDxfId="699">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H12" totalsRowCount="1" headerRowDxfId="693" dataDxfId="692" totalsRowDxfId="691">
  <tableColumns count="33">
    <tableColumn id="1" name="Nom de l’employé" totalsRowFunction="custom" dataDxfId="690" totalsRowDxfId="689" dataCellStyle="Employé">
      <totalsRowFormula>NomMois&amp;" Total"</totalsRowFormula>
    </tableColumn>
    <tableColumn id="2" name="1" totalsRowFunction="count" dataDxfId="688" totalsRowDxfId="687"/>
    <tableColumn id="3" name="2" totalsRowFunction="count" dataDxfId="686" totalsRowDxfId="685"/>
    <tableColumn id="4" name="3" totalsRowFunction="count" dataDxfId="684" totalsRowDxfId="683"/>
    <tableColumn id="5" name="4" totalsRowFunction="count" dataDxfId="682" totalsRowDxfId="681"/>
    <tableColumn id="6" name="5" totalsRowFunction="count" dataDxfId="680" totalsRowDxfId="679"/>
    <tableColumn id="7" name="6" totalsRowFunction="count" dataDxfId="678" totalsRowDxfId="677"/>
    <tableColumn id="8" name="7" totalsRowFunction="count" dataDxfId="676" totalsRowDxfId="675"/>
    <tableColumn id="9" name="8" totalsRowFunction="count" dataDxfId="674" totalsRowDxfId="673"/>
    <tableColumn id="10" name="9" totalsRowFunction="count" dataDxfId="672" totalsRowDxfId="671"/>
    <tableColumn id="11" name="10" totalsRowFunction="count" dataDxfId="670" totalsRowDxfId="669"/>
    <tableColumn id="12" name="11" totalsRowFunction="count" dataDxfId="668" totalsRowDxfId="667"/>
    <tableColumn id="13" name="12" totalsRowFunction="count" dataDxfId="666" totalsRowDxfId="665"/>
    <tableColumn id="14" name="13" totalsRowFunction="count" dataDxfId="664" totalsRowDxfId="663"/>
    <tableColumn id="15" name="14" totalsRowFunction="count" dataDxfId="662" totalsRowDxfId="661"/>
    <tableColumn id="16" name="15" totalsRowFunction="count" dataDxfId="660" totalsRowDxfId="659"/>
    <tableColumn id="17" name="16" totalsRowFunction="count" dataDxfId="658" totalsRowDxfId="657"/>
    <tableColumn id="18" name="17" totalsRowFunction="count" dataDxfId="656" totalsRowDxfId="655"/>
    <tableColumn id="19" name="18" totalsRowFunction="count" dataDxfId="654" totalsRowDxfId="653"/>
    <tableColumn id="20" name="19" totalsRowFunction="count" dataDxfId="652" totalsRowDxfId="651"/>
    <tableColumn id="21" name="20" totalsRowFunction="count" dataDxfId="650" totalsRowDxfId="649"/>
    <tableColumn id="22" name="21" totalsRowFunction="count" dataDxfId="648" totalsRowDxfId="647"/>
    <tableColumn id="23" name="22" totalsRowFunction="count" dataDxfId="646" totalsRowDxfId="645"/>
    <tableColumn id="24" name="23" totalsRowFunction="count" dataDxfId="644" totalsRowDxfId="643"/>
    <tableColumn id="25" name="24" totalsRowFunction="count" dataDxfId="642" totalsRowDxfId="641"/>
    <tableColumn id="26" name="25" totalsRowFunction="count" dataDxfId="640" totalsRowDxfId="639"/>
    <tableColumn id="27" name="26" totalsRowFunction="count" dataDxfId="638" totalsRowDxfId="637"/>
    <tableColumn id="28" name="27" totalsRowFunction="count" dataDxfId="636" totalsRowDxfId="635"/>
    <tableColumn id="29" name="28" totalsRowFunction="count" dataDxfId="634" totalsRowDxfId="633"/>
    <tableColumn id="30" name="29" totalsRowFunction="count" dataDxfId="632" totalsRowDxfId="631"/>
    <tableColumn id="31" name="30" totalsRowFunction="count" dataDxfId="630" totalsRowDxfId="629"/>
    <tableColumn id="32" name=" " totalsRowFunction="custom" dataDxfId="628" totalsRowDxfId="627">
      <totalsRowFormula>SUBTOTAL(103,Avril[30])</totalsRowFormula>
    </tableColumn>
    <tableColumn id="33" name="Total des jours" totalsRowFunction="sum" dataDxfId="626" totalsRowDxfId="625">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H12" totalsRowCount="1" headerRowDxfId="619" dataDxfId="618" totalsRowDxfId="617">
  <tableColumns count="33">
    <tableColumn id="1" name="Nom de l’employé" totalsRowFunction="custom" dataDxfId="616" totalsRowDxfId="615" dataCellStyle="Employé">
      <totalsRowFormula>NomMois&amp;" Total"</totalsRowFormula>
    </tableColumn>
    <tableColumn id="2" name="1" totalsRowFunction="count" dataDxfId="614" totalsRowDxfId="613"/>
    <tableColumn id="3" name="2" totalsRowFunction="count" dataDxfId="612" totalsRowDxfId="611"/>
    <tableColumn id="4" name="3" totalsRowFunction="count" dataDxfId="610" totalsRowDxfId="609"/>
    <tableColumn id="5" name="4" totalsRowFunction="count" dataDxfId="608" totalsRowDxfId="607"/>
    <tableColumn id="6" name="5" totalsRowFunction="count" dataDxfId="606" totalsRowDxfId="605"/>
    <tableColumn id="7" name="6" totalsRowFunction="count" dataDxfId="604" totalsRowDxfId="603"/>
    <tableColumn id="8" name="7" totalsRowFunction="count" dataDxfId="602" totalsRowDxfId="601"/>
    <tableColumn id="9" name="8" totalsRowFunction="count" dataDxfId="600" totalsRowDxfId="599"/>
    <tableColumn id="10" name="9" totalsRowFunction="count" dataDxfId="598" totalsRowDxfId="597"/>
    <tableColumn id="11" name="10" totalsRowFunction="count" dataDxfId="596" totalsRowDxfId="595"/>
    <tableColumn id="12" name="11" totalsRowFunction="count" dataDxfId="594" totalsRowDxfId="593"/>
    <tableColumn id="13" name="12" totalsRowFunction="count" dataDxfId="592" totalsRowDxfId="591"/>
    <tableColumn id="14" name="13" totalsRowFunction="count" dataDxfId="590" totalsRowDxfId="589"/>
    <tableColumn id="15" name="14" totalsRowFunction="count" dataDxfId="588" totalsRowDxfId="587"/>
    <tableColumn id="16" name="15" totalsRowFunction="count" dataDxfId="586" totalsRowDxfId="585"/>
    <tableColumn id="17" name="16" totalsRowFunction="count" dataDxfId="584" totalsRowDxfId="583"/>
    <tableColumn id="18" name="17" totalsRowFunction="count" dataDxfId="582" totalsRowDxfId="581"/>
    <tableColumn id="19" name="18" totalsRowFunction="count" dataDxfId="580" totalsRowDxfId="579"/>
    <tableColumn id="20" name="19" totalsRowFunction="count" dataDxfId="578" totalsRowDxfId="577"/>
    <tableColumn id="21" name="20" totalsRowFunction="count" dataDxfId="576" totalsRowDxfId="575"/>
    <tableColumn id="22" name="21" totalsRowFunction="count" dataDxfId="574" totalsRowDxfId="573"/>
    <tableColumn id="23" name="22" totalsRowFunction="count" dataDxfId="572" totalsRowDxfId="571"/>
    <tableColumn id="24" name="23" totalsRowFunction="count" dataDxfId="570" totalsRowDxfId="569"/>
    <tableColumn id="25" name="24" totalsRowFunction="count" dataDxfId="568" totalsRowDxfId="567"/>
    <tableColumn id="26" name="25" totalsRowFunction="count" dataDxfId="566" totalsRowDxfId="565"/>
    <tableColumn id="27" name="26" totalsRowFunction="count" dataDxfId="564" totalsRowDxfId="563"/>
    <tableColumn id="28" name="27" totalsRowFunction="count" dataDxfId="562" totalsRowDxfId="561"/>
    <tableColumn id="29" name="28" totalsRowFunction="count" dataDxfId="560" totalsRowDxfId="559"/>
    <tableColumn id="30" name="29" totalsRowFunction="count" dataDxfId="558" totalsRowDxfId="557"/>
    <tableColumn id="31" name="30" totalsRowFunction="count" dataDxfId="556" totalsRowDxfId="555"/>
    <tableColumn id="32" name="31" totalsRowFunction="count" dataDxfId="554" totalsRowDxfId="553"/>
    <tableColumn id="33" name="Total des jours" totalsRowFunction="sum" dataDxfId="552" totalsRowDxfId="551">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H12" totalsRowCount="1" headerRowDxfId="545" dataDxfId="544" totalsRowDxfId="543">
  <tableColumns count="33">
    <tableColumn id="1" name="Nom de l’employé" totalsRowFunction="custom" dataDxfId="542" totalsRowDxfId="541" dataCellStyle="Employé">
      <totalsRowFormula>NomMois&amp;" Total"</totalsRowFormula>
    </tableColumn>
    <tableColumn id="2" name="1" totalsRowFunction="count" dataDxfId="540" totalsRowDxfId="539"/>
    <tableColumn id="3" name="2" totalsRowFunction="count" dataDxfId="538" totalsRowDxfId="537"/>
    <tableColumn id="4" name="3" totalsRowFunction="count" dataDxfId="536" totalsRowDxfId="535"/>
    <tableColumn id="5" name="4" totalsRowFunction="count" dataDxfId="534" totalsRowDxfId="533"/>
    <tableColumn id="6" name="5" totalsRowFunction="count" dataDxfId="532" totalsRowDxfId="531"/>
    <tableColumn id="7" name="6" totalsRowFunction="count" dataDxfId="530" totalsRowDxfId="529"/>
    <tableColumn id="8" name="7" totalsRowFunction="count" dataDxfId="528" totalsRowDxfId="527"/>
    <tableColumn id="9" name="8" totalsRowFunction="count" dataDxfId="526" totalsRowDxfId="525"/>
    <tableColumn id="10" name="9" totalsRowFunction="count" dataDxfId="524" totalsRowDxfId="523"/>
    <tableColumn id="11" name="10" totalsRowFunction="count" dataDxfId="522" totalsRowDxfId="521"/>
    <tableColumn id="12" name="11" totalsRowFunction="count" dataDxfId="520" totalsRowDxfId="519"/>
    <tableColumn id="13" name="12" totalsRowFunction="count" dataDxfId="518" totalsRowDxfId="517"/>
    <tableColumn id="14" name="13" totalsRowFunction="count" dataDxfId="516" totalsRowDxfId="515"/>
    <tableColumn id="15" name="14" totalsRowFunction="count" dataDxfId="514" totalsRowDxfId="513"/>
    <tableColumn id="16" name="15" totalsRowFunction="count" dataDxfId="512" totalsRowDxfId="511"/>
    <tableColumn id="17" name="16" totalsRowFunction="count" dataDxfId="510" totalsRowDxfId="509"/>
    <tableColumn id="18" name="17" totalsRowFunction="count" dataDxfId="508" totalsRowDxfId="507"/>
    <tableColumn id="19" name="18" totalsRowFunction="count" dataDxfId="506" totalsRowDxfId="505"/>
    <tableColumn id="20" name="19" totalsRowFunction="count" dataDxfId="504" totalsRowDxfId="503"/>
    <tableColumn id="21" name="20" totalsRowFunction="count" dataDxfId="502" totalsRowDxfId="501"/>
    <tableColumn id="22" name="21" totalsRowFunction="count" dataDxfId="500" totalsRowDxfId="499"/>
    <tableColumn id="23" name="22" totalsRowFunction="count" dataDxfId="498" totalsRowDxfId="497"/>
    <tableColumn id="24" name="23" totalsRowFunction="count" dataDxfId="496" totalsRowDxfId="495"/>
    <tableColumn id="25" name="24" totalsRowFunction="count" dataDxfId="494" totalsRowDxfId="493"/>
    <tableColumn id="26" name="25" totalsRowFunction="count" dataDxfId="492" totalsRowDxfId="491"/>
    <tableColumn id="27" name="26" totalsRowFunction="count" dataDxfId="490" totalsRowDxfId="489"/>
    <tableColumn id="28" name="27" totalsRowFunction="count" dataDxfId="488" totalsRowDxfId="487"/>
    <tableColumn id="29" name="28" totalsRowFunction="count" dataDxfId="486" totalsRowDxfId="485"/>
    <tableColumn id="30" name="29" totalsRowFunction="count" dataDxfId="484" totalsRowDxfId="483"/>
    <tableColumn id="31" name="30" totalsRowFunction="count" dataDxfId="482" totalsRowDxfId="481"/>
    <tableColumn id="32" name=" " totalsRowFunction="count" dataDxfId="480" totalsRowDxfId="479"/>
    <tableColumn id="33" name="Total des jours" totalsRowFunction="sum" dataDxfId="478" totalsRowDxfId="477">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H12" totalsRowCount="1" headerRowDxfId="471" dataDxfId="470" totalsRowDxfId="469">
  <tableColumns count="33">
    <tableColumn id="1" name="Nom de l’employé" totalsRowFunction="custom" dataDxfId="468" totalsRowDxfId="467" dataCellStyle="Employé">
      <totalsRowFormula>NomMois&amp;" Total"</totalsRowFormula>
    </tableColumn>
    <tableColumn id="2" name="1" totalsRowFunction="count" dataDxfId="466" totalsRowDxfId="465"/>
    <tableColumn id="3" name="2" totalsRowFunction="count" dataDxfId="464" totalsRowDxfId="463"/>
    <tableColumn id="4" name="3" totalsRowFunction="count" dataDxfId="462" totalsRowDxfId="461"/>
    <tableColumn id="5" name="4" totalsRowFunction="count" dataDxfId="460" totalsRowDxfId="459"/>
    <tableColumn id="6" name="5" totalsRowFunction="count" dataDxfId="458" totalsRowDxfId="457"/>
    <tableColumn id="7" name="6" totalsRowFunction="count" dataDxfId="456" totalsRowDxfId="455"/>
    <tableColumn id="8" name="7" totalsRowFunction="count" dataDxfId="454" totalsRowDxfId="453"/>
    <tableColumn id="9" name="8" totalsRowFunction="count" dataDxfId="452" totalsRowDxfId="451"/>
    <tableColumn id="10" name="9" totalsRowFunction="count" dataDxfId="450" totalsRowDxfId="449"/>
    <tableColumn id="11" name="10" totalsRowFunction="count" dataDxfId="448" totalsRowDxfId="447"/>
    <tableColumn id="12" name="11" totalsRowFunction="count" dataDxfId="446" totalsRowDxfId="445"/>
    <tableColumn id="13" name="12" totalsRowFunction="count" dataDxfId="444" totalsRowDxfId="443"/>
    <tableColumn id="14" name="13" totalsRowFunction="count" dataDxfId="442" totalsRowDxfId="441"/>
    <tableColumn id="15" name="14" totalsRowFunction="count" dataDxfId="440" totalsRowDxfId="439"/>
    <tableColumn id="16" name="15" totalsRowFunction="count" dataDxfId="438" totalsRowDxfId="437"/>
    <tableColumn id="17" name="16" totalsRowFunction="count" dataDxfId="436" totalsRowDxfId="435"/>
    <tableColumn id="18" name="17" totalsRowFunction="count" dataDxfId="434" totalsRowDxfId="433"/>
    <tableColumn id="19" name="18" totalsRowFunction="count" dataDxfId="432" totalsRowDxfId="431"/>
    <tableColumn id="20" name="19" totalsRowFunction="count" dataDxfId="430" totalsRowDxfId="429"/>
    <tableColumn id="21" name="20" totalsRowFunction="count" dataDxfId="428" totalsRowDxfId="427"/>
    <tableColumn id="22" name="21" totalsRowFunction="count" dataDxfId="426" totalsRowDxfId="425"/>
    <tableColumn id="23" name="22" totalsRowFunction="count" dataDxfId="424" totalsRowDxfId="423"/>
    <tableColumn id="24" name="23" totalsRowFunction="count" dataDxfId="422" totalsRowDxfId="421"/>
    <tableColumn id="25" name="24" totalsRowFunction="count" dataDxfId="420" totalsRowDxfId="419"/>
    <tableColumn id="26" name="25" totalsRowFunction="count" dataDxfId="418" totalsRowDxfId="417"/>
    <tableColumn id="27" name="26" totalsRowFunction="count" dataDxfId="416" totalsRowDxfId="415"/>
    <tableColumn id="28" name="27" totalsRowFunction="count" dataDxfId="414" totalsRowDxfId="413"/>
    <tableColumn id="29" name="28" totalsRowFunction="count" dataDxfId="412" totalsRowDxfId="411"/>
    <tableColumn id="30" name="29" totalsRowFunction="count" dataDxfId="410" totalsRowDxfId="409"/>
    <tableColumn id="31" name="30" totalsRowFunction="count" dataDxfId="408" totalsRowDxfId="407"/>
    <tableColumn id="32" name="31" totalsRowFunction="count" dataDxfId="406" totalsRowDxfId="405"/>
    <tableColumn id="33" name="Total des jours" totalsRowFunction="sum" dataDxfId="404" totalsRowDxfId="403">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H12" totalsRowCount="1" headerRowDxfId="397" dataDxfId="396" totalsRowDxfId="395">
  <tableColumns count="33">
    <tableColumn id="1" name="Nom de l’employé" totalsRowFunction="custom" dataDxfId="394" totalsRowDxfId="393" dataCellStyle="Employé">
      <totalsRowFormula>NomMois&amp;" Total"</totalsRowFormula>
    </tableColumn>
    <tableColumn id="2" name="1" totalsRowFunction="count" dataDxfId="392" totalsRowDxfId="391"/>
    <tableColumn id="3" name="2" totalsRowFunction="count" dataDxfId="390" totalsRowDxfId="389"/>
    <tableColumn id="4" name="3" totalsRowFunction="count" dataDxfId="388" totalsRowDxfId="387"/>
    <tableColumn id="5" name="4" totalsRowFunction="count" dataDxfId="386" totalsRowDxfId="385"/>
    <tableColumn id="6" name="5" totalsRowFunction="count" dataDxfId="384" totalsRowDxfId="383"/>
    <tableColumn id="7" name="6" totalsRowFunction="count" dataDxfId="382" totalsRowDxfId="381"/>
    <tableColumn id="8" name="7" totalsRowFunction="count" dataDxfId="380" totalsRowDxfId="379"/>
    <tableColumn id="9" name="8" totalsRowFunction="count" dataDxfId="378" totalsRowDxfId="377"/>
    <tableColumn id="10" name="9" totalsRowFunction="count" dataDxfId="376" totalsRowDxfId="375"/>
    <tableColumn id="11" name="10" totalsRowFunction="count" dataDxfId="374" totalsRowDxfId="373"/>
    <tableColumn id="12" name="11" totalsRowFunction="count" dataDxfId="372" totalsRowDxfId="371"/>
    <tableColumn id="13" name="12" totalsRowFunction="count" dataDxfId="370" totalsRowDxfId="369"/>
    <tableColumn id="14" name="13" totalsRowFunction="count" dataDxfId="368" totalsRowDxfId="367"/>
    <tableColumn id="15" name="14" totalsRowFunction="count" dataDxfId="366" totalsRowDxfId="365"/>
    <tableColumn id="16" name="15" totalsRowFunction="count" dataDxfId="364" totalsRowDxfId="363"/>
    <tableColumn id="17" name="16" totalsRowFunction="count" dataDxfId="362" totalsRowDxfId="361"/>
    <tableColumn id="18" name="17" totalsRowFunction="count" dataDxfId="360" totalsRowDxfId="359"/>
    <tableColumn id="19" name="18" totalsRowFunction="count" dataDxfId="358" totalsRowDxfId="357"/>
    <tableColumn id="20" name="19" totalsRowFunction="count" dataDxfId="356" totalsRowDxfId="355"/>
    <tableColumn id="21" name="20" totalsRowFunction="count" dataDxfId="354" totalsRowDxfId="353"/>
    <tableColumn id="22" name="21" totalsRowFunction="count" dataDxfId="352" totalsRowDxfId="351"/>
    <tableColumn id="23" name="22" totalsRowFunction="count" dataDxfId="350" totalsRowDxfId="349"/>
    <tableColumn id="24" name="23" totalsRowFunction="count" dataDxfId="348" totalsRowDxfId="347"/>
    <tableColumn id="25" name="24" totalsRowFunction="count" dataDxfId="346" totalsRowDxfId="345"/>
    <tableColumn id="26" name="25" totalsRowFunction="count" dataDxfId="344" totalsRowDxfId="343"/>
    <tableColumn id="27" name="26" totalsRowFunction="count" dataDxfId="342" totalsRowDxfId="341"/>
    <tableColumn id="28" name="27" totalsRowFunction="count" dataDxfId="340" totalsRowDxfId="339"/>
    <tableColumn id="29" name="28" totalsRowFunction="count" dataDxfId="338" totalsRowDxfId="337"/>
    <tableColumn id="30" name="29" totalsRowFunction="count" dataDxfId="336" totalsRowDxfId="335"/>
    <tableColumn id="31" name="30" totalsRowFunction="count" dataDxfId="334" totalsRowDxfId="333"/>
    <tableColumn id="32" name="31" totalsRowFunction="count" dataDxfId="332" totalsRowDxfId="331"/>
    <tableColumn id="33" name="Total des jours" totalsRowFunction="sum" dataDxfId="330" totalsRowDxfId="329">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H12" totalsRowCount="1" headerRowDxfId="323" dataDxfId="322" totalsRowDxfId="321">
  <tableColumns count="33">
    <tableColumn id="1" name="Nom de l’employé" totalsRowFunction="custom" dataDxfId="320" totalsRowDxfId="319" dataCellStyle="Employé">
      <totalsRowFormula>NomMois&amp;" Total"</totalsRowFormula>
    </tableColumn>
    <tableColumn id="2" name="1" totalsRowFunction="count" dataDxfId="318" totalsRowDxfId="317"/>
    <tableColumn id="3" name="2" totalsRowFunction="count" dataDxfId="316" totalsRowDxfId="315"/>
    <tableColumn id="4" name="3" totalsRowFunction="count" dataDxfId="314" totalsRowDxfId="313"/>
    <tableColumn id="5" name="4" totalsRowFunction="count" dataDxfId="312" totalsRowDxfId="311"/>
    <tableColumn id="6" name="5" totalsRowFunction="count" dataDxfId="310" totalsRowDxfId="309"/>
    <tableColumn id="7" name="6" totalsRowFunction="count" dataDxfId="308" totalsRowDxfId="307"/>
    <tableColumn id="8" name="7" totalsRowFunction="count" dataDxfId="306" totalsRowDxfId="305"/>
    <tableColumn id="9" name="8" totalsRowFunction="count" dataDxfId="304" totalsRowDxfId="303"/>
    <tableColumn id="10" name="9" totalsRowFunction="count" dataDxfId="302" totalsRowDxfId="301"/>
    <tableColumn id="11" name="10" totalsRowFunction="count" dataDxfId="300" totalsRowDxfId="299"/>
    <tableColumn id="12" name="11" totalsRowFunction="count" dataDxfId="298" totalsRowDxfId="297"/>
    <tableColumn id="13" name="12" totalsRowFunction="count" dataDxfId="296" totalsRowDxfId="295"/>
    <tableColumn id="14" name="13" totalsRowFunction="count" dataDxfId="294" totalsRowDxfId="293"/>
    <tableColumn id="15" name="14" totalsRowFunction="count" dataDxfId="292" totalsRowDxfId="291"/>
    <tableColumn id="16" name="15" totalsRowFunction="count" dataDxfId="290" totalsRowDxfId="289"/>
    <tableColumn id="17" name="16" totalsRowFunction="count" dataDxfId="288" totalsRowDxfId="287"/>
    <tableColumn id="18" name="17" totalsRowFunction="count" dataDxfId="286" totalsRowDxfId="285"/>
    <tableColumn id="19" name="18" totalsRowFunction="count" dataDxfId="284" totalsRowDxfId="283"/>
    <tableColumn id="20" name="19" totalsRowFunction="count" dataDxfId="282" totalsRowDxfId="281"/>
    <tableColumn id="21" name="20" totalsRowFunction="count" dataDxfId="280" totalsRowDxfId="279"/>
    <tableColumn id="22" name="21" totalsRowFunction="count" dataDxfId="278" totalsRowDxfId="277"/>
    <tableColumn id="23" name="22" totalsRowFunction="count" dataDxfId="276" totalsRowDxfId="275"/>
    <tableColumn id="24" name="23" totalsRowFunction="count" dataDxfId="274" totalsRowDxfId="273"/>
    <tableColumn id="25" name="24" totalsRowFunction="count" dataDxfId="272" totalsRowDxfId="271"/>
    <tableColumn id="26" name="25" totalsRowFunction="count" dataDxfId="270" totalsRowDxfId="269"/>
    <tableColumn id="27" name="26" totalsRowFunction="count" dataDxfId="268" totalsRowDxfId="267"/>
    <tableColumn id="28" name="27" totalsRowFunction="count" dataDxfId="266" totalsRowDxfId="265"/>
    <tableColumn id="29" name="28" totalsRowFunction="count" dataDxfId="264" totalsRowDxfId="263"/>
    <tableColumn id="30" name="29" totalsRowFunction="count" dataDxfId="262" totalsRowDxfId="261"/>
    <tableColumn id="31" name="30" totalsRowFunction="count" dataDxfId="260" totalsRowDxfId="259"/>
    <tableColumn id="32" name=" " totalsRowFunction="count" dataDxfId="258" totalsRowDxfId="257"/>
    <tableColumn id="33" name="Total des jours" totalsRowFunction="sum" dataDxfId="256" totalsRowDxfId="255">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H12" totalsRowCount="1" headerRowDxfId="249" dataDxfId="248" totalsRowDxfId="247">
  <tableColumns count="33">
    <tableColumn id="1" name="Nom de l’employé" totalsRowFunction="custom" dataDxfId="246" totalsRowDxfId="245" dataCellStyle="Employé">
      <totalsRowFormula>NomMois&amp;" Total"</totalsRowFormula>
    </tableColumn>
    <tableColumn id="2" name="1" totalsRowFunction="count" dataDxfId="244" totalsRowDxfId="243"/>
    <tableColumn id="3" name="2" totalsRowFunction="count" dataDxfId="242" totalsRowDxfId="241"/>
    <tableColumn id="4" name="3" totalsRowFunction="count" dataDxfId="240" totalsRowDxfId="239"/>
    <tableColumn id="5" name="4" totalsRowFunction="count" dataDxfId="238" totalsRowDxfId="237"/>
    <tableColumn id="6" name="5" totalsRowFunction="count" dataDxfId="236" totalsRowDxfId="235"/>
    <tableColumn id="7" name="6" totalsRowFunction="count" dataDxfId="234" totalsRowDxfId="233"/>
    <tableColumn id="8" name="7" totalsRowFunction="count" dataDxfId="232" totalsRowDxfId="231"/>
    <tableColumn id="9" name="8" totalsRowFunction="count" dataDxfId="230" totalsRowDxfId="229"/>
    <tableColumn id="10" name="9" totalsRowFunction="count" dataDxfId="228" totalsRowDxfId="227"/>
    <tableColumn id="11" name="10" totalsRowFunction="count" dataDxfId="226" totalsRowDxfId="225"/>
    <tableColumn id="12" name="11" totalsRowFunction="count" dataDxfId="224" totalsRowDxfId="223"/>
    <tableColumn id="13" name="12" totalsRowFunction="count" dataDxfId="222" totalsRowDxfId="221"/>
    <tableColumn id="14" name="13" totalsRowFunction="count" dataDxfId="220" totalsRowDxfId="219"/>
    <tableColumn id="15" name="14" totalsRowFunction="count" dataDxfId="218" totalsRowDxfId="217"/>
    <tableColumn id="16" name="15" totalsRowFunction="count" dataDxfId="216" totalsRowDxfId="215"/>
    <tableColumn id="17" name="16" totalsRowFunction="count" dataDxfId="214" totalsRowDxfId="213"/>
    <tableColumn id="18" name="17" totalsRowFunction="count" dataDxfId="212" totalsRowDxfId="211"/>
    <tableColumn id="19" name="18" totalsRowFunction="count" dataDxfId="210" totalsRowDxfId="209"/>
    <tableColumn id="20" name="19" totalsRowFunction="count" dataDxfId="208" totalsRowDxfId="207"/>
    <tableColumn id="21" name="20" totalsRowFunction="count" dataDxfId="206" totalsRowDxfId="205"/>
    <tableColumn id="22" name="21" totalsRowFunction="count" dataDxfId="204" totalsRowDxfId="203"/>
    <tableColumn id="23" name="22" totalsRowFunction="count" dataDxfId="202" totalsRowDxfId="201"/>
    <tableColumn id="24" name="23" totalsRowFunction="count" dataDxfId="200" totalsRowDxfId="199"/>
    <tableColumn id="25" name="24" totalsRowFunction="count" dataDxfId="198" totalsRowDxfId="197"/>
    <tableColumn id="26" name="25" totalsRowFunction="count" dataDxfId="196" totalsRowDxfId="195"/>
    <tableColumn id="27" name="26" totalsRowFunction="count" dataDxfId="194" totalsRowDxfId="193"/>
    <tableColumn id="28" name="27" totalsRowFunction="count" dataDxfId="192" totalsRowDxfId="191"/>
    <tableColumn id="29" name="28" totalsRowFunction="count" dataDxfId="190" totalsRowDxfId="189"/>
    <tableColumn id="30" name="29" totalsRowFunction="count" dataDxfId="188" totalsRowDxfId="187"/>
    <tableColumn id="31" name="30" totalsRowFunction="count" dataDxfId="186" totalsRowDxfId="185"/>
    <tableColumn id="32" name="31" totalsRowFunction="count" dataDxfId="184" totalsRowDxfId="183"/>
    <tableColumn id="33" name="Total des jours" totalsRowFunction="sum" dataDxfId="182" totalsRowDxfId="181">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H12" totalsRowCount="1" headerRowDxfId="175" dataDxfId="174" totalsRowDxfId="173">
  <tableColumns count="33">
    <tableColumn id="1" name="Nom de l’employé" totalsRowFunction="custom" dataDxfId="172" totalsRowDxfId="171" dataCellStyle="Employé">
      <totalsRowFormula>NomMois&amp;" Total"</totalsRowFormula>
    </tableColumn>
    <tableColumn id="2" name="1" totalsRowFunction="count" dataDxfId="170" totalsRowDxfId="169"/>
    <tableColumn id="3" name="2" totalsRowFunction="count" dataDxfId="168" totalsRowDxfId="167"/>
    <tableColumn id="4" name="3" totalsRowFunction="count" dataDxfId="166" totalsRowDxfId="165"/>
    <tableColumn id="5" name="4" totalsRowFunction="count" dataDxfId="164" totalsRowDxfId="163"/>
    <tableColumn id="6" name="5" totalsRowFunction="count" dataDxfId="162" totalsRowDxfId="161"/>
    <tableColumn id="7" name="6" totalsRowFunction="count" dataDxfId="160" totalsRowDxfId="159"/>
    <tableColumn id="8" name="7" totalsRowFunction="count" dataDxfId="158" totalsRowDxfId="157"/>
    <tableColumn id="9" name="8" totalsRowFunction="count" dataDxfId="156" totalsRowDxfId="155"/>
    <tableColumn id="10" name="9" totalsRowFunction="count" dataDxfId="154" totalsRowDxfId="153"/>
    <tableColumn id="11" name="10" totalsRowFunction="count" dataDxfId="152" totalsRowDxfId="151"/>
    <tableColumn id="12" name="11" totalsRowFunction="count" dataDxfId="150" totalsRowDxfId="149"/>
    <tableColumn id="13" name="12" totalsRowFunction="count" dataDxfId="148" totalsRowDxfId="147"/>
    <tableColumn id="14" name="13" totalsRowFunction="count" dataDxfId="146" totalsRowDxfId="145"/>
    <tableColumn id="15" name="14" totalsRowFunction="count" dataDxfId="144" totalsRowDxfId="143"/>
    <tableColumn id="16" name="15" totalsRowFunction="count" dataDxfId="142" totalsRowDxfId="141"/>
    <tableColumn id="17" name="16" totalsRowFunction="count" dataDxfId="140" totalsRowDxfId="139"/>
    <tableColumn id="18" name="17" totalsRowFunction="count" dataDxfId="138" totalsRowDxfId="137"/>
    <tableColumn id="19" name="18" totalsRowFunction="count" dataDxfId="136" totalsRowDxfId="135"/>
    <tableColumn id="20" name="19" totalsRowFunction="count" dataDxfId="134" totalsRowDxfId="133"/>
    <tableColumn id="21" name="20" totalsRowFunction="count" dataDxfId="132" totalsRowDxfId="131"/>
    <tableColumn id="22" name="21" totalsRowFunction="count" dataDxfId="130" totalsRowDxfId="129"/>
    <tableColumn id="23" name="22" totalsRowFunction="count" dataDxfId="128" totalsRowDxfId="127"/>
    <tableColumn id="24" name="23" totalsRowFunction="count" dataDxfId="126" totalsRowDxfId="125"/>
    <tableColumn id="25" name="24" totalsRowFunction="count" dataDxfId="124" totalsRowDxfId="123"/>
    <tableColumn id="26" name="25" totalsRowFunction="count" dataDxfId="122" totalsRowDxfId="121"/>
    <tableColumn id="27" name="26" totalsRowFunction="count" dataDxfId="120" totalsRowDxfId="119"/>
    <tableColumn id="28" name="27" totalsRowFunction="count" dataDxfId="118" totalsRowDxfId="117"/>
    <tableColumn id="29" name="28" totalsRowFunction="count" dataDxfId="116" totalsRowDxfId="115"/>
    <tableColumn id="30" name="29" totalsRowFunction="count" dataDxfId="114" totalsRowDxfId="113"/>
    <tableColumn id="31" name="30" totalsRowFunction="count" dataDxfId="112" totalsRowDxfId="111"/>
    <tableColumn id="32" name=" " totalsRowFunction="count" dataDxfId="110" totalsRowDxfId="109"/>
    <tableColumn id="33" name="Total des jours" totalsRowFunction="sum" dataDxfId="108" totalsRowDxfId="107">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H12" totalsRowCount="1" headerRowDxfId="101" dataDxfId="100" totalsRowDxfId="99">
  <tableColumns count="33">
    <tableColumn id="1" name="Nom de l’employé" totalsRowFunction="custom" dataDxfId="98" totalsRowDxfId="97" dataCellStyle="Employé">
      <totalsRowFormula>NomMois&amp;" Total"</totalsRowFormula>
    </tableColumn>
    <tableColumn id="2" name="1" totalsRowFunction="count" dataDxfId="96" totalsRowDxfId="95"/>
    <tableColumn id="3" name="2" totalsRowFunction="count" dataDxfId="94" totalsRowDxfId="93"/>
    <tableColumn id="4" name="3" totalsRowFunction="count" dataDxfId="92" totalsRowDxfId="91"/>
    <tableColumn id="5" name="4" totalsRowFunction="count" dataDxfId="90" totalsRowDxfId="89"/>
    <tableColumn id="6" name="5" totalsRowFunction="count" dataDxfId="88" totalsRowDxfId="87"/>
    <tableColumn id="7" name="6" totalsRowFunction="count" dataDxfId="86" totalsRowDxfId="85"/>
    <tableColumn id="8" name="7" totalsRowFunction="count" dataDxfId="84" totalsRowDxfId="83"/>
    <tableColumn id="9" name="8" totalsRowFunction="count" dataDxfId="82" totalsRowDxfId="81"/>
    <tableColumn id="10" name="9" totalsRowFunction="count" dataDxfId="80" totalsRowDxfId="79"/>
    <tableColumn id="11" name="10" totalsRowFunction="count" dataDxfId="78" totalsRowDxfId="77"/>
    <tableColumn id="12" name="11" totalsRowFunction="count" dataDxfId="76" totalsRowDxfId="75"/>
    <tableColumn id="13" name="12" totalsRowFunction="count" dataDxfId="74" totalsRowDxfId="73"/>
    <tableColumn id="14" name="13" totalsRowFunction="count" dataDxfId="72" totalsRowDxfId="71"/>
    <tableColumn id="15" name="14" totalsRowFunction="count" dataDxfId="70" totalsRowDxfId="69"/>
    <tableColumn id="16" name="15" totalsRowFunction="count" dataDxfId="68" totalsRowDxfId="67"/>
    <tableColumn id="17" name="16" totalsRowFunction="count" dataDxfId="66" totalsRowDxfId="65"/>
    <tableColumn id="18" name="17" totalsRowFunction="count" dataDxfId="64" totalsRowDxfId="63"/>
    <tableColumn id="19" name="18" totalsRowFunction="count" dataDxfId="62" totalsRowDxfId="61"/>
    <tableColumn id="20" name="19" totalsRowFunction="count" dataDxfId="60" totalsRowDxfId="59"/>
    <tableColumn id="21" name="20" totalsRowFunction="count" dataDxfId="58" totalsRowDxfId="57"/>
    <tableColumn id="22" name="21" totalsRowFunction="count" dataDxfId="56" totalsRowDxfId="55"/>
    <tableColumn id="23" name="22" totalsRowFunction="count" dataDxfId="54" totalsRowDxfId="53"/>
    <tableColumn id="24" name="23" totalsRowFunction="count" dataDxfId="52" totalsRowDxfId="51"/>
    <tableColumn id="25" name="24" totalsRowFunction="count" dataDxfId="50" totalsRowDxfId="49"/>
    <tableColumn id="26" name="25" totalsRowFunction="count" dataDxfId="48" totalsRowDxfId="47"/>
    <tableColumn id="27" name="26" totalsRowFunction="count" dataDxfId="46" totalsRowDxfId="45"/>
    <tableColumn id="28" name="27" totalsRowFunction="count" dataDxfId="44" totalsRowDxfId="43"/>
    <tableColumn id="29" name="28" totalsRowFunction="count" dataDxfId="42" totalsRowDxfId="41"/>
    <tableColumn id="30" name="29" totalsRowFunction="count" dataDxfId="40" totalsRowDxfId="39"/>
    <tableColumn id="31" name="30" totalsRowFunction="count" dataDxfId="38" totalsRowDxfId="37"/>
    <tableColumn id="32" name="31" totalsRowFunction="count" dataDxfId="36" totalsRowDxfId="35"/>
    <tableColumn id="33" name="Total des jours" totalsRowFunction="sum" dataDxfId="34" totalsRowDxfId="33">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sheetPr>
  <dimension ref="A1:AK73"/>
  <sheetViews>
    <sheetView showGridLines="0" topLeftCell="A7" zoomScaleNormal="100" workbookViewId="0">
      <selection activeCell="P12" sqref="P12"/>
    </sheetView>
  </sheetViews>
  <sheetFormatPr baseColWidth="10" defaultColWidth="9.140625" defaultRowHeight="30" customHeight="1" x14ac:dyDescent="0.25"/>
  <cols>
    <col min="1" max="1" width="2.7109375" style="10" customWidth="1"/>
    <col min="2" max="2" width="16.42578125" style="10" customWidth="1"/>
    <col min="3" max="3" width="17.42578125" style="10" customWidth="1"/>
    <col min="4" max="4" width="17.28515625" style="10" customWidth="1"/>
    <col min="5" max="5" width="17" style="10" customWidth="1"/>
    <col min="6" max="17" width="4.7109375" style="10" customWidth="1"/>
    <col min="18" max="18" width="6.42578125" style="10" customWidth="1"/>
    <col min="19" max="36" width="4.7109375" style="10" customWidth="1"/>
    <col min="37" max="37" width="13.5703125" style="10" customWidth="1"/>
    <col min="38" max="38" width="2.7109375" customWidth="1"/>
  </cols>
  <sheetData>
    <row r="1" spans="1:37" ht="50.1" customHeight="1" x14ac:dyDescent="0.25">
      <c r="A1" s="17"/>
      <c r="B1" s="13"/>
      <c r="C1" s="13"/>
      <c r="D1" s="13"/>
      <c r="E1" s="13" t="s">
        <v>0</v>
      </c>
    </row>
    <row r="2" spans="1:37" ht="15" customHeight="1" x14ac:dyDescent="0.25">
      <c r="B2" s="18"/>
      <c r="C2" s="18"/>
      <c r="D2" s="18"/>
      <c r="E2" s="18" t="s">
        <v>1</v>
      </c>
      <c r="F2" s="3" t="s">
        <v>9</v>
      </c>
      <c r="G2" s="31" t="s">
        <v>12</v>
      </c>
      <c r="H2" s="31"/>
      <c r="I2" s="4" t="s">
        <v>89</v>
      </c>
      <c r="J2" s="27" t="s">
        <v>94</v>
      </c>
      <c r="K2" s="5" t="s">
        <v>17</v>
      </c>
      <c r="L2" s="32" t="s">
        <v>24</v>
      </c>
      <c r="M2" s="32"/>
      <c r="N2" s="28" t="s">
        <v>88</v>
      </c>
      <c r="O2" s="27" t="s">
        <v>93</v>
      </c>
      <c r="P2" s="6" t="s">
        <v>69</v>
      </c>
      <c r="Q2" s="32" t="s">
        <v>70</v>
      </c>
      <c r="R2" s="32"/>
      <c r="S2" s="29" t="s">
        <v>86</v>
      </c>
      <c r="T2" s="27" t="s">
        <v>93</v>
      </c>
      <c r="U2" s="7" t="s">
        <v>72</v>
      </c>
      <c r="V2" s="23" t="s">
        <v>71</v>
      </c>
      <c r="W2" s="23"/>
    </row>
    <row r="3" spans="1:37" ht="15" customHeight="1" x14ac:dyDescent="0.25">
      <c r="AK3" s="19" t="s">
        <v>49</v>
      </c>
    </row>
    <row r="4" spans="1:37" ht="30" customHeight="1" x14ac:dyDescent="0.25">
      <c r="B4" s="22"/>
      <c r="C4" s="22"/>
      <c r="D4" s="22"/>
      <c r="E4" s="11" t="s">
        <v>2</v>
      </c>
      <c r="F4" s="30" t="s">
        <v>10</v>
      </c>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30"/>
      <c r="AI4" s="30"/>
      <c r="AJ4" s="30"/>
      <c r="AK4" s="11">
        <v>2020</v>
      </c>
    </row>
    <row r="5" spans="1:37" ht="15" customHeight="1" x14ac:dyDescent="0.35">
      <c r="B5" s="22"/>
      <c r="C5" s="22"/>
      <c r="D5" s="22"/>
      <c r="E5" s="11"/>
      <c r="F5" s="1" t="str">
        <f>TEXT(WEEKDAY(DATE(AnnéeCalendrier,1,1),1),"jjj")</f>
        <v>mer</v>
      </c>
      <c r="G5" s="1" t="str">
        <f>TEXT(WEEKDAY(DATE(AnnéeCalendrier,1,2),1),"jjj")</f>
        <v>jeu</v>
      </c>
      <c r="H5" s="1" t="str">
        <f>TEXT(WEEKDAY(DATE(AnnéeCalendrier,1,3),1),"jjj")</f>
        <v>ven</v>
      </c>
      <c r="I5" s="1" t="str">
        <f>TEXT(WEEKDAY(DATE(AnnéeCalendrier,1,4),1),"jjj")</f>
        <v>sam</v>
      </c>
      <c r="J5" s="1" t="str">
        <f>TEXT(WEEKDAY(DATE(AnnéeCalendrier,1,5),1),"jjj")</f>
        <v>dim</v>
      </c>
      <c r="K5" s="1" t="str">
        <f>TEXT(WEEKDAY(DATE(AnnéeCalendrier,1,6),1),"jjj")</f>
        <v>lun</v>
      </c>
      <c r="L5" s="1" t="str">
        <f>TEXT(WEEKDAY(DATE(AnnéeCalendrier,1,7),1),"jjj")</f>
        <v>mar</v>
      </c>
      <c r="M5" s="1" t="str">
        <f>TEXT(WEEKDAY(DATE(AnnéeCalendrier,1,8),1),"jjj")</f>
        <v>mer</v>
      </c>
      <c r="N5" s="1" t="str">
        <f>TEXT(WEEKDAY(DATE(AnnéeCalendrier,1,9),1),"jjj")</f>
        <v>jeu</v>
      </c>
      <c r="O5" s="1" t="str">
        <f>TEXT(WEEKDAY(DATE(AnnéeCalendrier,1,10),1),"jjj")</f>
        <v>ven</v>
      </c>
      <c r="P5" s="1" t="str">
        <f>TEXT(WEEKDAY(DATE(AnnéeCalendrier,1,11),1),"jjj")</f>
        <v>sam</v>
      </c>
      <c r="Q5" s="1" t="str">
        <f>TEXT(WEEKDAY(DATE(AnnéeCalendrier,1,12),1),"jjj")</f>
        <v>dim</v>
      </c>
      <c r="R5" s="1" t="str">
        <f>TEXT(WEEKDAY(DATE(AnnéeCalendrier,1,13),1),"jjj")</f>
        <v>lun</v>
      </c>
      <c r="S5" s="1" t="str">
        <f>TEXT(WEEKDAY(DATE(AnnéeCalendrier,1,14),1),"jjj")</f>
        <v>mar</v>
      </c>
      <c r="T5" s="1" t="str">
        <f>TEXT(WEEKDAY(DATE(AnnéeCalendrier,1,15),1),"jjj")</f>
        <v>mer</v>
      </c>
      <c r="U5" s="1" t="str">
        <f>TEXT(WEEKDAY(DATE(AnnéeCalendrier,1,16),1),"jjj")</f>
        <v>jeu</v>
      </c>
      <c r="V5" s="1" t="str">
        <f>TEXT(WEEKDAY(DATE(AnnéeCalendrier,1,17),1),"jjj")</f>
        <v>ven</v>
      </c>
      <c r="W5" s="1" t="str">
        <f>TEXT(WEEKDAY(DATE(AnnéeCalendrier,1,18),1),"jjj")</f>
        <v>sam</v>
      </c>
      <c r="X5" s="1" t="str">
        <f>TEXT(WEEKDAY(DATE(AnnéeCalendrier,1,19),1),"jjj")</f>
        <v>dim</v>
      </c>
      <c r="Y5" s="1" t="str">
        <f>TEXT(WEEKDAY(DATE(AnnéeCalendrier,1,20),1),"jjj")</f>
        <v>lun</v>
      </c>
      <c r="Z5" s="1" t="str">
        <f>TEXT(WEEKDAY(DATE(AnnéeCalendrier,1,21),1),"jjj")</f>
        <v>mar</v>
      </c>
      <c r="AA5" s="1" t="str">
        <f>TEXT(WEEKDAY(DATE(AnnéeCalendrier,1,22),1),"jjj")</f>
        <v>mer</v>
      </c>
      <c r="AB5" s="1" t="str">
        <f>TEXT(WEEKDAY(DATE(AnnéeCalendrier,1,23),1),"jjj")</f>
        <v>jeu</v>
      </c>
      <c r="AC5" s="1" t="str">
        <f>TEXT(WEEKDAY(DATE(AnnéeCalendrier,1,24),1),"jjj")</f>
        <v>ven</v>
      </c>
      <c r="AD5" s="1" t="str">
        <f>TEXT(WEEKDAY(DATE(AnnéeCalendrier,1,25),1),"jjj")</f>
        <v>sam</v>
      </c>
      <c r="AE5" s="1" t="str">
        <f>TEXT(WEEKDAY(DATE(AnnéeCalendrier,1,26),1),"jjj")</f>
        <v>dim</v>
      </c>
      <c r="AF5" s="1" t="str">
        <f>TEXT(WEEKDAY(DATE(AnnéeCalendrier,1,27),1),"jjj")</f>
        <v>lun</v>
      </c>
      <c r="AG5" s="1" t="str">
        <f>TEXT(WEEKDAY(DATE(AnnéeCalendrier,1,28),1),"jjj")</f>
        <v>mar</v>
      </c>
      <c r="AH5" s="1" t="str">
        <f>TEXT(WEEKDAY(DATE(AnnéeCalendrier,1,29),1),"jjj")</f>
        <v>mer</v>
      </c>
      <c r="AI5" s="1" t="str">
        <f>TEXT(WEEKDAY(DATE(AnnéeCalendrier,1,30),1),"jjj")</f>
        <v>jeu</v>
      </c>
      <c r="AJ5" s="1" t="str">
        <f>TEXT(WEEKDAY(DATE(AnnéeCalendrier,1,31),1),"jjj")</f>
        <v>ven</v>
      </c>
      <c r="AK5" s="11"/>
    </row>
    <row r="6" spans="1:37" ht="15" customHeight="1" x14ac:dyDescent="0.35">
      <c r="B6" s="14" t="s">
        <v>65</v>
      </c>
      <c r="C6" s="14" t="s">
        <v>95</v>
      </c>
      <c r="D6" s="14" t="s">
        <v>66</v>
      </c>
      <c r="E6" s="14" t="s">
        <v>67</v>
      </c>
      <c r="F6" s="2" t="s">
        <v>11</v>
      </c>
      <c r="G6" s="2" t="s">
        <v>13</v>
      </c>
      <c r="H6" s="2" t="s">
        <v>14</v>
      </c>
      <c r="I6" s="2" t="s">
        <v>16</v>
      </c>
      <c r="J6" s="2" t="s">
        <v>18</v>
      </c>
      <c r="K6" s="2" t="s">
        <v>20</v>
      </c>
      <c r="L6" s="2" t="s">
        <v>21</v>
      </c>
      <c r="M6" s="2" t="s">
        <v>22</v>
      </c>
      <c r="N6" s="2" t="s">
        <v>23</v>
      </c>
      <c r="O6" s="2" t="s">
        <v>25</v>
      </c>
      <c r="P6" s="2" t="s">
        <v>26</v>
      </c>
      <c r="Q6" s="2" t="s">
        <v>27</v>
      </c>
      <c r="R6" s="2" t="s">
        <v>29</v>
      </c>
      <c r="S6" s="2" t="s">
        <v>30</v>
      </c>
      <c r="T6" s="2" t="s">
        <v>31</v>
      </c>
      <c r="U6" s="2" t="s">
        <v>32</v>
      </c>
      <c r="V6" s="2" t="s">
        <v>34</v>
      </c>
      <c r="W6" s="2" t="s">
        <v>35</v>
      </c>
      <c r="X6" s="2" t="s">
        <v>36</v>
      </c>
      <c r="Y6" s="2" t="s">
        <v>37</v>
      </c>
      <c r="Z6" s="2" t="s">
        <v>38</v>
      </c>
      <c r="AA6" s="2" t="s">
        <v>39</v>
      </c>
      <c r="AB6" s="2" t="s">
        <v>40</v>
      </c>
      <c r="AC6" s="2" t="s">
        <v>41</v>
      </c>
      <c r="AD6" s="2" t="s">
        <v>42</v>
      </c>
      <c r="AE6" s="2" t="s">
        <v>43</v>
      </c>
      <c r="AF6" s="2" t="s">
        <v>44</v>
      </c>
      <c r="AG6" s="2" t="s">
        <v>45</v>
      </c>
      <c r="AH6" s="2" t="s">
        <v>46</v>
      </c>
      <c r="AI6" s="2" t="s">
        <v>47</v>
      </c>
      <c r="AJ6" s="2" t="s">
        <v>48</v>
      </c>
      <c r="AK6" s="15" t="s">
        <v>50</v>
      </c>
    </row>
    <row r="7" spans="1:37" ht="30" customHeight="1" x14ac:dyDescent="0.35">
      <c r="B7" s="8" t="s">
        <v>92</v>
      </c>
      <c r="C7" s="8" t="s">
        <v>98</v>
      </c>
      <c r="D7" s="8" t="s">
        <v>90</v>
      </c>
      <c r="E7" s="8" t="s">
        <v>103</v>
      </c>
      <c r="F7" s="2" t="s">
        <v>88</v>
      </c>
      <c r="G7" s="2"/>
      <c r="H7" s="2" t="s">
        <v>91</v>
      </c>
      <c r="I7" s="2"/>
      <c r="J7" s="2" t="s">
        <v>17</v>
      </c>
      <c r="K7" s="2" t="s">
        <v>17</v>
      </c>
      <c r="L7" s="2"/>
      <c r="M7" s="2"/>
      <c r="N7" s="2"/>
      <c r="O7" s="2"/>
      <c r="P7" s="2"/>
      <c r="Q7" s="2"/>
      <c r="R7" s="2"/>
      <c r="S7" s="2"/>
      <c r="T7" s="2"/>
      <c r="U7" s="2"/>
      <c r="V7" s="2"/>
      <c r="W7" s="2"/>
      <c r="X7" s="2"/>
      <c r="Y7" s="2" t="s">
        <v>17</v>
      </c>
      <c r="Z7" s="2"/>
      <c r="AA7" s="2"/>
      <c r="AB7" s="2"/>
      <c r="AC7" s="2"/>
      <c r="AD7" s="2" t="s">
        <v>9</v>
      </c>
      <c r="AE7" s="2" t="s">
        <v>9</v>
      </c>
      <c r="AF7" s="2" t="s">
        <v>9</v>
      </c>
      <c r="AG7" s="2"/>
      <c r="AH7" s="2"/>
      <c r="AI7" s="2"/>
      <c r="AJ7" s="2"/>
      <c r="AK7" s="9">
        <f>COUNTA(Janvier!$F7:$AJ7)</f>
        <v>8</v>
      </c>
    </row>
    <row r="8" spans="1:37" ht="30" customHeight="1" x14ac:dyDescent="0.35">
      <c r="B8" s="8" t="s">
        <v>92</v>
      </c>
      <c r="C8" s="8" t="s">
        <v>96</v>
      </c>
      <c r="D8" s="8" t="s">
        <v>99</v>
      </c>
      <c r="E8" s="8" t="s">
        <v>103</v>
      </c>
      <c r="F8" s="2"/>
      <c r="G8" s="2"/>
      <c r="H8" s="2"/>
      <c r="I8" s="2"/>
      <c r="J8" s="2" t="s">
        <v>17</v>
      </c>
      <c r="K8" s="2" t="s">
        <v>17</v>
      </c>
      <c r="L8" s="2"/>
      <c r="M8" s="2"/>
      <c r="N8" s="2"/>
      <c r="O8" s="2"/>
      <c r="P8" s="2"/>
      <c r="Q8" s="2"/>
      <c r="R8" s="2"/>
      <c r="S8" s="2"/>
      <c r="T8" s="2"/>
      <c r="U8" s="2"/>
      <c r="V8" s="2"/>
      <c r="W8" s="2"/>
      <c r="X8" s="2"/>
      <c r="Y8" s="2" t="s">
        <v>17</v>
      </c>
      <c r="Z8" s="2"/>
      <c r="AA8" s="2"/>
      <c r="AB8" s="2"/>
      <c r="AC8" s="2"/>
      <c r="AD8" s="2" t="s">
        <v>9</v>
      </c>
      <c r="AE8" s="2" t="s">
        <v>9</v>
      </c>
      <c r="AF8" s="2" t="s">
        <v>9</v>
      </c>
      <c r="AG8" s="2"/>
      <c r="AH8" s="2"/>
      <c r="AI8" s="2"/>
      <c r="AJ8" s="2"/>
      <c r="AK8" s="9">
        <f>COUNTA(Janvier!$F8:$AJ8)</f>
        <v>6</v>
      </c>
    </row>
    <row r="9" spans="1:37" ht="30" customHeight="1" x14ac:dyDescent="0.35">
      <c r="B9" s="8" t="s">
        <v>92</v>
      </c>
      <c r="C9" s="8" t="s">
        <v>96</v>
      </c>
      <c r="D9" s="8" t="s">
        <v>100</v>
      </c>
      <c r="E9" s="8" t="s">
        <v>103</v>
      </c>
      <c r="F9" s="2"/>
      <c r="G9" s="2"/>
      <c r="H9" s="2" t="s">
        <v>9</v>
      </c>
      <c r="I9" s="2"/>
      <c r="J9" s="2"/>
      <c r="K9" s="2"/>
      <c r="L9" s="2"/>
      <c r="M9" s="2"/>
      <c r="N9" s="2"/>
      <c r="O9" s="2"/>
      <c r="P9" s="2"/>
      <c r="Q9" s="2"/>
      <c r="R9" s="2"/>
      <c r="S9" s="2" t="s">
        <v>17</v>
      </c>
      <c r="T9" s="2"/>
      <c r="U9" s="2"/>
      <c r="V9" s="2"/>
      <c r="W9" s="2"/>
      <c r="X9" s="2"/>
      <c r="Y9" s="2"/>
      <c r="Z9" s="2"/>
      <c r="AA9" s="2"/>
      <c r="AB9" s="2"/>
      <c r="AC9" s="2"/>
      <c r="AD9" s="2"/>
      <c r="AE9" s="2"/>
      <c r="AF9" s="2"/>
      <c r="AG9" s="2"/>
      <c r="AH9" s="2" t="s">
        <v>17</v>
      </c>
      <c r="AI9" s="2"/>
      <c r="AJ9" s="2"/>
      <c r="AK9" s="9">
        <f>COUNTA(Janvier!$F9:$AJ9)</f>
        <v>3</v>
      </c>
    </row>
    <row r="10" spans="1:37" ht="30" customHeight="1" x14ac:dyDescent="0.35">
      <c r="B10" s="8" t="s">
        <v>92</v>
      </c>
      <c r="C10" s="8" t="s">
        <v>96</v>
      </c>
      <c r="D10" s="8" t="s">
        <v>101</v>
      </c>
      <c r="E10" s="8" t="s">
        <v>103</v>
      </c>
      <c r="F10" s="2"/>
      <c r="G10" s="2"/>
      <c r="H10" s="2"/>
      <c r="I10" s="2"/>
      <c r="J10" s="2"/>
      <c r="K10" s="2"/>
      <c r="L10" s="2" t="s">
        <v>17</v>
      </c>
      <c r="M10" s="2"/>
      <c r="N10" s="2"/>
      <c r="O10" s="2"/>
      <c r="P10" s="2"/>
      <c r="Q10" s="2"/>
      <c r="R10" s="2"/>
      <c r="S10" s="2"/>
      <c r="T10" s="2"/>
      <c r="U10" s="2"/>
      <c r="V10" s="2"/>
      <c r="W10" s="2"/>
      <c r="X10" s="2" t="s">
        <v>9</v>
      </c>
      <c r="Y10" s="2" t="s">
        <v>9</v>
      </c>
      <c r="Z10" s="2" t="s">
        <v>9</v>
      </c>
      <c r="AA10" s="2"/>
      <c r="AB10" s="2"/>
      <c r="AC10" s="2"/>
      <c r="AD10" s="2"/>
      <c r="AE10" s="2"/>
      <c r="AF10" s="2"/>
      <c r="AG10" s="2"/>
      <c r="AH10" s="2"/>
      <c r="AI10" s="2"/>
      <c r="AJ10" s="2"/>
      <c r="AK10" s="9">
        <f>COUNTA(Janvier!$F10:$AJ10)</f>
        <v>4</v>
      </c>
    </row>
    <row r="11" spans="1:37" ht="30" customHeight="1" x14ac:dyDescent="0.35">
      <c r="B11" s="8" t="s">
        <v>92</v>
      </c>
      <c r="C11" s="8" t="s">
        <v>97</v>
      </c>
      <c r="D11" s="8" t="s">
        <v>102</v>
      </c>
      <c r="E11" s="8" t="s">
        <v>103</v>
      </c>
      <c r="F11" s="2"/>
      <c r="G11" s="2"/>
      <c r="H11" s="2"/>
      <c r="I11" s="2" t="s">
        <v>17</v>
      </c>
      <c r="J11" s="2" t="s">
        <v>9</v>
      </c>
      <c r="K11" s="2" t="s">
        <v>9</v>
      </c>
      <c r="L11" s="2"/>
      <c r="M11" s="2"/>
      <c r="N11" s="2"/>
      <c r="O11" s="2"/>
      <c r="P11" s="2"/>
      <c r="Q11" s="2"/>
      <c r="R11" s="2"/>
      <c r="S11" s="2"/>
      <c r="T11" s="2"/>
      <c r="U11" s="2"/>
      <c r="V11" s="2" t="s">
        <v>17</v>
      </c>
      <c r="W11" s="2"/>
      <c r="X11" s="2"/>
      <c r="Y11" s="2"/>
      <c r="Z11" s="2"/>
      <c r="AA11" s="2"/>
      <c r="AB11" s="2"/>
      <c r="AC11" s="2" t="s">
        <v>17</v>
      </c>
      <c r="AD11" s="2"/>
      <c r="AE11" s="2"/>
      <c r="AF11" s="2"/>
      <c r="AG11" s="2"/>
      <c r="AH11" s="2"/>
      <c r="AI11" s="2"/>
      <c r="AJ11" s="2" t="s">
        <v>9</v>
      </c>
      <c r="AK11" s="9">
        <f>COUNTA(Janvier!$F11:$AJ11)</f>
        <v>6</v>
      </c>
    </row>
    <row r="12" spans="1:37" ht="30" customHeight="1" x14ac:dyDescent="0.35">
      <c r="B12" s="24" t="s">
        <v>92</v>
      </c>
      <c r="C12" s="24" t="s">
        <v>97</v>
      </c>
      <c r="D12" s="24" t="s">
        <v>90</v>
      </c>
      <c r="E12" s="24" t="s">
        <v>103</v>
      </c>
      <c r="AK12" s="10">
        <f>COUNTA(Janvier!$F12:$AJ12)</f>
        <v>0</v>
      </c>
    </row>
    <row r="13" spans="1:37" ht="30" customHeight="1" x14ac:dyDescent="0.25">
      <c r="B13" s="24"/>
      <c r="C13" s="24"/>
      <c r="D13" s="24"/>
      <c r="E13" s="20" t="str">
        <f>NomMois&amp;" Total"</f>
        <v>Janvier Total</v>
      </c>
      <c r="F13" s="12">
        <f>SUBTOTAL(103,Janvier!$F$7:$F$12)</f>
        <v>1</v>
      </c>
      <c r="G13" s="12">
        <f>SUBTOTAL(103,Janvier!$G$7:$G$12)</f>
        <v>0</v>
      </c>
      <c r="H13" s="12">
        <f>SUBTOTAL(103,Janvier!$H$7:$H$12)</f>
        <v>2</v>
      </c>
      <c r="I13" s="12">
        <f>SUBTOTAL(103,Janvier!$I$7:$I$12)</f>
        <v>1</v>
      </c>
      <c r="J13" s="12">
        <f>SUBTOTAL(103,Janvier!$J$7:$J$12)</f>
        <v>3</v>
      </c>
      <c r="K13" s="12">
        <f>SUBTOTAL(103,Janvier!$K$7:$K$12)</f>
        <v>3</v>
      </c>
      <c r="L13" s="12">
        <f>SUBTOTAL(103,Janvier!$L$7:$L$12)</f>
        <v>1</v>
      </c>
      <c r="M13" s="12">
        <f>SUBTOTAL(103,Janvier!$M$7:$M$12)</f>
        <v>0</v>
      </c>
      <c r="N13" s="12">
        <f>SUBTOTAL(103,Janvier!$N$7:$N$12)</f>
        <v>0</v>
      </c>
      <c r="O13" s="12">
        <f>SUBTOTAL(103,Janvier!$O$7:$O$12)</f>
        <v>0</v>
      </c>
      <c r="P13" s="12">
        <f>SUBTOTAL(103,Janvier!$P$7:$P$12)</f>
        <v>0</v>
      </c>
      <c r="Q13" s="12">
        <f>SUBTOTAL(103,Janvier!$Q$7:$Q$12)</f>
        <v>0</v>
      </c>
      <c r="R13" s="12">
        <f>SUBTOTAL(103,Janvier!$R$7:$R$12)</f>
        <v>0</v>
      </c>
      <c r="S13" s="12">
        <f>SUBTOTAL(103,Janvier!$S$7:$S$12)</f>
        <v>1</v>
      </c>
      <c r="T13" s="12">
        <f>SUBTOTAL(103,Janvier!$T$7:$T$12)</f>
        <v>0</v>
      </c>
      <c r="U13" s="12">
        <f>SUBTOTAL(103,Janvier!$U$7:$U$12)</f>
        <v>0</v>
      </c>
      <c r="V13" s="12">
        <f>SUBTOTAL(103,Janvier!$V$7:$V$12)</f>
        <v>1</v>
      </c>
      <c r="W13" s="12">
        <f>SUBTOTAL(103,Janvier!$W$7:$W$12)</f>
        <v>0</v>
      </c>
      <c r="X13" s="12">
        <f>SUBTOTAL(103,Janvier!$X$7:$X$12)</f>
        <v>1</v>
      </c>
      <c r="Y13" s="12">
        <f>SUBTOTAL(103,Janvier!$Y$7:$Y$12)</f>
        <v>3</v>
      </c>
      <c r="Z13" s="12">
        <f>SUBTOTAL(103,Janvier!$Z$7:$Z$12)</f>
        <v>1</v>
      </c>
      <c r="AA13" s="12">
        <f>SUBTOTAL(103,Janvier!$AA$7:$AA$12)</f>
        <v>0</v>
      </c>
      <c r="AB13" s="12">
        <f>SUBTOTAL(103,Janvier!$AB$7:$AB$12)</f>
        <v>0</v>
      </c>
      <c r="AC13" s="12">
        <f>SUBTOTAL(103,Janvier!$AC$7:$AC$12)</f>
        <v>1</v>
      </c>
      <c r="AD13" s="12">
        <f>SUBTOTAL(103,Janvier!$AD$7:$AD$12)</f>
        <v>2</v>
      </c>
      <c r="AE13" s="33">
        <f>SUBTOTAL(103,Janvier[26])</f>
        <v>2</v>
      </c>
      <c r="AF13" s="12">
        <f>SUBTOTAL(103,Janvier!$AF$7:$AF$12)</f>
        <v>2</v>
      </c>
      <c r="AG13" s="12">
        <f>SUBTOTAL(103,Janvier!$AG$7:$AG$12)</f>
        <v>0</v>
      </c>
      <c r="AH13" s="12">
        <f>SUBTOTAL(103,Janvier!$AH$7:$AH$12)</f>
        <v>1</v>
      </c>
      <c r="AI13" s="12">
        <f>SUBTOTAL(103,Janvier!$AI$7:$AI$12)</f>
        <v>0</v>
      </c>
      <c r="AJ13" s="12">
        <f>SUBTOTAL(103,Janvier!$AJ$7:$AJ$12)</f>
        <v>1</v>
      </c>
      <c r="AK13" s="12">
        <f>SUBTOTAL(109,Janvier[Total des jours])</f>
        <v>27</v>
      </c>
    </row>
    <row r="14" spans="1:37" ht="30" customHeight="1" x14ac:dyDescent="0.25">
      <c r="B14" s="24"/>
      <c r="C14" s="24"/>
      <c r="D14" s="24"/>
      <c r="E14" s="24"/>
      <c r="AK14" s="10">
        <f>COUNTA(Janvier!$F14:$AJ14)</f>
        <v>0</v>
      </c>
    </row>
    <row r="15" spans="1:37" ht="30" customHeight="1" x14ac:dyDescent="0.25">
      <c r="B15" s="24"/>
      <c r="C15" s="24"/>
      <c r="D15" s="24"/>
      <c r="E15" s="24"/>
      <c r="AK15" s="10">
        <f>COUNTA(Janvier!$F15:$AJ15)</f>
        <v>0</v>
      </c>
    </row>
    <row r="16" spans="1:37" ht="30" customHeight="1" x14ac:dyDescent="0.25">
      <c r="B16" s="24"/>
      <c r="C16" s="24"/>
      <c r="D16" s="24"/>
      <c r="E16" s="24"/>
      <c r="AK16" s="10">
        <f>COUNTA(Janvier!$F16:$AJ16)</f>
        <v>0</v>
      </c>
    </row>
    <row r="17" spans="2:37" ht="30" customHeight="1" x14ac:dyDescent="0.25">
      <c r="B17" s="24"/>
      <c r="C17" s="24"/>
      <c r="D17" s="24"/>
      <c r="E17" s="24"/>
      <c r="AK17" s="10">
        <f>COUNTA(Janvier!$F17:$AJ17)</f>
        <v>0</v>
      </c>
    </row>
    <row r="18" spans="2:37" ht="30" customHeight="1" x14ac:dyDescent="0.25">
      <c r="B18" s="24"/>
      <c r="C18" s="24"/>
      <c r="D18" s="24"/>
      <c r="E18" s="24"/>
      <c r="AK18" s="10">
        <f>COUNTA(Janvier!$F18:$AJ18)</f>
        <v>0</v>
      </c>
    </row>
    <row r="19" spans="2:37" ht="30" customHeight="1" x14ac:dyDescent="0.25">
      <c r="B19" s="24"/>
      <c r="C19" s="24"/>
      <c r="D19" s="24"/>
      <c r="E19" s="24"/>
      <c r="AK19" s="10">
        <f>COUNTA(Janvier!$F19:$AJ19)</f>
        <v>0</v>
      </c>
    </row>
    <row r="20" spans="2:37" ht="30" customHeight="1" x14ac:dyDescent="0.25">
      <c r="B20" s="24"/>
      <c r="C20" s="24"/>
      <c r="D20" s="24"/>
      <c r="E20" s="24"/>
      <c r="AK20" s="10">
        <f>COUNTA(Janvier!$F20:$AJ20)</f>
        <v>0</v>
      </c>
    </row>
    <row r="21" spans="2:37" ht="30" customHeight="1" x14ac:dyDescent="0.25">
      <c r="B21" s="24"/>
      <c r="C21" s="24"/>
      <c r="D21" s="24"/>
      <c r="E21" s="24"/>
      <c r="AK21" s="10">
        <f>COUNTA(Janvier!$F21:$AJ21)</f>
        <v>0</v>
      </c>
    </row>
    <row r="22" spans="2:37" ht="30" customHeight="1" x14ac:dyDescent="0.25">
      <c r="B22" s="24"/>
      <c r="C22" s="24"/>
      <c r="D22" s="24"/>
      <c r="E22" s="24"/>
      <c r="AK22" s="10">
        <f>COUNTA(Janvier!$F22:$AJ22)</f>
        <v>0</v>
      </c>
    </row>
    <row r="23" spans="2:37" ht="30" customHeight="1" x14ac:dyDescent="0.25">
      <c r="B23" s="24"/>
      <c r="C23" s="24"/>
      <c r="D23" s="24"/>
      <c r="E23" s="24"/>
      <c r="AK23" s="10">
        <f>COUNTA(Janvier!$F23:$AJ23)</f>
        <v>0</v>
      </c>
    </row>
    <row r="24" spans="2:37" ht="30" customHeight="1" x14ac:dyDescent="0.25">
      <c r="B24" s="24"/>
      <c r="C24" s="24"/>
      <c r="D24" s="24"/>
      <c r="E24" s="24"/>
      <c r="AK24" s="10">
        <f>COUNTA(Janvier!$F24:$AJ24)</f>
        <v>0</v>
      </c>
    </row>
    <row r="25" spans="2:37" ht="30" customHeight="1" x14ac:dyDescent="0.25">
      <c r="B25" s="24"/>
      <c r="C25" s="24"/>
      <c r="D25" s="24"/>
      <c r="E25" s="24"/>
      <c r="AK25" s="10">
        <f>COUNTA(Janvier!$F25:$AJ25)</f>
        <v>0</v>
      </c>
    </row>
    <row r="26" spans="2:37" ht="30" customHeight="1" x14ac:dyDescent="0.25">
      <c r="B26" s="24"/>
      <c r="C26" s="24"/>
      <c r="D26" s="24"/>
      <c r="E26" s="24"/>
      <c r="AK26" s="10">
        <f>COUNTA(Janvier!$F26:$AJ26)</f>
        <v>0</v>
      </c>
    </row>
    <row r="27" spans="2:37" ht="30" customHeight="1" x14ac:dyDescent="0.25">
      <c r="B27" s="24"/>
      <c r="C27" s="24"/>
      <c r="D27" s="24"/>
      <c r="E27" s="24"/>
      <c r="AK27" s="10">
        <f>COUNTA(Janvier!$F27:$AJ27)</f>
        <v>0</v>
      </c>
    </row>
    <row r="28" spans="2:37" ht="30" customHeight="1" x14ac:dyDescent="0.25">
      <c r="B28" s="24"/>
      <c r="C28" s="24"/>
      <c r="D28" s="24"/>
      <c r="E28" s="24"/>
      <c r="AK28" s="10">
        <f>COUNTA(Janvier!$F28:$AJ28)</f>
        <v>0</v>
      </c>
    </row>
    <row r="29" spans="2:37" ht="30" customHeight="1" x14ac:dyDescent="0.25">
      <c r="B29" s="24"/>
      <c r="C29" s="24"/>
      <c r="D29" s="24"/>
      <c r="E29" s="24"/>
      <c r="AK29" s="10">
        <f>COUNTA(Janvier!$F29:$AJ29)</f>
        <v>0</v>
      </c>
    </row>
    <row r="30" spans="2:37" ht="30" customHeight="1" x14ac:dyDescent="0.25">
      <c r="B30" s="24"/>
      <c r="C30" s="24"/>
      <c r="D30" s="24"/>
      <c r="E30" s="24"/>
      <c r="AK30" s="10">
        <f>COUNTA(Janvier!$F30:$AJ30)</f>
        <v>0</v>
      </c>
    </row>
    <row r="31" spans="2:37" ht="30" customHeight="1" x14ac:dyDescent="0.25">
      <c r="B31" s="24"/>
      <c r="C31" s="24"/>
      <c r="D31" s="24"/>
      <c r="E31" s="24"/>
      <c r="AK31" s="10">
        <f>COUNTA(Janvier!$F31:$AJ31)</f>
        <v>0</v>
      </c>
    </row>
    <row r="32" spans="2:37" ht="30" customHeight="1" x14ac:dyDescent="0.25">
      <c r="B32" s="24"/>
      <c r="C32" s="24"/>
      <c r="D32" s="24"/>
      <c r="E32" s="24"/>
      <c r="AK32" s="10">
        <f>COUNTA(Janvier!$F32:$AJ32)</f>
        <v>0</v>
      </c>
    </row>
    <row r="33" spans="2:37" ht="30" customHeight="1" x14ac:dyDescent="0.25">
      <c r="B33" s="24"/>
      <c r="C33" s="24"/>
      <c r="D33" s="24"/>
      <c r="E33" s="24"/>
      <c r="AK33" s="10">
        <f>COUNTA(Janvier!$F33:$AJ33)</f>
        <v>0</v>
      </c>
    </row>
    <row r="34" spans="2:37" ht="30" customHeight="1" x14ac:dyDescent="0.25">
      <c r="B34" s="24"/>
      <c r="C34" s="24"/>
      <c r="D34" s="24"/>
      <c r="E34" s="24"/>
      <c r="AK34" s="10">
        <f>COUNTA(Janvier!$F34:$AJ34)</f>
        <v>0</v>
      </c>
    </row>
    <row r="35" spans="2:37" ht="30" customHeight="1" x14ac:dyDescent="0.25">
      <c r="B35" s="24"/>
      <c r="C35" s="24"/>
      <c r="D35" s="24"/>
      <c r="E35" s="24"/>
      <c r="AK35" s="10">
        <f>COUNTA(Janvier!$F35:$AJ35)</f>
        <v>0</v>
      </c>
    </row>
    <row r="36" spans="2:37" ht="30" customHeight="1" x14ac:dyDescent="0.25">
      <c r="B36" s="24"/>
      <c r="C36" s="24"/>
      <c r="D36" s="24"/>
      <c r="E36" s="24"/>
      <c r="AK36" s="10">
        <f>COUNTA(Janvier!$F36:$AJ36)</f>
        <v>0</v>
      </c>
    </row>
    <row r="37" spans="2:37" ht="30" customHeight="1" x14ac:dyDescent="0.25">
      <c r="B37" s="24"/>
      <c r="C37" s="24"/>
      <c r="D37" s="24"/>
      <c r="E37" s="24"/>
      <c r="AK37" s="10">
        <f>COUNTA(Janvier!$F37:$AJ37)</f>
        <v>0</v>
      </c>
    </row>
    <row r="38" spans="2:37" ht="30" customHeight="1" x14ac:dyDescent="0.25">
      <c r="B38" s="24"/>
      <c r="C38" s="24"/>
      <c r="D38" s="24"/>
      <c r="E38" s="24"/>
      <c r="AK38" s="10">
        <f>COUNTA(Janvier!$F38:$AJ38)</f>
        <v>0</v>
      </c>
    </row>
    <row r="39" spans="2:37" ht="30" customHeight="1" x14ac:dyDescent="0.25">
      <c r="B39" s="24"/>
      <c r="C39" s="24"/>
      <c r="D39" s="24"/>
      <c r="E39" s="24"/>
      <c r="AK39" s="10">
        <f>COUNTA(Janvier!$F39:$AJ39)</f>
        <v>0</v>
      </c>
    </row>
    <row r="40" spans="2:37" ht="30" customHeight="1" x14ac:dyDescent="0.25">
      <c r="B40" s="24"/>
      <c r="C40" s="24"/>
      <c r="D40" s="24"/>
      <c r="E40" s="24"/>
      <c r="AK40" s="10">
        <f>COUNTA(Janvier!$F40:$AJ40)</f>
        <v>0</v>
      </c>
    </row>
    <row r="41" spans="2:37" ht="30" customHeight="1" x14ac:dyDescent="0.25">
      <c r="B41" s="24"/>
      <c r="C41" s="24"/>
      <c r="D41" s="24"/>
      <c r="E41" s="24"/>
      <c r="AK41" s="10">
        <f>COUNTA(Janvier!$F41:$AJ41)</f>
        <v>0</v>
      </c>
    </row>
    <row r="42" spans="2:37" ht="30" customHeight="1" x14ac:dyDescent="0.25">
      <c r="B42" s="24"/>
      <c r="C42" s="24"/>
      <c r="D42" s="24"/>
      <c r="E42" s="24"/>
      <c r="AK42" s="10">
        <f>COUNTA(Janvier!$F42:$AJ42)</f>
        <v>0</v>
      </c>
    </row>
    <row r="43" spans="2:37" ht="30" customHeight="1" x14ac:dyDescent="0.25">
      <c r="B43" s="24"/>
      <c r="C43" s="24"/>
      <c r="D43" s="24"/>
      <c r="E43" s="24"/>
      <c r="AK43" s="10">
        <f>COUNTA(Janvier!$F43:$AJ43)</f>
        <v>0</v>
      </c>
    </row>
    <row r="44" spans="2:37" ht="30" customHeight="1" x14ac:dyDescent="0.25">
      <c r="B44" s="24"/>
      <c r="C44" s="24"/>
      <c r="D44" s="24"/>
      <c r="E44" s="24"/>
      <c r="AK44" s="10">
        <f>COUNTA(Janvier!$F44:$AJ44)</f>
        <v>0</v>
      </c>
    </row>
    <row r="45" spans="2:37" ht="30" customHeight="1" x14ac:dyDescent="0.25">
      <c r="B45" s="24"/>
      <c r="C45" s="24"/>
      <c r="D45" s="24"/>
      <c r="E45" s="24"/>
      <c r="AK45" s="10">
        <f>COUNTA(Janvier!$F45:$AJ45)</f>
        <v>0</v>
      </c>
    </row>
    <row r="46" spans="2:37" ht="30" customHeight="1" x14ac:dyDescent="0.25">
      <c r="B46" s="24"/>
      <c r="C46" s="24"/>
      <c r="D46" s="24"/>
      <c r="E46" s="24"/>
      <c r="AK46" s="10">
        <f>COUNTA(Janvier!$F46:$AJ46)</f>
        <v>0</v>
      </c>
    </row>
    <row r="47" spans="2:37" ht="30" customHeight="1" x14ac:dyDescent="0.25">
      <c r="B47" s="24"/>
      <c r="C47" s="24"/>
      <c r="D47" s="24"/>
      <c r="E47" s="24"/>
      <c r="AK47" s="10">
        <f>COUNTA(Janvier!$F47:$AJ47)</f>
        <v>0</v>
      </c>
    </row>
    <row r="48" spans="2:37" ht="30" customHeight="1" x14ac:dyDescent="0.25">
      <c r="B48" s="24"/>
      <c r="C48" s="24"/>
      <c r="D48" s="24"/>
      <c r="E48" s="24"/>
      <c r="AK48" s="10">
        <f>COUNTA(Janvier!$F48:$AJ48)</f>
        <v>0</v>
      </c>
    </row>
    <row r="49" spans="2:37" ht="30" customHeight="1" x14ac:dyDescent="0.25">
      <c r="B49" s="24"/>
      <c r="C49" s="24"/>
      <c r="D49" s="24"/>
      <c r="E49" s="24"/>
      <c r="AK49" s="10">
        <f>COUNTA(Janvier!$F49:$AJ49)</f>
        <v>0</v>
      </c>
    </row>
    <row r="50" spans="2:37" ht="30" customHeight="1" x14ac:dyDescent="0.25">
      <c r="B50" s="24"/>
      <c r="C50" s="24"/>
      <c r="D50" s="24"/>
      <c r="E50" s="24"/>
      <c r="AK50" s="10">
        <f>COUNTA(Janvier!$F50:$AJ50)</f>
        <v>0</v>
      </c>
    </row>
    <row r="51" spans="2:37" ht="30" customHeight="1" x14ac:dyDescent="0.25">
      <c r="B51" s="24"/>
      <c r="C51" s="24"/>
      <c r="D51" s="24"/>
      <c r="E51" s="24"/>
      <c r="AK51" s="10">
        <f>COUNTA(Janvier!$F51:$AJ51)</f>
        <v>0</v>
      </c>
    </row>
    <row r="52" spans="2:37" ht="30" customHeight="1" x14ac:dyDescent="0.25">
      <c r="B52" s="24"/>
      <c r="C52" s="24"/>
      <c r="D52" s="24"/>
      <c r="E52" s="24"/>
      <c r="AK52" s="10">
        <f>COUNTA(Janvier!$F52:$AJ52)</f>
        <v>0</v>
      </c>
    </row>
    <row r="53" spans="2:37" ht="30" customHeight="1" x14ac:dyDescent="0.25">
      <c r="B53" s="24"/>
      <c r="C53" s="24"/>
      <c r="D53" s="24"/>
      <c r="E53" s="24"/>
      <c r="AK53" s="10">
        <f>COUNTA(Janvier!$F53:$AJ53)</f>
        <v>0</v>
      </c>
    </row>
    <row r="54" spans="2:37" ht="30" customHeight="1" x14ac:dyDescent="0.25">
      <c r="B54" s="24"/>
      <c r="C54" s="24"/>
      <c r="D54" s="24"/>
      <c r="E54" s="24"/>
      <c r="AK54" s="10">
        <f>COUNTA(Janvier!$F54:$AJ54)</f>
        <v>0</v>
      </c>
    </row>
    <row r="55" spans="2:37" ht="30" customHeight="1" x14ac:dyDescent="0.25">
      <c r="B55" s="24"/>
      <c r="C55" s="24"/>
      <c r="D55" s="24"/>
      <c r="E55" s="24"/>
      <c r="AK55" s="10">
        <f>COUNTA(Janvier!$F55:$AJ55)</f>
        <v>0</v>
      </c>
    </row>
    <row r="56" spans="2:37" ht="30" customHeight="1" x14ac:dyDescent="0.25">
      <c r="B56" s="24"/>
      <c r="C56" s="24"/>
      <c r="D56" s="24"/>
      <c r="E56" s="24"/>
      <c r="AK56" s="10">
        <f>COUNTA(Janvier!$F56:$AJ56)</f>
        <v>0</v>
      </c>
    </row>
    <row r="57" spans="2:37" ht="30" customHeight="1" x14ac:dyDescent="0.25">
      <c r="B57" s="24"/>
      <c r="C57" s="24"/>
      <c r="D57" s="24"/>
      <c r="E57" s="24"/>
      <c r="AK57" s="10">
        <f>COUNTA(Janvier!$F57:$AJ57)</f>
        <v>0</v>
      </c>
    </row>
    <row r="58" spans="2:37" ht="30" customHeight="1" x14ac:dyDescent="0.25">
      <c r="B58" s="24"/>
      <c r="C58" s="24"/>
      <c r="D58" s="24"/>
      <c r="E58" s="24"/>
      <c r="AK58" s="10">
        <f>COUNTA(Janvier!$F58:$AJ58)</f>
        <v>0</v>
      </c>
    </row>
    <row r="59" spans="2:37" ht="30" customHeight="1" x14ac:dyDescent="0.25">
      <c r="B59" s="24"/>
      <c r="C59" s="24"/>
      <c r="D59" s="24"/>
      <c r="E59" s="24"/>
      <c r="AK59" s="10">
        <f>COUNTA(Janvier!$F59:$AJ59)</f>
        <v>0</v>
      </c>
    </row>
    <row r="60" spans="2:37" ht="30" customHeight="1" x14ac:dyDescent="0.25">
      <c r="B60" s="24"/>
      <c r="C60" s="24"/>
      <c r="D60" s="24"/>
      <c r="E60" s="24"/>
      <c r="AK60" s="10">
        <f>COUNTA(Janvier!$F60:$AJ60)</f>
        <v>0</v>
      </c>
    </row>
    <row r="61" spans="2:37" ht="30" customHeight="1" x14ac:dyDescent="0.25">
      <c r="B61" s="24"/>
      <c r="C61" s="24"/>
      <c r="D61" s="24"/>
      <c r="E61" s="24"/>
      <c r="AK61" s="10">
        <f>COUNTA(Janvier!$F61:$AJ61)</f>
        <v>0</v>
      </c>
    </row>
    <row r="62" spans="2:37" ht="30" customHeight="1" x14ac:dyDescent="0.25">
      <c r="B62" s="24"/>
      <c r="C62" s="24"/>
      <c r="D62" s="24"/>
      <c r="E62" s="24"/>
      <c r="AK62" s="10">
        <f>COUNTA(Janvier!$F62:$AJ62)</f>
        <v>0</v>
      </c>
    </row>
    <row r="63" spans="2:37" ht="30" customHeight="1" x14ac:dyDescent="0.25">
      <c r="B63" s="24"/>
      <c r="C63" s="24"/>
      <c r="D63" s="24"/>
      <c r="E63" s="24"/>
      <c r="AK63" s="10">
        <f>COUNTA(Janvier!$F63:$AJ63)</f>
        <v>0</v>
      </c>
    </row>
    <row r="64" spans="2:37" ht="30" customHeight="1" x14ac:dyDescent="0.25">
      <c r="B64" s="24"/>
      <c r="C64" s="24"/>
      <c r="D64" s="24"/>
      <c r="E64" s="24"/>
      <c r="AK64" s="10">
        <f>COUNTA(Janvier!$F64:$AJ64)</f>
        <v>0</v>
      </c>
    </row>
    <row r="65" spans="2:37" ht="30" customHeight="1" x14ac:dyDescent="0.25">
      <c r="B65" s="24"/>
      <c r="C65" s="24"/>
      <c r="D65" s="24"/>
      <c r="E65" s="24"/>
      <c r="AK65" s="10">
        <f>COUNTA(Janvier!$F65:$AJ65)</f>
        <v>0</v>
      </c>
    </row>
    <row r="66" spans="2:37" ht="30" customHeight="1" x14ac:dyDescent="0.25">
      <c r="B66" s="24"/>
      <c r="C66" s="24"/>
      <c r="D66" s="24"/>
      <c r="E66" s="24"/>
      <c r="AK66" s="10">
        <f>COUNTA(Janvier!$F66:$AJ66)</f>
        <v>0</v>
      </c>
    </row>
    <row r="67" spans="2:37" ht="30" customHeight="1" x14ac:dyDescent="0.25">
      <c r="B67" s="24"/>
      <c r="C67" s="24"/>
      <c r="D67" s="24"/>
      <c r="E67" s="24"/>
      <c r="AK67" s="10">
        <f>COUNTA(Janvier!$F67:$AJ67)</f>
        <v>0</v>
      </c>
    </row>
    <row r="68" spans="2:37" ht="30" customHeight="1" x14ac:dyDescent="0.25">
      <c r="B68" s="24"/>
      <c r="C68" s="24"/>
      <c r="D68" s="24"/>
      <c r="E68" s="24"/>
      <c r="AK68" s="10">
        <f>COUNTA(Janvier!$F68:$AJ68)</f>
        <v>0</v>
      </c>
    </row>
    <row r="69" spans="2:37" ht="30" customHeight="1" x14ac:dyDescent="0.25">
      <c r="B69" s="24"/>
      <c r="C69" s="24"/>
      <c r="D69" s="24"/>
      <c r="E69" s="24"/>
      <c r="AK69" s="10">
        <f>COUNTA(Janvier!$F69:$AJ69)</f>
        <v>0</v>
      </c>
    </row>
    <row r="70" spans="2:37" ht="30" customHeight="1" x14ac:dyDescent="0.25">
      <c r="B70" s="24"/>
      <c r="C70" s="24"/>
      <c r="D70" s="24"/>
      <c r="E70" s="24"/>
      <c r="AK70" s="10">
        <f>COUNTA(Janvier!$F70:$AJ70)</f>
        <v>0</v>
      </c>
    </row>
    <row r="71" spans="2:37" ht="30" customHeight="1" x14ac:dyDescent="0.25">
      <c r="B71" s="24"/>
      <c r="C71" s="24"/>
      <c r="D71" s="24"/>
      <c r="E71" s="24"/>
      <c r="AK71" s="10">
        <f>COUNTA(Janvier!$F71:$AJ71)</f>
        <v>0</v>
      </c>
    </row>
    <row r="72" spans="2:37" ht="30" customHeight="1" x14ac:dyDescent="0.25">
      <c r="B72" s="24"/>
      <c r="C72" s="24"/>
      <c r="D72" s="24"/>
      <c r="E72" s="24"/>
      <c r="AK72" s="10">
        <f>COUNTA(Janvier!$F72:$AJ72)</f>
        <v>0</v>
      </c>
    </row>
    <row r="73" spans="2:37" ht="30" customHeight="1" x14ac:dyDescent="0.25">
      <c r="B73" s="20"/>
      <c r="C73" s="20"/>
      <c r="D73" s="20"/>
      <c r="E73" s="24"/>
      <c r="AK73" s="10">
        <f>COUNTA(Janvier!$F73:$AJ73)</f>
        <v>0</v>
      </c>
    </row>
  </sheetData>
  <autoFilter ref="B6:D72"/>
  <mergeCells count="4">
    <mergeCell ref="F4:AJ4"/>
    <mergeCell ref="G2:H2"/>
    <mergeCell ref="Q2:R2"/>
    <mergeCell ref="L2:M2"/>
  </mergeCells>
  <conditionalFormatting sqref="F7:AJ12 F14:AJ73">
    <cfRule type="expression" dxfId="891" priority="1" stopIfTrue="1">
      <formula>F7=CléCD</formula>
    </cfRule>
    <cfRule type="expression" dxfId="890" priority="2" stopIfTrue="1">
      <formula>F7=CléMD</formula>
    </cfRule>
    <cfRule type="expression" dxfId="889" priority="7" stopIfTrue="1">
      <formula>F7=CléTD</formula>
    </cfRule>
    <cfRule type="expression" priority="8" stopIfTrue="1">
      <formula>F7=""</formula>
    </cfRule>
    <cfRule type="expression" dxfId="888" priority="13" stopIfTrue="1">
      <formula>F7=CléPersonnalisée2</formula>
    </cfRule>
    <cfRule type="expression" dxfId="887" priority="14" stopIfTrue="1">
      <formula>F7=CléPersonnalisée1</formula>
    </cfRule>
    <cfRule type="expression" dxfId="886" priority="15" stopIfTrue="1">
      <formula>F7=CléMaladie</formula>
    </cfRule>
    <cfRule type="expression" dxfId="885" priority="16" stopIfTrue="1">
      <formula>F7=CléPersonnel</formula>
    </cfRule>
    <cfRule type="expression" dxfId="884" priority="17" stopIfTrue="1">
      <formula>F7=CléCongé</formula>
    </cfRule>
  </conditionalFormatting>
  <conditionalFormatting sqref="AK7:AK12 AK14:AK73">
    <cfRule type="dataBar" priority="175">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E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F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F5"/>
    <dataValidation allowBlank="1" showInputMessage="1" showErrorMessage="1" prompt="Calcule automatiquement le nombre total de jours d’absence d’un employé durant ce mois" sqref="AK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E1"/>
    <dataValidation allowBlank="1" showInputMessage="1" showErrorMessage="1" prompt="Mois de ce calendrier des absences. Mettez à jour l’année dans la cellule AH4. Suivez les totaux mensuels dans la dernière cellule du tableau. Entrez les noms des employés dans la colonne B du tableau" sqref="B4:E4"/>
    <dataValidation allowBlank="1" showInputMessage="1" showErrorMessage="1" prompt="Cette ligne définit les clés utilisées dans le tableau : Congé en C2, Personnel en F2 et Congé maladie en J2. Les cellules M2 et R2 sont personnalisables" sqref="B2:E2"/>
    <dataValidation allowBlank="1" showInputMessage="1" showErrorMessage="1" prompt="La lettre « C » indique une absence pour cause de congé" sqref="F2"/>
    <dataValidation allowBlank="1" showInputMessage="1" showErrorMessage="1" prompt="La lettre « P » indique une absence pour motifs personnels" sqref="I2"/>
    <dataValidation allowBlank="1" showInputMessage="1" showErrorMessage="1" prompt="La lettre « M » indique une absence pour cause de maladie" sqref="K2 N2"/>
    <dataValidation allowBlank="1" showInputMessage="1" showErrorMessage="1" prompt="Entrez une lettre et personnalisez l’étiquette à droite pour ajouter un élément de clé" sqref="P2 U2 S2"/>
    <dataValidation allowBlank="1" showInputMessage="1" showErrorMessage="1" prompt="Entrez une étiquette pour décrire la clé personnalisée à gauche" sqref="Q2 V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K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AK7:AK12 AK14:AK73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H12"/>
  <sheetViews>
    <sheetView showGridLines="0" zoomScaleNormal="100" workbookViewId="0">
      <selection activeCell="A12" sqref="A12:XFD72"/>
    </sheetView>
  </sheetViews>
  <sheetFormatPr baseColWidth="10" defaultColWidth="9.140625" defaultRowHeight="30" customHeight="1" x14ac:dyDescent="0.25"/>
  <cols>
    <col min="1" max="1" width="2.7109375" style="10" customWidth="1"/>
    <col min="2" max="2" width="33.14062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row>
    <row r="4" spans="2:34" ht="30" customHeight="1" x14ac:dyDescent="0.25">
      <c r="B4" s="11" t="s">
        <v>51</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TEXT(WEEKDAY(DATE(AnnéeCalendrier,2,1),1),"jjj")</f>
        <v>sam</v>
      </c>
      <c r="D5" s="1" t="str">
        <f>TEXT(WEEKDAY(DATE(AnnéeCalendrier,2,2),1),"jjj")</f>
        <v>dim</v>
      </c>
      <c r="E5" s="1" t="str">
        <f>TEXT(WEEKDAY(DATE(AnnéeCalendrier,2,3),1),"jjj")</f>
        <v>lun</v>
      </c>
      <c r="F5" s="1" t="str">
        <f>TEXT(WEEKDAY(DATE(AnnéeCalendrier,2,4),1),"jjj")</f>
        <v>mar</v>
      </c>
      <c r="G5" s="1" t="str">
        <f>TEXT(WEEKDAY(DATE(AnnéeCalendrier,2,5),1),"jjj")</f>
        <v>mer</v>
      </c>
      <c r="H5" s="1" t="str">
        <f>TEXT(WEEKDAY(DATE(AnnéeCalendrier,2,6),1),"jjj")</f>
        <v>jeu</v>
      </c>
      <c r="I5" s="1" t="str">
        <f>TEXT(WEEKDAY(DATE(AnnéeCalendrier,2,7),1),"jjj")</f>
        <v>ven</v>
      </c>
      <c r="J5" s="1" t="str">
        <f>TEXT(WEEKDAY(DATE(AnnéeCalendrier,2,8),1),"jjj")</f>
        <v>sam</v>
      </c>
      <c r="K5" s="1" t="str">
        <f>TEXT(WEEKDAY(DATE(AnnéeCalendrier,2,9),1),"jjj")</f>
        <v>dim</v>
      </c>
      <c r="L5" s="1" t="str">
        <f>TEXT(WEEKDAY(DATE(AnnéeCalendrier,2,10),1),"jjj")</f>
        <v>lun</v>
      </c>
      <c r="M5" s="1" t="str">
        <f>TEXT(WEEKDAY(DATE(AnnéeCalendrier,2,11),1),"jjj")</f>
        <v>mar</v>
      </c>
      <c r="N5" s="1" t="str">
        <f>TEXT(WEEKDAY(DATE(AnnéeCalendrier,2,12),1),"jjj")</f>
        <v>mer</v>
      </c>
      <c r="O5" s="1" t="str">
        <f>TEXT(WEEKDAY(DATE(AnnéeCalendrier,2,13),1),"jjj")</f>
        <v>jeu</v>
      </c>
      <c r="P5" s="1" t="str">
        <f>TEXT(WEEKDAY(DATE(AnnéeCalendrier,2,14),1),"jjj")</f>
        <v>ven</v>
      </c>
      <c r="Q5" s="1" t="str">
        <f>TEXT(WEEKDAY(DATE(AnnéeCalendrier,2,15),1),"jjj")</f>
        <v>sam</v>
      </c>
      <c r="R5" s="1" t="str">
        <f>TEXT(WEEKDAY(DATE(AnnéeCalendrier,2,16),1),"jjj")</f>
        <v>dim</v>
      </c>
      <c r="S5" s="1" t="str">
        <f>TEXT(WEEKDAY(DATE(AnnéeCalendrier,2,17),1),"jjj")</f>
        <v>lun</v>
      </c>
      <c r="T5" s="1" t="str">
        <f>TEXT(WEEKDAY(DATE(AnnéeCalendrier,2,18),1),"jjj")</f>
        <v>mar</v>
      </c>
      <c r="U5" s="1" t="str">
        <f>TEXT(WEEKDAY(DATE(AnnéeCalendrier,2,19),1),"jjj")</f>
        <v>mer</v>
      </c>
      <c r="V5" s="1" t="str">
        <f>TEXT(WEEKDAY(DATE(AnnéeCalendrier,2,20),1),"jjj")</f>
        <v>jeu</v>
      </c>
      <c r="W5" s="1" t="str">
        <f>TEXT(WEEKDAY(DATE(AnnéeCalendrier,2,21),1),"jjj")</f>
        <v>ven</v>
      </c>
      <c r="X5" s="1" t="str">
        <f>TEXT(WEEKDAY(DATE(AnnéeCalendrier,2,22),1),"jjj")</f>
        <v>sam</v>
      </c>
      <c r="Y5" s="1" t="str">
        <f>TEXT(WEEKDAY(DATE(AnnéeCalendrier,2,23),1),"jjj")</f>
        <v>dim</v>
      </c>
      <c r="Z5" s="1" t="str">
        <f>TEXT(WEEKDAY(DATE(AnnéeCalendrier,2,24),1),"jjj")</f>
        <v>lun</v>
      </c>
      <c r="AA5" s="1" t="str">
        <f>TEXT(WEEKDAY(DATE(AnnéeCalendrier,2,25),1),"jjj")</f>
        <v>mar</v>
      </c>
      <c r="AB5" s="1" t="str">
        <f>TEXT(WEEKDAY(DATE(AnnéeCalendrier,2,26),1),"jjj")</f>
        <v>mer</v>
      </c>
      <c r="AC5" s="1" t="str">
        <f>TEXT(WEEKDAY(DATE(AnnéeCalendrier,2,27),1),"jjj")</f>
        <v>jeu</v>
      </c>
      <c r="AD5" s="1" t="str">
        <f>TEXT(WEEKDAY(DATE(AnnéeCalendrier,2,28),1),"jjj")</f>
        <v>ven</v>
      </c>
      <c r="AE5" s="1" t="str">
        <f>TEXT(WEEKDAY(DATE(AnnéeCalendrier,2,29),1),"jjj")</f>
        <v>sam</v>
      </c>
      <c r="AF5" s="1"/>
      <c r="AG5" s="1"/>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52</v>
      </c>
      <c r="AG6" s="2" t="s">
        <v>53</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COUNTA(Février[[#This Row],[1]:[29]])</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COUNTA(Février[[#This Row],[1]:[29]])</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COUNTA(Février[[#This Row],[1]:[29]])</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COUNTA(Février[[#This Row],[1]:[29]])</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COUNTA(Février[[#This Row],[1]:[29]])</f>
        <v>0</v>
      </c>
    </row>
    <row r="12" spans="2:34" ht="30" customHeight="1" x14ac:dyDescent="0.35">
      <c r="B12" s="20" t="str">
        <f>NomMois&amp;" Total"</f>
        <v>Février Total</v>
      </c>
      <c r="C12" s="12">
        <f>SUBTOTAL(103,Février[1])</f>
        <v>0</v>
      </c>
      <c r="D12" s="12">
        <f>SUBTOTAL(103,Février[2])</f>
        <v>0</v>
      </c>
      <c r="E12" s="12">
        <f>SUBTOTAL(103,Février[3])</f>
        <v>0</v>
      </c>
      <c r="F12" s="12">
        <f>SUBTOTAL(103,Février[4])</f>
        <v>0</v>
      </c>
      <c r="G12" s="12">
        <f>SUBTOTAL(103,Février[5])</f>
        <v>0</v>
      </c>
      <c r="H12" s="12">
        <f>SUBTOTAL(103,Février[6])</f>
        <v>0</v>
      </c>
      <c r="I12" s="12">
        <f>SUBTOTAL(103,Février[7])</f>
        <v>0</v>
      </c>
      <c r="J12" s="12">
        <f>SUBTOTAL(103,Février[8])</f>
        <v>0</v>
      </c>
      <c r="K12" s="12">
        <f>SUBTOTAL(103,Février[9])</f>
        <v>0</v>
      </c>
      <c r="L12" s="12">
        <f>SUBTOTAL(103,Février[10])</f>
        <v>0</v>
      </c>
      <c r="M12" s="12">
        <f>SUBTOTAL(103,Février[11])</f>
        <v>0</v>
      </c>
      <c r="N12" s="12">
        <f>SUBTOTAL(103,Février[12])</f>
        <v>0</v>
      </c>
      <c r="O12" s="12">
        <f>SUBTOTAL(103,Février[13])</f>
        <v>0</v>
      </c>
      <c r="P12" s="12">
        <f>SUBTOTAL(103,Février[14])</f>
        <v>0</v>
      </c>
      <c r="Q12" s="12">
        <f>SUBTOTAL(103,Février[15])</f>
        <v>0</v>
      </c>
      <c r="R12" s="12">
        <f>SUBTOTAL(103,Février[16])</f>
        <v>0</v>
      </c>
      <c r="S12" s="12">
        <f>SUBTOTAL(103,Février[17])</f>
        <v>0</v>
      </c>
      <c r="T12" s="12">
        <f>SUBTOTAL(103,Février[18])</f>
        <v>0</v>
      </c>
      <c r="U12" s="12">
        <f>SUBTOTAL(103,Février[19])</f>
        <v>0</v>
      </c>
      <c r="V12" s="12">
        <f>SUBTOTAL(103,Février[20])</f>
        <v>0</v>
      </c>
      <c r="W12" s="12">
        <f>SUBTOTAL(103,Février[21])</f>
        <v>0</v>
      </c>
      <c r="X12" s="12">
        <f>SUBTOTAL(103,Février[22])</f>
        <v>0</v>
      </c>
      <c r="Y12" s="12">
        <f>SUBTOTAL(103,Février[23])</f>
        <v>0</v>
      </c>
      <c r="Z12" s="12">
        <f>SUBTOTAL(103,Février[24])</f>
        <v>0</v>
      </c>
      <c r="AA12" s="12">
        <f>SUBTOTAL(103,Février[25])</f>
        <v>0</v>
      </c>
      <c r="AB12" s="12">
        <f>SUBTOTAL(103,Février[26])</f>
        <v>0</v>
      </c>
      <c r="AC12" s="12">
        <f>SUBTOTAL(103,Février[27])</f>
        <v>0</v>
      </c>
      <c r="AD12" s="12">
        <f>SUBTOTAL(103,Février[28])</f>
        <v>0</v>
      </c>
      <c r="AE12" s="12">
        <f>SUBTOTAL(103,Février[29])</f>
        <v>0</v>
      </c>
      <c r="AF12" s="12"/>
      <c r="AG12" s="12"/>
      <c r="AH12" s="12">
        <f>SUBTOTAL(109,Février[Total des jours])</f>
        <v>0</v>
      </c>
    </row>
  </sheetData>
  <mergeCells count="6">
    <mergeCell ref="C4:AG4"/>
    <mergeCell ref="D2:E2"/>
    <mergeCell ref="G2:I2"/>
    <mergeCell ref="K2:L2"/>
    <mergeCell ref="N2:Q2"/>
    <mergeCell ref="S2:V2"/>
  </mergeCells>
  <conditionalFormatting sqref="AE6">
    <cfRule type="expression" dxfId="848" priority="16">
      <formula>MONTH(DATE(AnnéeCalendrier,2,29))&lt;&gt;2</formula>
    </cfRule>
  </conditionalFormatting>
  <conditionalFormatting sqref="AE5">
    <cfRule type="expression" dxfId="847" priority="15">
      <formula>MONTH(DATE(AnnéeCalendrier,2,29))&lt;&gt;2</formula>
    </cfRule>
  </conditionalFormatting>
  <conditionalFormatting sqref="C7:AG11">
    <cfRule type="expression" priority="2" stopIfTrue="1">
      <formula>C7=""</formula>
    </cfRule>
    <cfRule type="expression" dxfId="846" priority="3" stopIfTrue="1">
      <formula>C7=CléPersonnalisée2</formula>
    </cfRule>
  </conditionalFormatting>
  <conditionalFormatting sqref="C7:AG11">
    <cfRule type="expression" dxfId="845" priority="5" stopIfTrue="1">
      <formula>C7=CléPersonnalisée1</formula>
    </cfRule>
    <cfRule type="expression" dxfId="844" priority="6" stopIfTrue="1">
      <formula>C7=CléMaladie</formula>
    </cfRule>
    <cfRule type="expression" dxfId="843" priority="7" stopIfTrue="1">
      <formula>C7=CléPersonnel</formula>
    </cfRule>
    <cfRule type="expression" dxfId="842" priority="8" stopIfTrue="1">
      <formula>C7=CléCongé</formula>
    </cfRule>
  </conditionalFormatting>
  <conditionalFormatting sqref="AH7:AH11">
    <cfRule type="dataBar" priority="179">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5">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H12"/>
  <sheetViews>
    <sheetView showGridLines="0" zoomScaleNormal="100" workbookViewId="0">
      <selection activeCell="B7" sqref="B7:B11"/>
    </sheetView>
  </sheetViews>
  <sheetFormatPr baseColWidth="10" defaultColWidth="9.140625" defaultRowHeight="30" customHeight="1" x14ac:dyDescent="0.25"/>
  <cols>
    <col min="1" max="1" width="2.7109375" style="10" customWidth="1"/>
    <col min="2" max="2" width="33.14062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54</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TEXT(WEEKDAY(DATE(AnnéeCalendrier,3,1),1),"jjj")</f>
        <v>dim</v>
      </c>
      <c r="D5" s="1" t="str">
        <f>TEXT(WEEKDAY(DATE(AnnéeCalendrier,3,2),1),"jjj")</f>
        <v>lun</v>
      </c>
      <c r="E5" s="1" t="str">
        <f>TEXT(WEEKDAY(DATE(AnnéeCalendrier,3,3),1),"jjj")</f>
        <v>mar</v>
      </c>
      <c r="F5" s="1" t="str">
        <f>TEXT(WEEKDAY(DATE(AnnéeCalendrier,3,4),1),"jjj")</f>
        <v>mer</v>
      </c>
      <c r="G5" s="1" t="str">
        <f>TEXT(WEEKDAY(DATE(AnnéeCalendrier,3,5),1),"jjj")</f>
        <v>jeu</v>
      </c>
      <c r="H5" s="1" t="str">
        <f>TEXT(WEEKDAY(DATE(AnnéeCalendrier,3,6),1),"jjj")</f>
        <v>ven</v>
      </c>
      <c r="I5" s="1" t="str">
        <f>TEXT(WEEKDAY(DATE(AnnéeCalendrier,3,7),1),"jjj")</f>
        <v>sam</v>
      </c>
      <c r="J5" s="1" t="str">
        <f>TEXT(WEEKDAY(DATE(AnnéeCalendrier,3,8),1),"jjj")</f>
        <v>dim</v>
      </c>
      <c r="K5" s="1" t="str">
        <f>TEXT(WEEKDAY(DATE(AnnéeCalendrier,3,9),1),"jjj")</f>
        <v>lun</v>
      </c>
      <c r="L5" s="1" t="str">
        <f>TEXT(WEEKDAY(DATE(AnnéeCalendrier,3,10),1),"jjj")</f>
        <v>mar</v>
      </c>
      <c r="M5" s="1" t="str">
        <f>TEXT(WEEKDAY(DATE(AnnéeCalendrier,3,11),1),"jjj")</f>
        <v>mer</v>
      </c>
      <c r="N5" s="1" t="str">
        <f>TEXT(WEEKDAY(DATE(AnnéeCalendrier,3,12),1),"jjj")</f>
        <v>jeu</v>
      </c>
      <c r="O5" s="1" t="str">
        <f>TEXT(WEEKDAY(DATE(AnnéeCalendrier,3,13),1),"jjj")</f>
        <v>ven</v>
      </c>
      <c r="P5" s="1" t="str">
        <f>TEXT(WEEKDAY(DATE(AnnéeCalendrier,3,14),1),"jjj")</f>
        <v>sam</v>
      </c>
      <c r="Q5" s="1" t="str">
        <f>TEXT(WEEKDAY(DATE(AnnéeCalendrier,3,15),1),"jjj")</f>
        <v>dim</v>
      </c>
      <c r="R5" s="1" t="str">
        <f>TEXT(WEEKDAY(DATE(AnnéeCalendrier,3,16),1),"jjj")</f>
        <v>lun</v>
      </c>
      <c r="S5" s="1" t="str">
        <f>TEXT(WEEKDAY(DATE(AnnéeCalendrier,3,17),1),"jjj")</f>
        <v>mar</v>
      </c>
      <c r="T5" s="1" t="str">
        <f>TEXT(WEEKDAY(DATE(AnnéeCalendrier,3,18),1),"jjj")</f>
        <v>mer</v>
      </c>
      <c r="U5" s="1" t="str">
        <f>TEXT(WEEKDAY(DATE(AnnéeCalendrier,3,19),1),"jjj")</f>
        <v>jeu</v>
      </c>
      <c r="V5" s="1" t="str">
        <f>TEXT(WEEKDAY(DATE(AnnéeCalendrier,3,20),1),"jjj")</f>
        <v>ven</v>
      </c>
      <c r="W5" s="1" t="str">
        <f>TEXT(WEEKDAY(DATE(AnnéeCalendrier,3,21),1),"jjj")</f>
        <v>sam</v>
      </c>
      <c r="X5" s="1" t="str">
        <f>TEXT(WEEKDAY(DATE(AnnéeCalendrier,3,22),1),"jjj")</f>
        <v>dim</v>
      </c>
      <c r="Y5" s="1" t="str">
        <f>TEXT(WEEKDAY(DATE(AnnéeCalendrier,3,23),1),"jjj")</f>
        <v>lun</v>
      </c>
      <c r="Z5" s="1" t="str">
        <f>TEXT(WEEKDAY(DATE(AnnéeCalendrier,3,24),1),"jjj")</f>
        <v>mar</v>
      </c>
      <c r="AA5" s="1" t="str">
        <f>TEXT(WEEKDAY(DATE(AnnéeCalendrier,3,25),1),"jjj")</f>
        <v>mer</v>
      </c>
      <c r="AB5" s="1" t="str">
        <f>TEXT(WEEKDAY(DATE(AnnéeCalendrier,3,26),1),"jjj")</f>
        <v>jeu</v>
      </c>
      <c r="AC5" s="1" t="str">
        <f>TEXT(WEEKDAY(DATE(AnnéeCalendrier,3,27),1),"jjj")</f>
        <v>ven</v>
      </c>
      <c r="AD5" s="1" t="str">
        <f>TEXT(WEEKDAY(DATE(AnnéeCalendrier,3,28),1),"jjj")</f>
        <v>sam</v>
      </c>
      <c r="AE5" s="1" t="str">
        <f>TEXT(WEEKDAY(DATE(AnnéeCalendrier,3,29),1),"jjj")</f>
        <v>dim</v>
      </c>
      <c r="AF5" s="1" t="str">
        <f>TEXT(WEEKDAY(DATE(AnnéeCalendrier,3,30),1),"jjj")</f>
        <v>lun</v>
      </c>
      <c r="AG5" s="1" t="str">
        <f>TEXT(WEEKDAY(DATE(AnnéeCalendrier,3,31),1),"jjj")</f>
        <v>mar</v>
      </c>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COUNTA(Mars[[#This Row],[1]:[31]])</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COUNTA(Mars[[#This Row],[1]:[31]])</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COUNTA(Mars[[#This Row],[1]:[31]])</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COUNTA(Mars[[#This Row],[1]:[31]])</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COUNTA(Mars[[#This Row],[1]:[31]])</f>
        <v>0</v>
      </c>
    </row>
    <row r="12" spans="2:34" ht="30" customHeight="1" x14ac:dyDescent="0.35">
      <c r="B12" s="20" t="str">
        <f>NomMois&amp;" Total"</f>
        <v>Mars Total</v>
      </c>
      <c r="C12" s="12">
        <f>SUBTOTAL(103,Mars[1])</f>
        <v>0</v>
      </c>
      <c r="D12" s="12">
        <f>SUBTOTAL(103,Mars[2])</f>
        <v>0</v>
      </c>
      <c r="E12" s="12">
        <f>SUBTOTAL(103,Mars[3])</f>
        <v>0</v>
      </c>
      <c r="F12" s="12">
        <f>SUBTOTAL(103,Mars[4])</f>
        <v>0</v>
      </c>
      <c r="G12" s="12">
        <f>SUBTOTAL(103,Mars[5])</f>
        <v>0</v>
      </c>
      <c r="H12" s="12">
        <f>SUBTOTAL(103,Mars[6])</f>
        <v>0</v>
      </c>
      <c r="I12" s="12">
        <f>SUBTOTAL(103,Mars[7])</f>
        <v>0</v>
      </c>
      <c r="J12" s="12">
        <f>SUBTOTAL(103,Mars[8])</f>
        <v>0</v>
      </c>
      <c r="K12" s="12">
        <f>SUBTOTAL(103,Mars[9])</f>
        <v>0</v>
      </c>
      <c r="L12" s="12">
        <f>SUBTOTAL(103,Mars[10])</f>
        <v>0</v>
      </c>
      <c r="M12" s="12">
        <f>SUBTOTAL(103,Mars[11])</f>
        <v>0</v>
      </c>
      <c r="N12" s="12">
        <f>SUBTOTAL(103,Mars[12])</f>
        <v>0</v>
      </c>
      <c r="O12" s="12">
        <f>SUBTOTAL(103,Mars[13])</f>
        <v>0</v>
      </c>
      <c r="P12" s="12">
        <f>SUBTOTAL(103,Mars[14])</f>
        <v>0</v>
      </c>
      <c r="Q12" s="12">
        <f>SUBTOTAL(103,Mars[15])</f>
        <v>0</v>
      </c>
      <c r="R12" s="12">
        <f>SUBTOTAL(103,Mars[16])</f>
        <v>0</v>
      </c>
      <c r="S12" s="12">
        <f>SUBTOTAL(103,Mars[17])</f>
        <v>0</v>
      </c>
      <c r="T12" s="12">
        <f>SUBTOTAL(103,Mars[18])</f>
        <v>0</v>
      </c>
      <c r="U12" s="12">
        <f>SUBTOTAL(103,Mars[19])</f>
        <v>0</v>
      </c>
      <c r="V12" s="12">
        <f>SUBTOTAL(103,Mars[20])</f>
        <v>0</v>
      </c>
      <c r="W12" s="12">
        <f>SUBTOTAL(103,Mars[21])</f>
        <v>0</v>
      </c>
      <c r="X12" s="12">
        <f>SUBTOTAL(103,Mars[22])</f>
        <v>0</v>
      </c>
      <c r="Y12" s="12">
        <f>SUBTOTAL(103,Mars[23])</f>
        <v>0</v>
      </c>
      <c r="Z12" s="12">
        <f>SUBTOTAL(103,Mars[24])</f>
        <v>0</v>
      </c>
      <c r="AA12" s="12">
        <f>SUBTOTAL(103,Mars[25])</f>
        <v>0</v>
      </c>
      <c r="AB12" s="12">
        <f>SUBTOTAL(103,Mars[26])</f>
        <v>0</v>
      </c>
      <c r="AC12" s="12">
        <f>SUBTOTAL(103,Mars[27])</f>
        <v>0</v>
      </c>
      <c r="AD12" s="12">
        <f>SUBTOTAL(103,Mars[28])</f>
        <v>0</v>
      </c>
      <c r="AE12" s="12">
        <f>SUBTOTAL(103,Mars[29])</f>
        <v>0</v>
      </c>
      <c r="AF12" s="12">
        <f>SUBTOTAL(103,Mars[30])</f>
        <v>0</v>
      </c>
      <c r="AG12" s="12">
        <f>SUBTOTAL(103,Mars[31])</f>
        <v>0</v>
      </c>
      <c r="AH12" s="12">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72" priority="2" stopIfTrue="1">
      <formula>C7=CléPersonnalisée2</formula>
    </cfRule>
    <cfRule type="expression" dxfId="771" priority="3" stopIfTrue="1">
      <formula>C7=CléPersonnalisée1</formula>
    </cfRule>
    <cfRule type="expression" dxfId="770" priority="4" stopIfTrue="1">
      <formula>C7=CléMaladie</formula>
    </cfRule>
    <cfRule type="expression" dxfId="769" priority="5" stopIfTrue="1">
      <formula>C7=CléPersonnel</formula>
    </cfRule>
    <cfRule type="expression" dxfId="768" priority="6" stopIfTrue="1">
      <formula>C7=CléCongé</formula>
    </cfRule>
  </conditionalFormatting>
  <conditionalFormatting sqref="AH7:AH11">
    <cfRule type="dataBar" priority="178">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election activeCell="B7" sqref="B7:B11"/>
    </sheetView>
  </sheetViews>
  <sheetFormatPr baseColWidth="10" defaultColWidth="9.140625" defaultRowHeight="30" customHeight="1" x14ac:dyDescent="0.25"/>
  <cols>
    <col min="1" max="1" width="2.7109375" style="10" customWidth="1"/>
    <col min="2" max="2" width="33.14062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68</v>
      </c>
      <c r="H2" s="31"/>
      <c r="I2" s="31"/>
      <c r="J2" s="5" t="s">
        <v>17</v>
      </c>
      <c r="K2" s="31" t="s">
        <v>24</v>
      </c>
      <c r="L2" s="31"/>
      <c r="M2" s="6" t="s">
        <v>69</v>
      </c>
      <c r="N2" s="31" t="s">
        <v>70</v>
      </c>
      <c r="O2" s="31"/>
      <c r="P2" s="31"/>
      <c r="Q2" s="31"/>
      <c r="R2" s="25" t="s">
        <v>72</v>
      </c>
      <c r="S2" s="31" t="s">
        <v>71</v>
      </c>
      <c r="T2" s="31"/>
      <c r="U2" s="31"/>
      <c r="V2" s="31"/>
      <c r="W2" s="7" t="s">
        <v>74</v>
      </c>
      <c r="X2" s="31" t="s">
        <v>73</v>
      </c>
      <c r="Y2" s="31"/>
      <c r="Z2" s="31"/>
      <c r="AA2" s="31"/>
    </row>
    <row r="3" spans="2:34" ht="15" customHeight="1" x14ac:dyDescent="0.35">
      <c r="B3" s="13"/>
    </row>
    <row r="4" spans="2:34" ht="30" customHeight="1" x14ac:dyDescent="0.25">
      <c r="B4" s="11" t="s">
        <v>55</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TEXT(WEEKDAY(DATE(AnnéeCalendrier,4,1),1),"jjj")</f>
        <v>mer</v>
      </c>
      <c r="D5" s="1" t="str">
        <f>TEXT(WEEKDAY(DATE(AnnéeCalendrier,4,2),1),"jjj")</f>
        <v>jeu</v>
      </c>
      <c r="E5" s="1" t="str">
        <f>TEXT(WEEKDAY(DATE(AnnéeCalendrier,4,3),1),"jjj")</f>
        <v>ven</v>
      </c>
      <c r="F5" s="1" t="str">
        <f>TEXT(WEEKDAY(DATE(AnnéeCalendrier,4,4),1),"jjj")</f>
        <v>sam</v>
      </c>
      <c r="G5" s="1" t="str">
        <f>TEXT(WEEKDAY(DATE(AnnéeCalendrier,4,5),1),"jjj")</f>
        <v>dim</v>
      </c>
      <c r="H5" s="1" t="str">
        <f>TEXT(WEEKDAY(DATE(AnnéeCalendrier,4,6),1),"jjj")</f>
        <v>lun</v>
      </c>
      <c r="I5" s="1" t="str">
        <f>TEXT(WEEKDAY(DATE(AnnéeCalendrier,4,7),1),"jjj")</f>
        <v>mar</v>
      </c>
      <c r="J5" s="1" t="str">
        <f>TEXT(WEEKDAY(DATE(AnnéeCalendrier,4,8),1),"jjj")</f>
        <v>mer</v>
      </c>
      <c r="K5" s="1" t="str">
        <f>TEXT(WEEKDAY(DATE(AnnéeCalendrier,4,9),1),"jjj")</f>
        <v>jeu</v>
      </c>
      <c r="L5" s="1" t="str">
        <f>TEXT(WEEKDAY(DATE(AnnéeCalendrier,4,10),1),"jjj")</f>
        <v>ven</v>
      </c>
      <c r="M5" s="1" t="str">
        <f>TEXT(WEEKDAY(DATE(AnnéeCalendrier,4,11),1),"jjj")</f>
        <v>sam</v>
      </c>
      <c r="N5" s="1" t="str">
        <f>TEXT(WEEKDAY(DATE(AnnéeCalendrier,4,12),1),"jjj")</f>
        <v>dim</v>
      </c>
      <c r="O5" s="1" t="str">
        <f>TEXT(WEEKDAY(DATE(AnnéeCalendrier,4,13),1),"jjj")</f>
        <v>lun</v>
      </c>
      <c r="P5" s="1" t="str">
        <f>TEXT(WEEKDAY(DATE(AnnéeCalendrier,4,14),1),"jjj")</f>
        <v>mar</v>
      </c>
      <c r="Q5" s="1" t="str">
        <f>TEXT(WEEKDAY(DATE(AnnéeCalendrier,4,15),1),"jjj")</f>
        <v>mer</v>
      </c>
      <c r="R5" s="1" t="str">
        <f>TEXT(WEEKDAY(DATE(AnnéeCalendrier,4,16),1),"jjj")</f>
        <v>jeu</v>
      </c>
      <c r="S5" s="1" t="str">
        <f>TEXT(WEEKDAY(DATE(AnnéeCalendrier,4,17),1),"jjj")</f>
        <v>ven</v>
      </c>
      <c r="T5" s="1" t="str">
        <f>TEXT(WEEKDAY(DATE(AnnéeCalendrier,4,18),1),"jjj")</f>
        <v>sam</v>
      </c>
      <c r="U5" s="1" t="str">
        <f>TEXT(WEEKDAY(DATE(AnnéeCalendrier,4,19),1),"jjj")</f>
        <v>dim</v>
      </c>
      <c r="V5" s="1" t="str">
        <f>TEXT(WEEKDAY(DATE(AnnéeCalendrier,4,20),1),"jjj")</f>
        <v>lun</v>
      </c>
      <c r="W5" s="1" t="str">
        <f>TEXT(WEEKDAY(DATE(AnnéeCalendrier,4,21),1),"jjj")</f>
        <v>mar</v>
      </c>
      <c r="X5" s="1" t="str">
        <f>TEXT(WEEKDAY(DATE(AnnéeCalendrier,4,22),1),"jjj")</f>
        <v>mer</v>
      </c>
      <c r="Y5" s="1" t="str">
        <f>TEXT(WEEKDAY(DATE(AnnéeCalendrier,4,23),1),"jjj")</f>
        <v>jeu</v>
      </c>
      <c r="Z5" s="1" t="str">
        <f>TEXT(WEEKDAY(DATE(AnnéeCalendrier,4,24),1),"jjj")</f>
        <v>ven</v>
      </c>
      <c r="AA5" s="1" t="str">
        <f>TEXT(WEEKDAY(DATE(AnnéeCalendrier,4,25),1),"jjj")</f>
        <v>sam</v>
      </c>
      <c r="AB5" s="1" t="str">
        <f>TEXT(WEEKDAY(DATE(AnnéeCalendrier,4,26),1),"jjj")</f>
        <v>dim</v>
      </c>
      <c r="AC5" s="1" t="str">
        <f>TEXT(WEEKDAY(DATE(AnnéeCalendrier,4,27),1),"jjj")</f>
        <v>lun</v>
      </c>
      <c r="AD5" s="1" t="str">
        <f>TEXT(WEEKDAY(DATE(AnnéeCalendrier,4,28),1),"jjj")</f>
        <v>mar</v>
      </c>
      <c r="AE5" s="1" t="str">
        <f>TEXT(WEEKDAY(DATE(AnnéeCalendrier,4,29),1),"jjj")</f>
        <v>mer</v>
      </c>
      <c r="AF5" s="1" t="str">
        <f>TEXT(WEEKDAY(DATE(AnnéeCalendrier,4,30),1),"jjj")</f>
        <v>jeu</v>
      </c>
      <c r="AG5" s="1"/>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1" t="s">
        <v>52</v>
      </c>
      <c r="AH6" s="15" t="s">
        <v>50</v>
      </c>
    </row>
    <row r="7" spans="2:34" ht="30" customHeight="1" x14ac:dyDescent="0.25">
      <c r="B7" s="16" t="s">
        <v>4</v>
      </c>
      <c r="C7" s="2" t="s">
        <v>75</v>
      </c>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COUNTA(Avril[[#This Row],[1]:[30]])</f>
        <v>1</v>
      </c>
    </row>
    <row r="8" spans="2:34" ht="30" customHeight="1" x14ac:dyDescent="0.25">
      <c r="B8" s="16" t="s">
        <v>5</v>
      </c>
      <c r="C8" s="2" t="s">
        <v>64</v>
      </c>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COUNTA(Avril[[#This Row],[1]:[30]])</f>
        <v>1</v>
      </c>
    </row>
    <row r="9" spans="2:34" ht="30" customHeight="1" x14ac:dyDescent="0.25">
      <c r="B9" s="16" t="s">
        <v>6</v>
      </c>
      <c r="C9" s="2" t="s">
        <v>76</v>
      </c>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COUNTA(Avril[[#This Row],[1]:[30]])</f>
        <v>1</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COUNTA(Avril[[#This Row],[1]:[30]])</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COUNTA(Avril[[#This Row],[1]:[30]])</f>
        <v>0</v>
      </c>
    </row>
    <row r="12" spans="2:34" ht="30" customHeight="1" x14ac:dyDescent="0.35">
      <c r="B12" s="20" t="str">
        <f>NomMois&amp;" Total"</f>
        <v>Avril Total</v>
      </c>
      <c r="C12" s="12">
        <f>SUBTOTAL(103,Avril[1])</f>
        <v>3</v>
      </c>
      <c r="D12" s="12">
        <f>SUBTOTAL(103,Avril[2])</f>
        <v>0</v>
      </c>
      <c r="E12" s="12">
        <f>SUBTOTAL(103,Avril[3])</f>
        <v>0</v>
      </c>
      <c r="F12" s="12">
        <f>SUBTOTAL(103,Avril[4])</f>
        <v>0</v>
      </c>
      <c r="G12" s="12">
        <f>SUBTOTAL(103,Avril[5])</f>
        <v>0</v>
      </c>
      <c r="H12" s="12">
        <f>SUBTOTAL(103,Avril[6])</f>
        <v>0</v>
      </c>
      <c r="I12" s="12">
        <f>SUBTOTAL(103,Avril[7])</f>
        <v>0</v>
      </c>
      <c r="J12" s="12">
        <f>SUBTOTAL(103,Avril[8])</f>
        <v>0</v>
      </c>
      <c r="K12" s="12">
        <f>SUBTOTAL(103,Avril[9])</f>
        <v>0</v>
      </c>
      <c r="L12" s="12">
        <f>SUBTOTAL(103,Avril[10])</f>
        <v>0</v>
      </c>
      <c r="M12" s="12">
        <f>SUBTOTAL(103,Avril[11])</f>
        <v>0</v>
      </c>
      <c r="N12" s="12">
        <f>SUBTOTAL(103,Avril[12])</f>
        <v>0</v>
      </c>
      <c r="O12" s="12">
        <f>SUBTOTAL(103,Avril[13])</f>
        <v>0</v>
      </c>
      <c r="P12" s="12">
        <f>SUBTOTAL(103,Avril[14])</f>
        <v>0</v>
      </c>
      <c r="Q12" s="12">
        <f>SUBTOTAL(103,Avril[15])</f>
        <v>0</v>
      </c>
      <c r="R12" s="12">
        <f>SUBTOTAL(103,Avril[16])</f>
        <v>0</v>
      </c>
      <c r="S12" s="12">
        <f>SUBTOTAL(103,Avril[17])</f>
        <v>0</v>
      </c>
      <c r="T12" s="12">
        <f>SUBTOTAL(103,Avril[18])</f>
        <v>0</v>
      </c>
      <c r="U12" s="12">
        <f>SUBTOTAL(103,Avril[19])</f>
        <v>0</v>
      </c>
      <c r="V12" s="12">
        <f>SUBTOTAL(103,Avril[20])</f>
        <v>0</v>
      </c>
      <c r="W12" s="12">
        <f>SUBTOTAL(103,Avril[21])</f>
        <v>0</v>
      </c>
      <c r="X12" s="12">
        <f>SUBTOTAL(103,Avril[22])</f>
        <v>0</v>
      </c>
      <c r="Y12" s="12">
        <f>SUBTOTAL(103,Avril[23])</f>
        <v>0</v>
      </c>
      <c r="Z12" s="12">
        <f>SUBTOTAL(103,Avril[24])</f>
        <v>0</v>
      </c>
      <c r="AA12" s="12">
        <f>SUBTOTAL(103,Avril[25])</f>
        <v>0</v>
      </c>
      <c r="AB12" s="12">
        <f>SUBTOTAL(103,Avril[26])</f>
        <v>0</v>
      </c>
      <c r="AC12" s="12">
        <f>SUBTOTAL(103,Avril[27])</f>
        <v>0</v>
      </c>
      <c r="AD12" s="12">
        <f>SUBTOTAL(103,Avril[28])</f>
        <v>0</v>
      </c>
      <c r="AE12" s="12">
        <f>SUBTOTAL(103,Avril[29])</f>
        <v>0</v>
      </c>
      <c r="AF12" s="12">
        <f>SUBTOTAL(103,Avril[30])</f>
        <v>0</v>
      </c>
      <c r="AG12" s="12">
        <f>SUBTOTAL(103,Avril[30])</f>
        <v>0</v>
      </c>
      <c r="AH12" s="12">
        <f>SUBTOTAL(109,Avril[Total des jours])</f>
        <v>3</v>
      </c>
    </row>
  </sheetData>
  <mergeCells count="7">
    <mergeCell ref="C4:AG4"/>
    <mergeCell ref="D2:E2"/>
    <mergeCell ref="G2:I2"/>
    <mergeCell ref="K2:L2"/>
    <mergeCell ref="N2:Q2"/>
    <mergeCell ref="S2:V2"/>
    <mergeCell ref="X2:AA2"/>
  </mergeCells>
  <phoneticPr fontId="19" type="noConversion"/>
  <conditionalFormatting sqref="C7:AG11">
    <cfRule type="expression" priority="1" stopIfTrue="1">
      <formula>C7=""</formula>
    </cfRule>
  </conditionalFormatting>
  <conditionalFormatting sqref="C7:AG11">
    <cfRule type="expression" dxfId="698" priority="2" stopIfTrue="1">
      <formula>C7=CléPersonnalisée2</formula>
    </cfRule>
    <cfRule type="expression" dxfId="697" priority="3" stopIfTrue="1">
      <formula>C7=CléPersonnalisée1</formula>
    </cfRule>
    <cfRule type="expression" dxfId="696" priority="4" stopIfTrue="1">
      <formula>C7=CléMaladie</formula>
    </cfRule>
    <cfRule type="expression" dxfId="695" priority="5" stopIfTrue="1">
      <formula>C7=CléPersonnel</formula>
    </cfRule>
    <cfRule type="expression" dxfId="694" priority="6" stopIfTrue="1">
      <formula>C7=CléCongé</formula>
    </cfRule>
  </conditionalFormatting>
  <conditionalFormatting sqref="AH7:AH11">
    <cfRule type="dataBar" priority="17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W2"/>
    <dataValidation allowBlank="1" showInputMessage="1" showErrorMessage="1" prompt="Entrez une étiquette pour décrire la clé personnalisée à gauche" sqref="N2 S2 X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sheetPr>
  <dimension ref="A1:AH12"/>
  <sheetViews>
    <sheetView showGridLines="0" zoomScaleNormal="100" workbookViewId="0">
      <selection activeCell="B7" sqref="B7:B11"/>
    </sheetView>
  </sheetViews>
  <sheetFormatPr baseColWidth="10" defaultColWidth="9.140625" defaultRowHeight="30" customHeight="1" x14ac:dyDescent="0.25"/>
  <cols>
    <col min="1" max="1" width="2.7109375" style="10" customWidth="1"/>
    <col min="2" max="2" width="33.14062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56</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TEXT(WEEKDAY(DATE(AnnéeCalendrier,5,1),1),"jjj")</f>
        <v>ven</v>
      </c>
      <c r="D5" s="1" t="str">
        <f>TEXT(WEEKDAY(DATE(AnnéeCalendrier,5,2),1),"jjj")</f>
        <v>sam</v>
      </c>
      <c r="E5" s="1" t="str">
        <f>TEXT(WEEKDAY(DATE(AnnéeCalendrier,5,3),1),"jjj")</f>
        <v>dim</v>
      </c>
      <c r="F5" s="1" t="str">
        <f>TEXT(WEEKDAY(DATE(AnnéeCalendrier,5,4),1),"jjj")</f>
        <v>lun</v>
      </c>
      <c r="G5" s="1" t="str">
        <f>TEXT(WEEKDAY(DATE(AnnéeCalendrier,5,5),1),"jjj")</f>
        <v>mar</v>
      </c>
      <c r="H5" s="1" t="str">
        <f>TEXT(WEEKDAY(DATE(AnnéeCalendrier,5,6),1),"jjj")</f>
        <v>mer</v>
      </c>
      <c r="I5" s="1" t="str">
        <f>TEXT(WEEKDAY(DATE(AnnéeCalendrier,5,7),1),"jjj")</f>
        <v>jeu</v>
      </c>
      <c r="J5" s="1" t="str">
        <f>TEXT(WEEKDAY(DATE(AnnéeCalendrier,5,8),1),"jjj")</f>
        <v>ven</v>
      </c>
      <c r="K5" s="1" t="str">
        <f>TEXT(WEEKDAY(DATE(AnnéeCalendrier,5,9),1),"jjj")</f>
        <v>sam</v>
      </c>
      <c r="L5" s="1" t="str">
        <f>TEXT(WEEKDAY(DATE(AnnéeCalendrier,5,10),1),"jjj")</f>
        <v>dim</v>
      </c>
      <c r="M5" s="1" t="str">
        <f>TEXT(WEEKDAY(DATE(AnnéeCalendrier,5,11),1),"jjj")</f>
        <v>lun</v>
      </c>
      <c r="N5" s="1" t="str">
        <f>TEXT(WEEKDAY(DATE(AnnéeCalendrier,5,12),1),"jjj")</f>
        <v>mar</v>
      </c>
      <c r="O5" s="1" t="str">
        <f>TEXT(WEEKDAY(DATE(AnnéeCalendrier,5,13),1),"jjj")</f>
        <v>mer</v>
      </c>
      <c r="P5" s="1" t="str">
        <f>TEXT(WEEKDAY(DATE(AnnéeCalendrier,5,14),1),"jjj")</f>
        <v>jeu</v>
      </c>
      <c r="Q5" s="1" t="str">
        <f>TEXT(WEEKDAY(DATE(AnnéeCalendrier,5,15),1),"jjj")</f>
        <v>ven</v>
      </c>
      <c r="R5" s="1" t="str">
        <f>TEXT(WEEKDAY(DATE(AnnéeCalendrier,5,16),1),"jjj")</f>
        <v>sam</v>
      </c>
      <c r="S5" s="1" t="str">
        <f>TEXT(WEEKDAY(DATE(AnnéeCalendrier,5,17),1),"jjj")</f>
        <v>dim</v>
      </c>
      <c r="T5" s="1" t="str">
        <f>TEXT(WEEKDAY(DATE(AnnéeCalendrier,5,18),1),"jjj")</f>
        <v>lun</v>
      </c>
      <c r="U5" s="1" t="str">
        <f>TEXT(WEEKDAY(DATE(AnnéeCalendrier,5,19),1),"jjj")</f>
        <v>mar</v>
      </c>
      <c r="V5" s="1" t="str">
        <f>TEXT(WEEKDAY(DATE(AnnéeCalendrier,5,20),1),"jjj")</f>
        <v>mer</v>
      </c>
      <c r="W5" s="1" t="str">
        <f>TEXT(WEEKDAY(DATE(AnnéeCalendrier,5,21),1),"jjj")</f>
        <v>jeu</v>
      </c>
      <c r="X5" s="1" t="str">
        <f>TEXT(WEEKDAY(DATE(AnnéeCalendrier,5,22),1),"jjj")</f>
        <v>ven</v>
      </c>
      <c r="Y5" s="1" t="str">
        <f>TEXT(WEEKDAY(DATE(AnnéeCalendrier,5,23),1),"jjj")</f>
        <v>sam</v>
      </c>
      <c r="Z5" s="1" t="str">
        <f>TEXT(WEEKDAY(DATE(AnnéeCalendrier,5,24),1),"jjj")</f>
        <v>dim</v>
      </c>
      <c r="AA5" s="1" t="str">
        <f>TEXT(WEEKDAY(DATE(AnnéeCalendrier,5,25),1),"jjj")</f>
        <v>lun</v>
      </c>
      <c r="AB5" s="1" t="str">
        <f>TEXT(WEEKDAY(DATE(AnnéeCalendrier,5,26),1),"jjj")</f>
        <v>mar</v>
      </c>
      <c r="AC5" s="1" t="str">
        <f>TEXT(WEEKDAY(DATE(AnnéeCalendrier,5,27),1),"jjj")</f>
        <v>mer</v>
      </c>
      <c r="AD5" s="1" t="str">
        <f>TEXT(WEEKDAY(DATE(AnnéeCalendrier,5,28),1),"jjj")</f>
        <v>jeu</v>
      </c>
      <c r="AE5" s="1" t="str">
        <f>TEXT(WEEKDAY(DATE(AnnéeCalendrier,5,29),1),"jjj")</f>
        <v>ven</v>
      </c>
      <c r="AF5" s="1" t="str">
        <f>TEXT(WEEKDAY(DATE(AnnéeCalendrier,5,30),1),"jjj")</f>
        <v>sam</v>
      </c>
      <c r="AG5" s="1" t="str">
        <f>TEXT(WEEKDAY(DATE(AnnéeCalendrier,5,31),1),"jjj")</f>
        <v>dim</v>
      </c>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COUNTA(Mai[[#This Row],[1]:[31]])</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COUNTA(Mai[[#This Row],[1]:[31]])</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COUNTA(Mai[[#This Row],[1]:[31]])</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COUNTA(Mai[[#This Row],[1]:[31]])</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COUNTA(Mai[[#This Row],[1]:[31]])</f>
        <v>0</v>
      </c>
    </row>
    <row r="12" spans="2:34" ht="30" customHeight="1" x14ac:dyDescent="0.35">
      <c r="B12" s="20" t="str">
        <f>NomMois&amp;" Total"</f>
        <v>Mai Total</v>
      </c>
      <c r="C12" s="12">
        <f>SUBTOTAL(103,Mai[1])</f>
        <v>0</v>
      </c>
      <c r="D12" s="12">
        <f>SUBTOTAL(103,Mai[2])</f>
        <v>0</v>
      </c>
      <c r="E12" s="12">
        <f>SUBTOTAL(103,Mai[3])</f>
        <v>0</v>
      </c>
      <c r="F12" s="12">
        <f>SUBTOTAL(103,Mai[4])</f>
        <v>0</v>
      </c>
      <c r="G12" s="12">
        <f>SUBTOTAL(103,Mai[5])</f>
        <v>0</v>
      </c>
      <c r="H12" s="12">
        <f>SUBTOTAL(103,Mai[6])</f>
        <v>0</v>
      </c>
      <c r="I12" s="12">
        <f>SUBTOTAL(103,Mai[7])</f>
        <v>0</v>
      </c>
      <c r="J12" s="12">
        <f>SUBTOTAL(103,Mai[8])</f>
        <v>0</v>
      </c>
      <c r="K12" s="12">
        <f>SUBTOTAL(103,Mai[9])</f>
        <v>0</v>
      </c>
      <c r="L12" s="12">
        <f>SUBTOTAL(103,Mai[10])</f>
        <v>0</v>
      </c>
      <c r="M12" s="12">
        <f>SUBTOTAL(103,Mai[11])</f>
        <v>0</v>
      </c>
      <c r="N12" s="12">
        <f>SUBTOTAL(103,Mai[12])</f>
        <v>0</v>
      </c>
      <c r="O12" s="12">
        <f>SUBTOTAL(103,Mai[13])</f>
        <v>0</v>
      </c>
      <c r="P12" s="12">
        <f>SUBTOTAL(103,Mai[14])</f>
        <v>0</v>
      </c>
      <c r="Q12" s="12">
        <f>SUBTOTAL(103,Mai[15])</f>
        <v>0</v>
      </c>
      <c r="R12" s="12">
        <f>SUBTOTAL(103,Mai[16])</f>
        <v>0</v>
      </c>
      <c r="S12" s="12">
        <f>SUBTOTAL(103,Mai[17])</f>
        <v>0</v>
      </c>
      <c r="T12" s="12">
        <f>SUBTOTAL(103,Mai[18])</f>
        <v>0</v>
      </c>
      <c r="U12" s="12">
        <f>SUBTOTAL(103,Mai[19])</f>
        <v>0</v>
      </c>
      <c r="V12" s="12">
        <f>SUBTOTAL(103,Mai[20])</f>
        <v>0</v>
      </c>
      <c r="W12" s="12">
        <f>SUBTOTAL(103,Mai[21])</f>
        <v>0</v>
      </c>
      <c r="X12" s="12">
        <f>SUBTOTAL(103,Mai[22])</f>
        <v>0</v>
      </c>
      <c r="Y12" s="12">
        <f>SUBTOTAL(103,Mai[23])</f>
        <v>0</v>
      </c>
      <c r="Z12" s="12">
        <f>SUBTOTAL(103,Mai[24])</f>
        <v>0</v>
      </c>
      <c r="AA12" s="12">
        <f>SUBTOTAL(103,Mai[25])</f>
        <v>0</v>
      </c>
      <c r="AB12" s="12">
        <f>SUBTOTAL(103,Mai[26])</f>
        <v>0</v>
      </c>
      <c r="AC12" s="12">
        <f>SUBTOTAL(103,Mai[27])</f>
        <v>0</v>
      </c>
      <c r="AD12" s="12">
        <f>SUBTOTAL(103,Mai[28])</f>
        <v>0</v>
      </c>
      <c r="AE12" s="12">
        <f>SUBTOTAL(103,Mai[29])</f>
        <v>0</v>
      </c>
      <c r="AF12" s="12">
        <f>SUBTOTAL(103,Mai[30])</f>
        <v>0</v>
      </c>
      <c r="AG12" s="12">
        <f>SUBTOTAL(103,Mai[31])</f>
        <v>0</v>
      </c>
      <c r="AH12" s="12">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624" priority="2" stopIfTrue="1">
      <formula>C7=CléPersonnalisée2</formula>
    </cfRule>
    <cfRule type="expression" dxfId="623" priority="3" stopIfTrue="1">
      <formula>C7=CléPersonnalisée1</formula>
    </cfRule>
    <cfRule type="expression" dxfId="622" priority="4" stopIfTrue="1">
      <formula>C7=CléMaladie</formula>
    </cfRule>
    <cfRule type="expression" dxfId="621" priority="5" stopIfTrue="1">
      <formula>C7=CléPersonnel</formula>
    </cfRule>
    <cfRule type="expression" dxfId="620" priority="6" stopIfTrue="1">
      <formula>C7=CléCongé</formula>
    </cfRule>
  </conditionalFormatting>
  <conditionalFormatting sqref="AH7:AH11">
    <cfRule type="dataBar" priority="176">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sheetPr>
  <dimension ref="A1:AH12"/>
  <sheetViews>
    <sheetView showGridLines="0" zoomScaleNormal="100" workbookViewId="0">
      <selection activeCell="B7" sqref="B7"/>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57</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TEXT(WEEKDAY(DATE(AnnéeCalendrier,6,1),1),"jjj")</f>
        <v>lun</v>
      </c>
      <c r="D5" s="1" t="str">
        <f>TEXT(WEEKDAY(DATE(AnnéeCalendrier,6,2),1),"jjj")</f>
        <v>mar</v>
      </c>
      <c r="E5" s="1" t="str">
        <f>TEXT(WEEKDAY(DATE(AnnéeCalendrier,6,3),1),"jjj")</f>
        <v>mer</v>
      </c>
      <c r="F5" s="1" t="str">
        <f>TEXT(WEEKDAY(DATE(AnnéeCalendrier,6,4),1),"jjj")</f>
        <v>jeu</v>
      </c>
      <c r="G5" s="1" t="str">
        <f>TEXT(WEEKDAY(DATE(AnnéeCalendrier,6,5),1),"jjj")</f>
        <v>ven</v>
      </c>
      <c r="H5" s="1" t="str">
        <f>TEXT(WEEKDAY(DATE(AnnéeCalendrier,6,6),1),"jjj")</f>
        <v>sam</v>
      </c>
      <c r="I5" s="1" t="str">
        <f>TEXT(WEEKDAY(DATE(AnnéeCalendrier,6,7),1),"jjj")</f>
        <v>dim</v>
      </c>
      <c r="J5" s="1" t="str">
        <f>TEXT(WEEKDAY(DATE(AnnéeCalendrier,6,8),1),"jjj")</f>
        <v>lun</v>
      </c>
      <c r="K5" s="1" t="str">
        <f>TEXT(WEEKDAY(DATE(AnnéeCalendrier,6,9),1),"jjj")</f>
        <v>mar</v>
      </c>
      <c r="L5" s="1" t="str">
        <f>TEXT(WEEKDAY(DATE(AnnéeCalendrier,6,10),1),"jjj")</f>
        <v>mer</v>
      </c>
      <c r="M5" s="1" t="str">
        <f>TEXT(WEEKDAY(DATE(AnnéeCalendrier,6,11),1),"jjj")</f>
        <v>jeu</v>
      </c>
      <c r="N5" s="1" t="str">
        <f>TEXT(WEEKDAY(DATE(AnnéeCalendrier,6,12),1),"jjj")</f>
        <v>ven</v>
      </c>
      <c r="O5" s="1" t="str">
        <f>TEXT(WEEKDAY(DATE(AnnéeCalendrier,6,13),1),"jjj")</f>
        <v>sam</v>
      </c>
      <c r="P5" s="1" t="str">
        <f>TEXT(WEEKDAY(DATE(AnnéeCalendrier,6,14),1),"jjj")</f>
        <v>dim</v>
      </c>
      <c r="Q5" s="1" t="str">
        <f>TEXT(WEEKDAY(DATE(AnnéeCalendrier,6,15),1),"jjj")</f>
        <v>lun</v>
      </c>
      <c r="R5" s="1" t="str">
        <f>TEXT(WEEKDAY(DATE(AnnéeCalendrier,6,16),1),"jjj")</f>
        <v>mar</v>
      </c>
      <c r="S5" s="1" t="str">
        <f>TEXT(WEEKDAY(DATE(AnnéeCalendrier,6,17),1),"jjj")</f>
        <v>mer</v>
      </c>
      <c r="T5" s="1" t="str">
        <f>TEXT(WEEKDAY(DATE(AnnéeCalendrier,6,18),1),"jjj")</f>
        <v>jeu</v>
      </c>
      <c r="U5" s="1" t="str">
        <f>TEXT(WEEKDAY(DATE(AnnéeCalendrier,6,19),1),"jjj")</f>
        <v>ven</v>
      </c>
      <c r="V5" s="1" t="str">
        <f>TEXT(WEEKDAY(DATE(AnnéeCalendrier,6,20),1),"jjj")</f>
        <v>sam</v>
      </c>
      <c r="W5" s="1" t="str">
        <f>TEXT(WEEKDAY(DATE(AnnéeCalendrier,6,21),1),"jjj")</f>
        <v>dim</v>
      </c>
      <c r="X5" s="1" t="str">
        <f>TEXT(WEEKDAY(DATE(AnnéeCalendrier,6,22),1),"jjj")</f>
        <v>lun</v>
      </c>
      <c r="Y5" s="1" t="str">
        <f>TEXT(WEEKDAY(DATE(AnnéeCalendrier,6,23),1),"jjj")</f>
        <v>mar</v>
      </c>
      <c r="Z5" s="1" t="str">
        <f>TEXT(WEEKDAY(DATE(AnnéeCalendrier,6,24),1),"jjj")</f>
        <v>mer</v>
      </c>
      <c r="AA5" s="1" t="str">
        <f>TEXT(WEEKDAY(DATE(AnnéeCalendrier,6,25),1),"jjj")</f>
        <v>jeu</v>
      </c>
      <c r="AB5" s="1" t="str">
        <f>TEXT(WEEKDAY(DATE(AnnéeCalendrier,6,26),1),"jjj")</f>
        <v>ven</v>
      </c>
      <c r="AC5" s="1" t="str">
        <f>TEXT(WEEKDAY(DATE(AnnéeCalendrier,6,27),1),"jjj")</f>
        <v>sam</v>
      </c>
      <c r="AD5" s="1" t="str">
        <f>TEXT(WEEKDAY(DATE(AnnéeCalendrier,6,28),1),"jjj")</f>
        <v>dim</v>
      </c>
      <c r="AE5" s="1" t="str">
        <f>TEXT(WEEKDAY(DATE(AnnéeCalendrier,6,29),1),"jjj")</f>
        <v>lun</v>
      </c>
      <c r="AF5" s="1" t="str">
        <f>TEXT(WEEKDAY(DATE(AnnéeCalendrier,6,30),1),"jjj")</f>
        <v>mar</v>
      </c>
      <c r="AG5" s="1"/>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COUNTA(Juin[[#This Row],[1]:[30]])</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COUNTA(Juin[[#This Row],[1]:[30]])</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COUNTA(Juin[[#This Row],[1]:[30]])</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COUNTA(Juin[[#This Row],[1]:[30]])</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COUNTA(Juin[[#This Row],[1]:[30]])</f>
        <v>0</v>
      </c>
    </row>
    <row r="12" spans="2:34" ht="30" customHeight="1" x14ac:dyDescent="0.35">
      <c r="B12" s="20" t="str">
        <f>NomMois&amp;" Total"</f>
        <v>Juin Total</v>
      </c>
      <c r="C12" s="12">
        <f>SUBTOTAL(103,Juin[1])</f>
        <v>0</v>
      </c>
      <c r="D12" s="12">
        <f>SUBTOTAL(103,Juin[2])</f>
        <v>0</v>
      </c>
      <c r="E12" s="12">
        <f>SUBTOTAL(103,Juin[3])</f>
        <v>0</v>
      </c>
      <c r="F12" s="12">
        <f>SUBTOTAL(103,Juin[4])</f>
        <v>0</v>
      </c>
      <c r="G12" s="12">
        <f>SUBTOTAL(103,Juin[5])</f>
        <v>0</v>
      </c>
      <c r="H12" s="12">
        <f>SUBTOTAL(103,Juin[6])</f>
        <v>0</v>
      </c>
      <c r="I12" s="12">
        <f>SUBTOTAL(103,Juin[7])</f>
        <v>0</v>
      </c>
      <c r="J12" s="12">
        <f>SUBTOTAL(103,Juin[8])</f>
        <v>0</v>
      </c>
      <c r="K12" s="12">
        <f>SUBTOTAL(103,Juin[9])</f>
        <v>0</v>
      </c>
      <c r="L12" s="12">
        <f>SUBTOTAL(103,Juin[10])</f>
        <v>0</v>
      </c>
      <c r="M12" s="12">
        <f>SUBTOTAL(103,Juin[11])</f>
        <v>0</v>
      </c>
      <c r="N12" s="12">
        <f>SUBTOTAL(103,Juin[12])</f>
        <v>0</v>
      </c>
      <c r="O12" s="12">
        <f>SUBTOTAL(103,Juin[13])</f>
        <v>0</v>
      </c>
      <c r="P12" s="12">
        <f>SUBTOTAL(103,Juin[14])</f>
        <v>0</v>
      </c>
      <c r="Q12" s="12">
        <f>SUBTOTAL(103,Juin[15])</f>
        <v>0</v>
      </c>
      <c r="R12" s="12">
        <f>SUBTOTAL(103,Juin[16])</f>
        <v>0</v>
      </c>
      <c r="S12" s="12">
        <f>SUBTOTAL(103,Juin[17])</f>
        <v>0</v>
      </c>
      <c r="T12" s="12">
        <f>SUBTOTAL(103,Juin[18])</f>
        <v>0</v>
      </c>
      <c r="U12" s="12">
        <f>SUBTOTAL(103,Juin[19])</f>
        <v>0</v>
      </c>
      <c r="V12" s="12">
        <f>SUBTOTAL(103,Juin[20])</f>
        <v>0</v>
      </c>
      <c r="W12" s="12">
        <f>SUBTOTAL(103,Juin[21])</f>
        <v>0</v>
      </c>
      <c r="X12" s="12">
        <f>SUBTOTAL(103,Juin[22])</f>
        <v>0</v>
      </c>
      <c r="Y12" s="12">
        <f>SUBTOTAL(103,Juin[23])</f>
        <v>0</v>
      </c>
      <c r="Z12" s="12">
        <f>SUBTOTAL(103,Juin[24])</f>
        <v>0</v>
      </c>
      <c r="AA12" s="12">
        <f>SUBTOTAL(103,Juin[25])</f>
        <v>0</v>
      </c>
      <c r="AB12" s="12">
        <f>SUBTOTAL(103,Juin[26])</f>
        <v>0</v>
      </c>
      <c r="AC12" s="12">
        <f>SUBTOTAL(103,Juin[27])</f>
        <v>0</v>
      </c>
      <c r="AD12" s="12">
        <f>SUBTOTAL(103,Juin[28])</f>
        <v>0</v>
      </c>
      <c r="AE12" s="12">
        <f>SUBTOTAL(103,Juin[29])</f>
        <v>0</v>
      </c>
      <c r="AF12" s="12">
        <f>SUBTOTAL(103,Juin[30])</f>
        <v>0</v>
      </c>
      <c r="AG12" s="12">
        <f>SUBTOTAL(103,Juin[[ ]])</f>
        <v>0</v>
      </c>
      <c r="AH12" s="12">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50" priority="2" stopIfTrue="1">
      <formula>C7=CléPersonnalisée2</formula>
    </cfRule>
    <cfRule type="expression" dxfId="549" priority="3" stopIfTrue="1">
      <formula>C7=CléPersonnalisée1</formula>
    </cfRule>
    <cfRule type="expression" dxfId="548" priority="4" stopIfTrue="1">
      <formula>C7=CléMaladie</formula>
    </cfRule>
    <cfRule type="expression" dxfId="547" priority="5" stopIfTrue="1">
      <formula>C7=CléPersonnel</formula>
    </cfRule>
    <cfRule type="expression" dxfId="546"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AH12"/>
  <sheetViews>
    <sheetView showGridLines="0" zoomScaleNormal="100" workbookViewId="0">
      <selection activeCell="B7" sqref="B7:B1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58</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TEXT(WEEKDAY(DATE(AnnéeCalendrier,7,1),1),"jjj")</f>
        <v>mer</v>
      </c>
      <c r="D5" s="1" t="str">
        <f>TEXT(WEEKDAY(DATE(AnnéeCalendrier,7,2),1),"jjj")</f>
        <v>jeu</v>
      </c>
      <c r="E5" s="1" t="str">
        <f>TEXT(WEEKDAY(DATE(AnnéeCalendrier,7,3),1),"jjj")</f>
        <v>ven</v>
      </c>
      <c r="F5" s="1" t="str">
        <f>TEXT(WEEKDAY(DATE(AnnéeCalendrier,7,4),1),"jjj")</f>
        <v>sam</v>
      </c>
      <c r="G5" s="1" t="str">
        <f>TEXT(WEEKDAY(DATE(AnnéeCalendrier,7,5),1),"jjj")</f>
        <v>dim</v>
      </c>
      <c r="H5" s="1" t="str">
        <f>TEXT(WEEKDAY(DATE(AnnéeCalendrier,7,6),1),"jjj")</f>
        <v>lun</v>
      </c>
      <c r="I5" s="1" t="str">
        <f>TEXT(WEEKDAY(DATE(AnnéeCalendrier,7,7),1),"jjj")</f>
        <v>mar</v>
      </c>
      <c r="J5" s="1" t="str">
        <f>TEXT(WEEKDAY(DATE(AnnéeCalendrier,7,8),1),"jjj")</f>
        <v>mer</v>
      </c>
      <c r="K5" s="1" t="str">
        <f>TEXT(WEEKDAY(DATE(AnnéeCalendrier,7,9),1),"jjj")</f>
        <v>jeu</v>
      </c>
      <c r="L5" s="1" t="str">
        <f>TEXT(WEEKDAY(DATE(AnnéeCalendrier,7,10),1),"jjj")</f>
        <v>ven</v>
      </c>
      <c r="M5" s="1" t="str">
        <f>TEXT(WEEKDAY(DATE(AnnéeCalendrier,7,11),1),"jjj")</f>
        <v>sam</v>
      </c>
      <c r="N5" s="1" t="str">
        <f>TEXT(WEEKDAY(DATE(AnnéeCalendrier,7,12),1),"jjj")</f>
        <v>dim</v>
      </c>
      <c r="O5" s="1" t="str">
        <f>TEXT(WEEKDAY(DATE(AnnéeCalendrier,7,13),1),"jjj")</f>
        <v>lun</v>
      </c>
      <c r="P5" s="1" t="str">
        <f>TEXT(WEEKDAY(DATE(AnnéeCalendrier,7,14),1),"jjj")</f>
        <v>mar</v>
      </c>
      <c r="Q5" s="1" t="str">
        <f>TEXT(WEEKDAY(DATE(AnnéeCalendrier,7,15),1),"jjj")</f>
        <v>mer</v>
      </c>
      <c r="R5" s="1" t="str">
        <f>TEXT(WEEKDAY(DATE(AnnéeCalendrier,7,16),1),"jjj")</f>
        <v>jeu</v>
      </c>
      <c r="S5" s="1" t="str">
        <f>TEXT(WEEKDAY(DATE(AnnéeCalendrier,7,17),1),"jjj")</f>
        <v>ven</v>
      </c>
      <c r="T5" s="1" t="str">
        <f>TEXT(WEEKDAY(DATE(AnnéeCalendrier,7,18),1),"jjj")</f>
        <v>sam</v>
      </c>
      <c r="U5" s="1" t="str">
        <f>TEXT(WEEKDAY(DATE(AnnéeCalendrier,7,19),1),"jjj")</f>
        <v>dim</v>
      </c>
      <c r="V5" s="1" t="str">
        <f>TEXT(WEEKDAY(DATE(AnnéeCalendrier,7,20),1),"jjj")</f>
        <v>lun</v>
      </c>
      <c r="W5" s="1" t="str">
        <f>TEXT(WEEKDAY(DATE(AnnéeCalendrier,7,21),1),"jjj")</f>
        <v>mar</v>
      </c>
      <c r="X5" s="1" t="str">
        <f>TEXT(WEEKDAY(DATE(AnnéeCalendrier,7,22),1),"jjj")</f>
        <v>mer</v>
      </c>
      <c r="Y5" s="1" t="str">
        <f>TEXT(WEEKDAY(DATE(AnnéeCalendrier,7,23),1),"jjj")</f>
        <v>jeu</v>
      </c>
      <c r="Z5" s="1" t="str">
        <f>TEXT(WEEKDAY(DATE(AnnéeCalendrier,7,24),1),"jjj")</f>
        <v>ven</v>
      </c>
      <c r="AA5" s="1" t="str">
        <f>TEXT(WEEKDAY(DATE(AnnéeCalendrier,7,25),1),"jjj")</f>
        <v>sam</v>
      </c>
      <c r="AB5" s="1" t="str">
        <f>TEXT(WEEKDAY(DATE(AnnéeCalendrier,7,26),1),"jjj")</f>
        <v>dim</v>
      </c>
      <c r="AC5" s="1" t="str">
        <f>TEXT(WEEKDAY(DATE(AnnéeCalendrier,7,27),1),"jjj")</f>
        <v>lun</v>
      </c>
      <c r="AD5" s="1" t="str">
        <f>TEXT(WEEKDAY(DATE(AnnéeCalendrier,7,28),1),"jjj")</f>
        <v>mar</v>
      </c>
      <c r="AE5" s="1" t="str">
        <f>TEXT(WEEKDAY(DATE(AnnéeCalendrier,7,29),1),"jjj")</f>
        <v>mer</v>
      </c>
      <c r="AF5" s="1" t="str">
        <f>TEXT(WEEKDAY(DATE(AnnéeCalendrier,7,30),1),"jjj")</f>
        <v>jeu</v>
      </c>
      <c r="AG5" s="1" t="str">
        <f>TEXT(WEEKDAY(DATE(AnnéeCalendrier,7,31),1),"jjj")</f>
        <v>ven</v>
      </c>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COUNTA(Juillet[[#This Row],[1]:[31]])</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COUNTA(Juillet[[#This Row],[1]:[31]])</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COUNTA(Juillet[[#This Row],[1]:[31]])</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COUNTA(Juillet[[#This Row],[1]:[31]])</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COUNTA(Juillet[[#This Row],[1]:[31]])</f>
        <v>0</v>
      </c>
    </row>
    <row r="12" spans="2:34" ht="30" customHeight="1" x14ac:dyDescent="0.35">
      <c r="B12" s="20" t="str">
        <f>NomMois&amp;" Total"</f>
        <v>Juillet Total</v>
      </c>
      <c r="C12" s="12">
        <f>SUBTOTAL(103,Juillet[1])</f>
        <v>0</v>
      </c>
      <c r="D12" s="12">
        <f>SUBTOTAL(103,Juillet[2])</f>
        <v>0</v>
      </c>
      <c r="E12" s="12">
        <f>SUBTOTAL(103,Juillet[3])</f>
        <v>0</v>
      </c>
      <c r="F12" s="12">
        <f>SUBTOTAL(103,Juillet[4])</f>
        <v>0</v>
      </c>
      <c r="G12" s="12">
        <f>SUBTOTAL(103,Juillet[5])</f>
        <v>0</v>
      </c>
      <c r="H12" s="12">
        <f>SUBTOTAL(103,Juillet[6])</f>
        <v>0</v>
      </c>
      <c r="I12" s="12">
        <f>SUBTOTAL(103,Juillet[7])</f>
        <v>0</v>
      </c>
      <c r="J12" s="12">
        <f>SUBTOTAL(103,Juillet[8])</f>
        <v>0</v>
      </c>
      <c r="K12" s="12">
        <f>SUBTOTAL(103,Juillet[9])</f>
        <v>0</v>
      </c>
      <c r="L12" s="12">
        <f>SUBTOTAL(103,Juillet[10])</f>
        <v>0</v>
      </c>
      <c r="M12" s="12">
        <f>SUBTOTAL(103,Juillet[11])</f>
        <v>0</v>
      </c>
      <c r="N12" s="12">
        <f>SUBTOTAL(103,Juillet[12])</f>
        <v>0</v>
      </c>
      <c r="O12" s="12">
        <f>SUBTOTAL(103,Juillet[13])</f>
        <v>0</v>
      </c>
      <c r="P12" s="12">
        <f>SUBTOTAL(103,Juillet[14])</f>
        <v>0</v>
      </c>
      <c r="Q12" s="12">
        <f>SUBTOTAL(103,Juillet[15])</f>
        <v>0</v>
      </c>
      <c r="R12" s="12">
        <f>SUBTOTAL(103,Juillet[16])</f>
        <v>0</v>
      </c>
      <c r="S12" s="12">
        <f>SUBTOTAL(103,Juillet[17])</f>
        <v>0</v>
      </c>
      <c r="T12" s="12">
        <f>SUBTOTAL(103,Juillet[18])</f>
        <v>0</v>
      </c>
      <c r="U12" s="12">
        <f>SUBTOTAL(103,Juillet[19])</f>
        <v>0</v>
      </c>
      <c r="V12" s="12">
        <f>SUBTOTAL(103,Juillet[20])</f>
        <v>0</v>
      </c>
      <c r="W12" s="12">
        <f>SUBTOTAL(103,Juillet[21])</f>
        <v>0</v>
      </c>
      <c r="X12" s="12">
        <f>SUBTOTAL(103,Juillet[22])</f>
        <v>0</v>
      </c>
      <c r="Y12" s="12">
        <f>SUBTOTAL(103,Juillet[23])</f>
        <v>0</v>
      </c>
      <c r="Z12" s="12">
        <f>SUBTOTAL(103,Juillet[24])</f>
        <v>0</v>
      </c>
      <c r="AA12" s="12">
        <f>SUBTOTAL(103,Juillet[25])</f>
        <v>0</v>
      </c>
      <c r="AB12" s="12">
        <f>SUBTOTAL(103,Juillet[26])</f>
        <v>0</v>
      </c>
      <c r="AC12" s="12">
        <f>SUBTOTAL(103,Juillet[27])</f>
        <v>0</v>
      </c>
      <c r="AD12" s="12">
        <f>SUBTOTAL(103,Juillet[28])</f>
        <v>0</v>
      </c>
      <c r="AE12" s="12">
        <f>SUBTOTAL(103,Juillet[29])</f>
        <v>0</v>
      </c>
      <c r="AF12" s="12">
        <f>SUBTOTAL(103,Juillet[30])</f>
        <v>0</v>
      </c>
      <c r="AG12" s="12">
        <f>SUBTOTAL(103,Juillet[31])</f>
        <v>0</v>
      </c>
      <c r="AH12" s="12">
        <f>SUBTOTAL(109,Juillet[Total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76" priority="2" stopIfTrue="1">
      <formula>C7=CléPersonnalisée2</formula>
    </cfRule>
    <cfRule type="expression" dxfId="475" priority="3" stopIfTrue="1">
      <formula>C7=CléPersonnalisée1</formula>
    </cfRule>
    <cfRule type="expression" dxfId="474" priority="4" stopIfTrue="1">
      <formula>C7=CléMaladie</formula>
    </cfRule>
    <cfRule type="expression" dxfId="473" priority="5" stopIfTrue="1">
      <formula>C7=CléPersonnel</formula>
    </cfRule>
    <cfRule type="expression" dxfId="472"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H12"/>
  <sheetViews>
    <sheetView showGridLines="0" zoomScaleNormal="100" workbookViewId="0">
      <selection activeCell="B11" sqref="B1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59</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TEXT(WEEKDAY(DATE(AnnéeCalendrier,8,1),1),"jjj")</f>
        <v>sam</v>
      </c>
      <c r="D5" s="1" t="str">
        <f>TEXT(WEEKDAY(DATE(AnnéeCalendrier,8,2),1),"jjj")</f>
        <v>dim</v>
      </c>
      <c r="E5" s="1" t="str">
        <f>TEXT(WEEKDAY(DATE(AnnéeCalendrier,8,3),1),"jjj")</f>
        <v>lun</v>
      </c>
      <c r="F5" s="1" t="str">
        <f>TEXT(WEEKDAY(DATE(AnnéeCalendrier,8,4),1),"jjj")</f>
        <v>mar</v>
      </c>
      <c r="G5" s="1" t="str">
        <f>TEXT(WEEKDAY(DATE(AnnéeCalendrier,8,5),1),"jjj")</f>
        <v>mer</v>
      </c>
      <c r="H5" s="1" t="str">
        <f>TEXT(WEEKDAY(DATE(AnnéeCalendrier,8,6),1),"jjj")</f>
        <v>jeu</v>
      </c>
      <c r="I5" s="1" t="str">
        <f>TEXT(WEEKDAY(DATE(AnnéeCalendrier,8,7),1),"jjj")</f>
        <v>ven</v>
      </c>
      <c r="J5" s="1" t="str">
        <f>TEXT(WEEKDAY(DATE(AnnéeCalendrier,8,8),1),"jjj")</f>
        <v>sam</v>
      </c>
      <c r="K5" s="1" t="str">
        <f>TEXT(WEEKDAY(DATE(AnnéeCalendrier,8,9),1),"jjj")</f>
        <v>dim</v>
      </c>
      <c r="L5" s="1" t="str">
        <f>TEXT(WEEKDAY(DATE(AnnéeCalendrier,8,10),1),"jjj")</f>
        <v>lun</v>
      </c>
      <c r="M5" s="1" t="str">
        <f>TEXT(WEEKDAY(DATE(AnnéeCalendrier,8,11),1),"jjj")</f>
        <v>mar</v>
      </c>
      <c r="N5" s="1" t="str">
        <f>TEXT(WEEKDAY(DATE(AnnéeCalendrier,8,12),1),"jjj")</f>
        <v>mer</v>
      </c>
      <c r="O5" s="1" t="str">
        <f>TEXT(WEEKDAY(DATE(AnnéeCalendrier,8,13),1),"jjj")</f>
        <v>jeu</v>
      </c>
      <c r="P5" s="1" t="str">
        <f>TEXT(WEEKDAY(DATE(AnnéeCalendrier,8,14),1),"jjj")</f>
        <v>ven</v>
      </c>
      <c r="Q5" s="1" t="str">
        <f>TEXT(WEEKDAY(DATE(AnnéeCalendrier,8,15),1),"jjj")</f>
        <v>sam</v>
      </c>
      <c r="R5" s="1" t="str">
        <f>TEXT(WEEKDAY(DATE(AnnéeCalendrier,8,16),1),"jjj")</f>
        <v>dim</v>
      </c>
      <c r="S5" s="1" t="str">
        <f>TEXT(WEEKDAY(DATE(AnnéeCalendrier,8,17),1),"jjj")</f>
        <v>lun</v>
      </c>
      <c r="T5" s="1" t="str">
        <f>TEXT(WEEKDAY(DATE(AnnéeCalendrier,8,18),1),"jjj")</f>
        <v>mar</v>
      </c>
      <c r="U5" s="1" t="str">
        <f>TEXT(WEEKDAY(DATE(AnnéeCalendrier,8,19),1),"jjj")</f>
        <v>mer</v>
      </c>
      <c r="V5" s="1" t="str">
        <f>TEXT(WEEKDAY(DATE(AnnéeCalendrier,8,20),1),"jjj")</f>
        <v>jeu</v>
      </c>
      <c r="W5" s="1" t="str">
        <f>TEXT(WEEKDAY(DATE(AnnéeCalendrier,8,21),1),"jjj")</f>
        <v>ven</v>
      </c>
      <c r="X5" s="1" t="str">
        <f>TEXT(WEEKDAY(DATE(AnnéeCalendrier,8,22),1),"jjj")</f>
        <v>sam</v>
      </c>
      <c r="Y5" s="1" t="str">
        <f>TEXT(WEEKDAY(DATE(AnnéeCalendrier,8,23),1),"jjj")</f>
        <v>dim</v>
      </c>
      <c r="Z5" s="1" t="str">
        <f>TEXT(WEEKDAY(DATE(AnnéeCalendrier,8,24),1),"jjj")</f>
        <v>lun</v>
      </c>
      <c r="AA5" s="1" t="str">
        <f>TEXT(WEEKDAY(DATE(AnnéeCalendrier,8,25),1),"jjj")</f>
        <v>mar</v>
      </c>
      <c r="AB5" s="1" t="str">
        <f>TEXT(WEEKDAY(DATE(AnnéeCalendrier,8,26),1),"jjj")</f>
        <v>mer</v>
      </c>
      <c r="AC5" s="1" t="str">
        <f>TEXT(WEEKDAY(DATE(AnnéeCalendrier,8,27),1),"jjj")</f>
        <v>jeu</v>
      </c>
      <c r="AD5" s="1" t="str">
        <f>TEXT(WEEKDAY(DATE(AnnéeCalendrier,8,28),1),"jjj")</f>
        <v>ven</v>
      </c>
      <c r="AE5" s="1" t="str">
        <f>TEXT(WEEKDAY(DATE(AnnéeCalendrier,8,29),1),"jjj")</f>
        <v>sam</v>
      </c>
      <c r="AF5" s="1" t="str">
        <f>TEXT(WEEKDAY(DATE(AnnéeCalendrier,8,30),1),"jjj")</f>
        <v>dim</v>
      </c>
      <c r="AG5" s="1" t="str">
        <f>TEXT(WEEKDAY(DATE(AnnéeCalendrier,8,31),1),"jjj")</f>
        <v>lun</v>
      </c>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COUNTA(Août[[#This Row],[1]:[31]])</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COUNTA(Août[[#This Row],[1]:[31]])</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COUNTA(Août[[#This Row],[1]:[31]])</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COUNTA(Août[[#This Row],[1]:[31]])</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COUNTA(Août[[#This Row],[1]:[31]])</f>
        <v>0</v>
      </c>
    </row>
    <row r="12" spans="2:34" ht="30" customHeight="1" x14ac:dyDescent="0.35">
      <c r="B12" s="20" t="str">
        <f>NomMois&amp;" Total"</f>
        <v>Août Total</v>
      </c>
      <c r="C12" s="12">
        <f>SUBTOTAL(103,Août[1])</f>
        <v>0</v>
      </c>
      <c r="D12" s="12">
        <f>SUBTOTAL(103,Août[2])</f>
        <v>0</v>
      </c>
      <c r="E12" s="12">
        <f>SUBTOTAL(103,Août[3])</f>
        <v>0</v>
      </c>
      <c r="F12" s="12">
        <f>SUBTOTAL(103,Août[4])</f>
        <v>0</v>
      </c>
      <c r="G12" s="12">
        <f>SUBTOTAL(103,Août[5])</f>
        <v>0</v>
      </c>
      <c r="H12" s="12">
        <f>SUBTOTAL(103,Août[6])</f>
        <v>0</v>
      </c>
      <c r="I12" s="12">
        <f>SUBTOTAL(103,Août[7])</f>
        <v>0</v>
      </c>
      <c r="J12" s="12">
        <f>SUBTOTAL(103,Août[8])</f>
        <v>0</v>
      </c>
      <c r="K12" s="12">
        <f>SUBTOTAL(103,Août[9])</f>
        <v>0</v>
      </c>
      <c r="L12" s="12">
        <f>SUBTOTAL(103,Août[10])</f>
        <v>0</v>
      </c>
      <c r="M12" s="12">
        <f>SUBTOTAL(103,Août[11])</f>
        <v>0</v>
      </c>
      <c r="N12" s="12">
        <f>SUBTOTAL(103,Août[12])</f>
        <v>0</v>
      </c>
      <c r="O12" s="12">
        <f>SUBTOTAL(103,Août[13])</f>
        <v>0</v>
      </c>
      <c r="P12" s="12">
        <f>SUBTOTAL(103,Août[14])</f>
        <v>0</v>
      </c>
      <c r="Q12" s="12">
        <f>SUBTOTAL(103,Août[15])</f>
        <v>0</v>
      </c>
      <c r="R12" s="12">
        <f>SUBTOTAL(103,Août[16])</f>
        <v>0</v>
      </c>
      <c r="S12" s="12">
        <f>SUBTOTAL(103,Août[17])</f>
        <v>0</v>
      </c>
      <c r="T12" s="12">
        <f>SUBTOTAL(103,Août[18])</f>
        <v>0</v>
      </c>
      <c r="U12" s="12">
        <f>SUBTOTAL(103,Août[19])</f>
        <v>0</v>
      </c>
      <c r="V12" s="12">
        <f>SUBTOTAL(103,Août[20])</f>
        <v>0</v>
      </c>
      <c r="W12" s="12">
        <f>SUBTOTAL(103,Août[21])</f>
        <v>0</v>
      </c>
      <c r="X12" s="12">
        <f>SUBTOTAL(103,Août[22])</f>
        <v>0</v>
      </c>
      <c r="Y12" s="12">
        <f>SUBTOTAL(103,Août[23])</f>
        <v>0</v>
      </c>
      <c r="Z12" s="12">
        <f>SUBTOTAL(103,Août[24])</f>
        <v>0</v>
      </c>
      <c r="AA12" s="12">
        <f>SUBTOTAL(103,Août[25])</f>
        <v>0</v>
      </c>
      <c r="AB12" s="12">
        <f>SUBTOTAL(103,Août[26])</f>
        <v>0</v>
      </c>
      <c r="AC12" s="12">
        <f>SUBTOTAL(103,Août[27])</f>
        <v>0</v>
      </c>
      <c r="AD12" s="12">
        <f>SUBTOTAL(103,Août[28])</f>
        <v>0</v>
      </c>
      <c r="AE12" s="12">
        <f>SUBTOTAL(103,Août[29])</f>
        <v>0</v>
      </c>
      <c r="AF12" s="12">
        <f>SUBTOTAL(103,Août[30])</f>
        <v>0</v>
      </c>
      <c r="AG12" s="12">
        <f>SUBTOTAL(103,Août[31])</f>
        <v>0</v>
      </c>
      <c r="AH12" s="12">
        <f>SUBTOTAL(109,Août[Total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02" priority="2" stopIfTrue="1">
      <formula>C7=CléPersonnalisée2</formula>
    </cfRule>
    <cfRule type="expression" dxfId="401" priority="3" stopIfTrue="1">
      <formula>C7=CléPersonnalisée1</formula>
    </cfRule>
    <cfRule type="expression" dxfId="400" priority="4" stopIfTrue="1">
      <formula>C7=CléMaladie</formula>
    </cfRule>
    <cfRule type="expression" dxfId="399" priority="5" stopIfTrue="1">
      <formula>C7=CléPersonnel</formula>
    </cfRule>
    <cfRule type="expression" dxfId="398"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H12"/>
  <sheetViews>
    <sheetView showGridLines="0" zoomScaleNormal="100" workbookViewId="0">
      <selection activeCell="B11" sqref="B1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60</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TEXT(WEEKDAY(DATE(AnnéeCalendrier,9,1),1),"jjj")</f>
        <v>mar</v>
      </c>
      <c r="D5" s="1" t="str">
        <f>TEXT(WEEKDAY(DATE(AnnéeCalendrier,9,2),1),"jjj")</f>
        <v>mer</v>
      </c>
      <c r="E5" s="1" t="str">
        <f>TEXT(WEEKDAY(DATE(AnnéeCalendrier,9,3),1),"jjj")</f>
        <v>jeu</v>
      </c>
      <c r="F5" s="1" t="str">
        <f>TEXT(WEEKDAY(DATE(AnnéeCalendrier,9,4),1),"jjj")</f>
        <v>ven</v>
      </c>
      <c r="G5" s="1" t="str">
        <f>TEXT(WEEKDAY(DATE(AnnéeCalendrier,9,5),1),"jjj")</f>
        <v>sam</v>
      </c>
      <c r="H5" s="1" t="str">
        <f>TEXT(WEEKDAY(DATE(AnnéeCalendrier,9,6),1),"jjj")</f>
        <v>dim</v>
      </c>
      <c r="I5" s="1" t="str">
        <f>TEXT(WEEKDAY(DATE(AnnéeCalendrier,9,7),1),"jjj")</f>
        <v>lun</v>
      </c>
      <c r="J5" s="1" t="str">
        <f>TEXT(WEEKDAY(DATE(AnnéeCalendrier,9,8),1),"jjj")</f>
        <v>mar</v>
      </c>
      <c r="K5" s="1" t="str">
        <f>TEXT(WEEKDAY(DATE(AnnéeCalendrier,9,9),1),"jjj")</f>
        <v>mer</v>
      </c>
      <c r="L5" s="1" t="str">
        <f>TEXT(WEEKDAY(DATE(AnnéeCalendrier,9,10),1),"jjj")</f>
        <v>jeu</v>
      </c>
      <c r="M5" s="1" t="str">
        <f>TEXT(WEEKDAY(DATE(AnnéeCalendrier,9,11),1),"jjj")</f>
        <v>ven</v>
      </c>
      <c r="N5" s="1" t="str">
        <f>TEXT(WEEKDAY(DATE(AnnéeCalendrier,9,12),1),"jjj")</f>
        <v>sam</v>
      </c>
      <c r="O5" s="1" t="str">
        <f>TEXT(WEEKDAY(DATE(AnnéeCalendrier,9,13),1),"jjj")</f>
        <v>dim</v>
      </c>
      <c r="P5" s="1" t="str">
        <f>TEXT(WEEKDAY(DATE(AnnéeCalendrier,9,14),1),"jjj")</f>
        <v>lun</v>
      </c>
      <c r="Q5" s="1" t="str">
        <f>TEXT(WEEKDAY(DATE(AnnéeCalendrier,9,15),1),"jjj")</f>
        <v>mar</v>
      </c>
      <c r="R5" s="1" t="str">
        <f>TEXT(WEEKDAY(DATE(AnnéeCalendrier,9,16),1),"jjj")</f>
        <v>mer</v>
      </c>
      <c r="S5" s="1" t="str">
        <f>TEXT(WEEKDAY(DATE(AnnéeCalendrier,9,17),1),"jjj")</f>
        <v>jeu</v>
      </c>
      <c r="T5" s="1" t="str">
        <f>TEXT(WEEKDAY(DATE(AnnéeCalendrier,9,18),1),"jjj")</f>
        <v>ven</v>
      </c>
      <c r="U5" s="1" t="str">
        <f>TEXT(WEEKDAY(DATE(AnnéeCalendrier,9,19),1),"jjj")</f>
        <v>sam</v>
      </c>
      <c r="V5" s="1" t="str">
        <f>TEXT(WEEKDAY(DATE(AnnéeCalendrier,9,20),1),"jjj")</f>
        <v>dim</v>
      </c>
      <c r="W5" s="1" t="str">
        <f>TEXT(WEEKDAY(DATE(AnnéeCalendrier,9,21),1),"jjj")</f>
        <v>lun</v>
      </c>
      <c r="X5" s="1" t="str">
        <f>TEXT(WEEKDAY(DATE(AnnéeCalendrier,9,22),1),"jjj")</f>
        <v>mar</v>
      </c>
      <c r="Y5" s="1" t="str">
        <f>TEXT(WEEKDAY(DATE(AnnéeCalendrier,9,23),1),"jjj")</f>
        <v>mer</v>
      </c>
      <c r="Z5" s="1" t="str">
        <f>TEXT(WEEKDAY(DATE(AnnéeCalendrier,9,24),1),"jjj")</f>
        <v>jeu</v>
      </c>
      <c r="AA5" s="1" t="str">
        <f>TEXT(WEEKDAY(DATE(AnnéeCalendrier,9,25),1),"jjj")</f>
        <v>ven</v>
      </c>
      <c r="AB5" s="1" t="str">
        <f>TEXT(WEEKDAY(DATE(AnnéeCalendrier,9,26),1),"jjj")</f>
        <v>sam</v>
      </c>
      <c r="AC5" s="1" t="str">
        <f>TEXT(WEEKDAY(DATE(AnnéeCalendrier,9,27),1),"jjj")</f>
        <v>dim</v>
      </c>
      <c r="AD5" s="1" t="str">
        <f>TEXT(WEEKDAY(DATE(AnnéeCalendrier,9,28),1),"jjj")</f>
        <v>lun</v>
      </c>
      <c r="AE5" s="1" t="str">
        <f>TEXT(WEEKDAY(DATE(AnnéeCalendrier,9,29),1),"jjj")</f>
        <v>mar</v>
      </c>
      <c r="AF5" s="1" t="str">
        <f>TEXT(WEEKDAY(DATE(AnnéeCalendrier,9,30),1),"jjj")</f>
        <v>mer</v>
      </c>
      <c r="AG5" s="1"/>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COUNTA(Septembre[[#This Row],[1]:[30]])</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COUNTA(Septembre[[#This Row],[1]:[30]])</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COUNTA(Septembre[[#This Row],[1]:[30]])</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COUNTA(Septembre[[#This Row],[1]:[30]])</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COUNTA(Septembre[[#This Row],[1]:[30]])</f>
        <v>0</v>
      </c>
    </row>
    <row r="12" spans="2:34" ht="30" customHeight="1" x14ac:dyDescent="0.35">
      <c r="B12" s="20" t="str">
        <f>NomMois&amp;" Total"</f>
        <v>Septembre Total</v>
      </c>
      <c r="C12" s="12">
        <f>SUBTOTAL(103,Septembre[1])</f>
        <v>0</v>
      </c>
      <c r="D12" s="12">
        <f>SUBTOTAL(103,Septembre[2])</f>
        <v>0</v>
      </c>
      <c r="E12" s="12">
        <f>SUBTOTAL(103,Septembre[3])</f>
        <v>0</v>
      </c>
      <c r="F12" s="12">
        <f>SUBTOTAL(103,Septembre[4])</f>
        <v>0</v>
      </c>
      <c r="G12" s="12">
        <f>SUBTOTAL(103,Septembre[5])</f>
        <v>0</v>
      </c>
      <c r="H12" s="12">
        <f>SUBTOTAL(103,Septembre[6])</f>
        <v>0</v>
      </c>
      <c r="I12" s="12">
        <f>SUBTOTAL(103,Septembre[7])</f>
        <v>0</v>
      </c>
      <c r="J12" s="12">
        <f>SUBTOTAL(103,Septembre[8])</f>
        <v>0</v>
      </c>
      <c r="K12" s="12">
        <f>SUBTOTAL(103,Septembre[9])</f>
        <v>0</v>
      </c>
      <c r="L12" s="12">
        <f>SUBTOTAL(103,Septembre[10])</f>
        <v>0</v>
      </c>
      <c r="M12" s="12">
        <f>SUBTOTAL(103,Septembre[11])</f>
        <v>0</v>
      </c>
      <c r="N12" s="12">
        <f>SUBTOTAL(103,Septembre[12])</f>
        <v>0</v>
      </c>
      <c r="O12" s="12">
        <f>SUBTOTAL(103,Septembre[13])</f>
        <v>0</v>
      </c>
      <c r="P12" s="12">
        <f>SUBTOTAL(103,Septembre[14])</f>
        <v>0</v>
      </c>
      <c r="Q12" s="12">
        <f>SUBTOTAL(103,Septembre[15])</f>
        <v>0</v>
      </c>
      <c r="R12" s="12">
        <f>SUBTOTAL(103,Septembre[16])</f>
        <v>0</v>
      </c>
      <c r="S12" s="12">
        <f>SUBTOTAL(103,Septembre[17])</f>
        <v>0</v>
      </c>
      <c r="T12" s="12">
        <f>SUBTOTAL(103,Septembre[18])</f>
        <v>0</v>
      </c>
      <c r="U12" s="12">
        <f>SUBTOTAL(103,Septembre[19])</f>
        <v>0</v>
      </c>
      <c r="V12" s="12">
        <f>SUBTOTAL(103,Septembre[20])</f>
        <v>0</v>
      </c>
      <c r="W12" s="12">
        <f>SUBTOTAL(103,Septembre[21])</f>
        <v>0</v>
      </c>
      <c r="X12" s="12">
        <f>SUBTOTAL(103,Septembre[22])</f>
        <v>0</v>
      </c>
      <c r="Y12" s="12">
        <f>SUBTOTAL(103,Septembre[23])</f>
        <v>0</v>
      </c>
      <c r="Z12" s="12">
        <f>SUBTOTAL(103,Septembre[24])</f>
        <v>0</v>
      </c>
      <c r="AA12" s="12">
        <f>SUBTOTAL(103,Septembre[25])</f>
        <v>0</v>
      </c>
      <c r="AB12" s="12">
        <f>SUBTOTAL(103,Septembre[26])</f>
        <v>0</v>
      </c>
      <c r="AC12" s="12">
        <f>SUBTOTAL(103,Septembre[27])</f>
        <v>0</v>
      </c>
      <c r="AD12" s="12">
        <f>SUBTOTAL(103,Septembre[28])</f>
        <v>0</v>
      </c>
      <c r="AE12" s="12">
        <f>SUBTOTAL(103,Septembre[29])</f>
        <v>0</v>
      </c>
      <c r="AF12" s="12">
        <f>SUBTOTAL(103,Septembre[30])</f>
        <v>0</v>
      </c>
      <c r="AG12" s="12">
        <f>SUBTOTAL(103,Septembre[[ ]])</f>
        <v>0</v>
      </c>
      <c r="AH12" s="12">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28" priority="2" stopIfTrue="1">
      <formula>C7=CléPersonnalisée2</formula>
    </cfRule>
    <cfRule type="expression" dxfId="327" priority="3" stopIfTrue="1">
      <formula>C7=CléPersonnalisée1</formula>
    </cfRule>
    <cfRule type="expression" dxfId="326" priority="4" stopIfTrue="1">
      <formula>C7=CléMaladie</formula>
    </cfRule>
    <cfRule type="expression" dxfId="325" priority="5" stopIfTrue="1">
      <formula>C7=CléPersonnel</formula>
    </cfRule>
    <cfRule type="expression" dxfId="324"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election activeCell="B11" sqref="B1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61</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TEXT(WEEKDAY(DATE(AnnéeCalendrier,10,1),1),"jjj")</f>
        <v>jeu</v>
      </c>
      <c r="D5" s="1" t="str">
        <f>TEXT(WEEKDAY(DATE(AnnéeCalendrier,10,2),1),"jjj")</f>
        <v>ven</v>
      </c>
      <c r="E5" s="1" t="str">
        <f>TEXT(WEEKDAY(DATE(AnnéeCalendrier,10,3),1),"jjj")</f>
        <v>sam</v>
      </c>
      <c r="F5" s="1" t="str">
        <f>TEXT(WEEKDAY(DATE(AnnéeCalendrier,10,4),1),"jjj")</f>
        <v>dim</v>
      </c>
      <c r="G5" s="1" t="str">
        <f>TEXT(WEEKDAY(DATE(AnnéeCalendrier,10,5),1),"jjj")</f>
        <v>lun</v>
      </c>
      <c r="H5" s="1" t="str">
        <f>TEXT(WEEKDAY(DATE(AnnéeCalendrier,10,6),1),"jjj")</f>
        <v>mar</v>
      </c>
      <c r="I5" s="1" t="str">
        <f>TEXT(WEEKDAY(DATE(AnnéeCalendrier,10,7),1),"jjj")</f>
        <v>mer</v>
      </c>
      <c r="J5" s="1" t="str">
        <f>TEXT(WEEKDAY(DATE(AnnéeCalendrier,10,8),1),"jjj")</f>
        <v>jeu</v>
      </c>
      <c r="K5" s="1" t="str">
        <f>TEXT(WEEKDAY(DATE(AnnéeCalendrier,10,9),1),"jjj")</f>
        <v>ven</v>
      </c>
      <c r="L5" s="1" t="str">
        <f>TEXT(WEEKDAY(DATE(AnnéeCalendrier,10,10),1),"jjj")</f>
        <v>sam</v>
      </c>
      <c r="M5" s="1" t="str">
        <f>TEXT(WEEKDAY(DATE(AnnéeCalendrier,10,11),1),"jjj")</f>
        <v>dim</v>
      </c>
      <c r="N5" s="1" t="str">
        <f>TEXT(WEEKDAY(DATE(AnnéeCalendrier,10,12),1),"jjj")</f>
        <v>lun</v>
      </c>
      <c r="O5" s="1" t="str">
        <f>TEXT(WEEKDAY(DATE(AnnéeCalendrier,10,13),1),"jjj")</f>
        <v>mar</v>
      </c>
      <c r="P5" s="1" t="str">
        <f>TEXT(WEEKDAY(DATE(AnnéeCalendrier,10,14),1),"jjj")</f>
        <v>mer</v>
      </c>
      <c r="Q5" s="1" t="str">
        <f>TEXT(WEEKDAY(DATE(AnnéeCalendrier,10,15),1),"jjj")</f>
        <v>jeu</v>
      </c>
      <c r="R5" s="1" t="str">
        <f>TEXT(WEEKDAY(DATE(AnnéeCalendrier,10,16),1),"jjj")</f>
        <v>ven</v>
      </c>
      <c r="S5" s="1" t="str">
        <f>TEXT(WEEKDAY(DATE(AnnéeCalendrier,10,17),1),"jjj")</f>
        <v>sam</v>
      </c>
      <c r="T5" s="1" t="str">
        <f>TEXT(WEEKDAY(DATE(AnnéeCalendrier,10,18),1),"jjj")</f>
        <v>dim</v>
      </c>
      <c r="U5" s="1" t="str">
        <f>TEXT(WEEKDAY(DATE(AnnéeCalendrier,10,19),1),"jjj")</f>
        <v>lun</v>
      </c>
      <c r="V5" s="1" t="str">
        <f>TEXT(WEEKDAY(DATE(AnnéeCalendrier,10,20),1),"jjj")</f>
        <v>mar</v>
      </c>
      <c r="W5" s="1" t="str">
        <f>TEXT(WEEKDAY(DATE(AnnéeCalendrier,10,21),1),"jjj")</f>
        <v>mer</v>
      </c>
      <c r="X5" s="1" t="str">
        <f>TEXT(WEEKDAY(DATE(AnnéeCalendrier,10,22),1),"jjj")</f>
        <v>jeu</v>
      </c>
      <c r="Y5" s="1" t="str">
        <f>TEXT(WEEKDAY(DATE(AnnéeCalendrier,10,23),1),"jjj")</f>
        <v>ven</v>
      </c>
      <c r="Z5" s="1" t="str">
        <f>TEXT(WEEKDAY(DATE(AnnéeCalendrier,10,24),1),"jjj")</f>
        <v>sam</v>
      </c>
      <c r="AA5" s="1" t="str">
        <f>TEXT(WEEKDAY(DATE(AnnéeCalendrier,10,25),1),"jjj")</f>
        <v>dim</v>
      </c>
      <c r="AB5" s="1" t="str">
        <f>TEXT(WEEKDAY(DATE(AnnéeCalendrier,10,26),1),"jjj")</f>
        <v>lun</v>
      </c>
      <c r="AC5" s="1" t="str">
        <f>TEXT(WEEKDAY(DATE(AnnéeCalendrier,10,27),1),"jjj")</f>
        <v>mar</v>
      </c>
      <c r="AD5" s="1" t="str">
        <f>TEXT(WEEKDAY(DATE(AnnéeCalendrier,10,28),1),"jjj")</f>
        <v>mer</v>
      </c>
      <c r="AE5" s="1" t="str">
        <f>TEXT(WEEKDAY(DATE(AnnéeCalendrier,10,29),1),"jjj")</f>
        <v>jeu</v>
      </c>
      <c r="AF5" s="1" t="str">
        <f>TEXT(WEEKDAY(DATE(AnnéeCalendrier,10,30),1),"jjj")</f>
        <v>ven</v>
      </c>
      <c r="AG5" s="1" t="str">
        <f>TEXT(WEEKDAY(DATE(AnnéeCalendrier,10,31),1),"jjj")</f>
        <v>sam</v>
      </c>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COUNTA(Octobre[[#This Row],[1]:[31]])</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COUNTA(Octobre[[#This Row],[1]:[31]])</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COUNTA(Octobre[[#This Row],[1]:[31]])</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COUNTA(Octobre[[#This Row],[1]:[31]])</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COUNTA(Octobre[[#This Row],[1]:[31]])</f>
        <v>0</v>
      </c>
    </row>
    <row r="12" spans="2:34" ht="30" customHeight="1" x14ac:dyDescent="0.35">
      <c r="B12" s="20" t="str">
        <f>NomMois&amp;" Total"</f>
        <v>Octobre Total</v>
      </c>
      <c r="C12" s="12">
        <f>SUBTOTAL(103,Octobre[1])</f>
        <v>0</v>
      </c>
      <c r="D12" s="12">
        <f>SUBTOTAL(103,Octobre[2])</f>
        <v>0</v>
      </c>
      <c r="E12" s="12">
        <f>SUBTOTAL(103,Octobre[3])</f>
        <v>0</v>
      </c>
      <c r="F12" s="12">
        <f>SUBTOTAL(103,Octobre[4])</f>
        <v>0</v>
      </c>
      <c r="G12" s="12">
        <f>SUBTOTAL(103,Octobre[5])</f>
        <v>0</v>
      </c>
      <c r="H12" s="12">
        <f>SUBTOTAL(103,Octobre[6])</f>
        <v>0</v>
      </c>
      <c r="I12" s="12">
        <f>SUBTOTAL(103,Octobre[7])</f>
        <v>0</v>
      </c>
      <c r="J12" s="12">
        <f>SUBTOTAL(103,Octobre[8])</f>
        <v>0</v>
      </c>
      <c r="K12" s="12">
        <f>SUBTOTAL(103,Octobre[9])</f>
        <v>0</v>
      </c>
      <c r="L12" s="12">
        <f>SUBTOTAL(103,Octobre[10])</f>
        <v>0</v>
      </c>
      <c r="M12" s="12">
        <f>SUBTOTAL(103,Octobre[11])</f>
        <v>0</v>
      </c>
      <c r="N12" s="12">
        <f>SUBTOTAL(103,Octobre[12])</f>
        <v>0</v>
      </c>
      <c r="O12" s="12">
        <f>SUBTOTAL(103,Octobre[13])</f>
        <v>0</v>
      </c>
      <c r="P12" s="12">
        <f>SUBTOTAL(103,Octobre[14])</f>
        <v>0</v>
      </c>
      <c r="Q12" s="12">
        <f>SUBTOTAL(103,Octobre[15])</f>
        <v>0</v>
      </c>
      <c r="R12" s="12">
        <f>SUBTOTAL(103,Octobre[16])</f>
        <v>0</v>
      </c>
      <c r="S12" s="12">
        <f>SUBTOTAL(103,Octobre[17])</f>
        <v>0</v>
      </c>
      <c r="T12" s="12">
        <f>SUBTOTAL(103,Octobre[18])</f>
        <v>0</v>
      </c>
      <c r="U12" s="12">
        <f>SUBTOTAL(103,Octobre[19])</f>
        <v>0</v>
      </c>
      <c r="V12" s="12">
        <f>SUBTOTAL(103,Octobre[20])</f>
        <v>0</v>
      </c>
      <c r="W12" s="12">
        <f>SUBTOTAL(103,Octobre[21])</f>
        <v>0</v>
      </c>
      <c r="X12" s="12">
        <f>SUBTOTAL(103,Octobre[22])</f>
        <v>0</v>
      </c>
      <c r="Y12" s="12">
        <f>SUBTOTAL(103,Octobre[23])</f>
        <v>0</v>
      </c>
      <c r="Z12" s="12">
        <f>SUBTOTAL(103,Octobre[24])</f>
        <v>0</v>
      </c>
      <c r="AA12" s="12">
        <f>SUBTOTAL(103,Octobre[25])</f>
        <v>0</v>
      </c>
      <c r="AB12" s="12">
        <f>SUBTOTAL(103,Octobre[26])</f>
        <v>0</v>
      </c>
      <c r="AC12" s="12">
        <f>SUBTOTAL(103,Octobre[27])</f>
        <v>0</v>
      </c>
      <c r="AD12" s="12">
        <f>SUBTOTAL(103,Octobre[28])</f>
        <v>0</v>
      </c>
      <c r="AE12" s="12">
        <f>SUBTOTAL(103,Octobre[29])</f>
        <v>0</v>
      </c>
      <c r="AF12" s="12">
        <f>SUBTOTAL(103,Octobre[30])</f>
        <v>0</v>
      </c>
      <c r="AG12" s="12">
        <f>SUBTOTAL(103,Octobre[31])</f>
        <v>0</v>
      </c>
      <c r="AH12" s="12">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54" priority="2" stopIfTrue="1">
      <formula>C7=CléPersonnalisée2</formula>
    </cfRule>
    <cfRule type="expression" dxfId="253" priority="3" stopIfTrue="1">
      <formula>C7=CléPersonnalisée1</formula>
    </cfRule>
    <cfRule type="expression" dxfId="252" priority="4" stopIfTrue="1">
      <formula>C7=CléMaladie</formula>
    </cfRule>
    <cfRule type="expression" dxfId="251" priority="5" stopIfTrue="1">
      <formula>C7=CléPersonnel</formula>
    </cfRule>
    <cfRule type="expression" dxfId="25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H12"/>
  <sheetViews>
    <sheetView showGridLines="0" zoomScaleNormal="100" workbookViewId="0">
      <selection activeCell="B11" sqref="B1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62</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TEXT(WEEKDAY(DATE(AnnéeCalendrier,11,1),1),"jjj")</f>
        <v>dim</v>
      </c>
      <c r="D5" s="1" t="str">
        <f>TEXT(WEEKDAY(DATE(AnnéeCalendrier,11,2),1),"jjj")</f>
        <v>lun</v>
      </c>
      <c r="E5" s="1" t="str">
        <f>TEXT(WEEKDAY(DATE(AnnéeCalendrier,11,3),1),"jjj")</f>
        <v>mar</v>
      </c>
      <c r="F5" s="1" t="str">
        <f>TEXT(WEEKDAY(DATE(AnnéeCalendrier,11,4),1),"jjj")</f>
        <v>mer</v>
      </c>
      <c r="G5" s="1" t="str">
        <f>TEXT(WEEKDAY(DATE(AnnéeCalendrier,11,5),1),"jjj")</f>
        <v>jeu</v>
      </c>
      <c r="H5" s="1" t="str">
        <f>TEXT(WEEKDAY(DATE(AnnéeCalendrier,11,6),1),"jjj")</f>
        <v>ven</v>
      </c>
      <c r="I5" s="1" t="str">
        <f>TEXT(WEEKDAY(DATE(AnnéeCalendrier,11,7),1),"jjj")</f>
        <v>sam</v>
      </c>
      <c r="J5" s="1" t="str">
        <f>TEXT(WEEKDAY(DATE(AnnéeCalendrier,11,8),1),"jjj")</f>
        <v>dim</v>
      </c>
      <c r="K5" s="1" t="str">
        <f>TEXT(WEEKDAY(DATE(AnnéeCalendrier,11,9),1),"jjj")</f>
        <v>lun</v>
      </c>
      <c r="L5" s="1" t="str">
        <f>TEXT(WEEKDAY(DATE(AnnéeCalendrier,11,10),1),"jjj")</f>
        <v>mar</v>
      </c>
      <c r="M5" s="1" t="str">
        <f>TEXT(WEEKDAY(DATE(AnnéeCalendrier,11,11),1),"jjj")</f>
        <v>mer</v>
      </c>
      <c r="N5" s="1" t="str">
        <f>TEXT(WEEKDAY(DATE(AnnéeCalendrier,11,12),1),"jjj")</f>
        <v>jeu</v>
      </c>
      <c r="O5" s="1" t="str">
        <f>TEXT(WEEKDAY(DATE(AnnéeCalendrier,11,13),1),"jjj")</f>
        <v>ven</v>
      </c>
      <c r="P5" s="1" t="str">
        <f>TEXT(WEEKDAY(DATE(AnnéeCalendrier,11,14),1),"jjj")</f>
        <v>sam</v>
      </c>
      <c r="Q5" s="1" t="str">
        <f>TEXT(WEEKDAY(DATE(AnnéeCalendrier,11,15),1),"jjj")</f>
        <v>dim</v>
      </c>
      <c r="R5" s="1" t="str">
        <f>TEXT(WEEKDAY(DATE(AnnéeCalendrier,11,16),1),"jjj")</f>
        <v>lun</v>
      </c>
      <c r="S5" s="1" t="str">
        <f>TEXT(WEEKDAY(DATE(AnnéeCalendrier,11,17),1),"jjj")</f>
        <v>mar</v>
      </c>
      <c r="T5" s="1" t="str">
        <f>TEXT(WEEKDAY(DATE(AnnéeCalendrier,11,18),1),"jjj")</f>
        <v>mer</v>
      </c>
      <c r="U5" s="1" t="str">
        <f>TEXT(WEEKDAY(DATE(AnnéeCalendrier,11,19),1),"jjj")</f>
        <v>jeu</v>
      </c>
      <c r="V5" s="1" t="str">
        <f>TEXT(WEEKDAY(DATE(AnnéeCalendrier,11,20),1),"jjj")</f>
        <v>ven</v>
      </c>
      <c r="W5" s="1" t="str">
        <f>TEXT(WEEKDAY(DATE(AnnéeCalendrier,11,21),1),"jjj")</f>
        <v>sam</v>
      </c>
      <c r="X5" s="1" t="str">
        <f>TEXT(WEEKDAY(DATE(AnnéeCalendrier,11,22),1),"jjj")</f>
        <v>dim</v>
      </c>
      <c r="Y5" s="1" t="str">
        <f>TEXT(WEEKDAY(DATE(AnnéeCalendrier,11,23),1),"jjj")</f>
        <v>lun</v>
      </c>
      <c r="Z5" s="1" t="str">
        <f>TEXT(WEEKDAY(DATE(AnnéeCalendrier,11,24),1),"jjj")</f>
        <v>mar</v>
      </c>
      <c r="AA5" s="1" t="str">
        <f>TEXT(WEEKDAY(DATE(AnnéeCalendrier,11,25),1),"jjj")</f>
        <v>mer</v>
      </c>
      <c r="AB5" s="1" t="str">
        <f>TEXT(WEEKDAY(DATE(AnnéeCalendrier,11,26),1),"jjj")</f>
        <v>jeu</v>
      </c>
      <c r="AC5" s="1" t="str">
        <f>TEXT(WEEKDAY(DATE(AnnéeCalendrier,11,27),1),"jjj")</f>
        <v>ven</v>
      </c>
      <c r="AD5" s="1" t="str">
        <f>TEXT(WEEKDAY(DATE(AnnéeCalendrier,11,28),1),"jjj")</f>
        <v>sam</v>
      </c>
      <c r="AE5" s="1" t="str">
        <f>TEXT(WEEKDAY(DATE(AnnéeCalendrier,11,29),1),"jjj")</f>
        <v>dim</v>
      </c>
      <c r="AF5" s="1" t="str">
        <f>TEXT(WEEKDAY(DATE(AnnéeCalendrier,11,30),1),"jjj")</f>
        <v>lun</v>
      </c>
      <c r="AG5" s="1"/>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COUNTA(Novembre[[#This Row],[1]:[30]])</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COUNTA(Novembre[[#This Row],[1]:[30]])</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COUNTA(Novembre[[#This Row],[1]:[30]])</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COUNTA(Novembre[[#This Row],[1]:[30]])</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COUNTA(Novembre[[#This Row],[1]:[30]])</f>
        <v>0</v>
      </c>
    </row>
    <row r="12" spans="2:34" ht="30" customHeight="1" x14ac:dyDescent="0.35">
      <c r="B12" s="20" t="str">
        <f>NomMois&amp;" Total"</f>
        <v>Novembre Total</v>
      </c>
      <c r="C12" s="12">
        <f>SUBTOTAL(103,Novembre[1])</f>
        <v>0</v>
      </c>
      <c r="D12" s="12">
        <f>SUBTOTAL(103,Novembre[2])</f>
        <v>0</v>
      </c>
      <c r="E12" s="12">
        <f>SUBTOTAL(103,Novembre[3])</f>
        <v>0</v>
      </c>
      <c r="F12" s="12">
        <f>SUBTOTAL(103,Novembre[4])</f>
        <v>0</v>
      </c>
      <c r="G12" s="12">
        <f>SUBTOTAL(103,Novembre[5])</f>
        <v>0</v>
      </c>
      <c r="H12" s="12">
        <f>SUBTOTAL(103,Novembre[6])</f>
        <v>0</v>
      </c>
      <c r="I12" s="12">
        <f>SUBTOTAL(103,Novembre[7])</f>
        <v>0</v>
      </c>
      <c r="J12" s="12">
        <f>SUBTOTAL(103,Novembre[8])</f>
        <v>0</v>
      </c>
      <c r="K12" s="12">
        <f>SUBTOTAL(103,Novembre[9])</f>
        <v>0</v>
      </c>
      <c r="L12" s="12">
        <f>SUBTOTAL(103,Novembre[10])</f>
        <v>0</v>
      </c>
      <c r="M12" s="12">
        <f>SUBTOTAL(103,Novembre[11])</f>
        <v>0</v>
      </c>
      <c r="N12" s="12">
        <f>SUBTOTAL(103,Novembre[12])</f>
        <v>0</v>
      </c>
      <c r="O12" s="12">
        <f>SUBTOTAL(103,Novembre[13])</f>
        <v>0</v>
      </c>
      <c r="P12" s="12">
        <f>SUBTOTAL(103,Novembre[14])</f>
        <v>0</v>
      </c>
      <c r="Q12" s="12">
        <f>SUBTOTAL(103,Novembre[15])</f>
        <v>0</v>
      </c>
      <c r="R12" s="12">
        <f>SUBTOTAL(103,Novembre[16])</f>
        <v>0</v>
      </c>
      <c r="S12" s="12">
        <f>SUBTOTAL(103,Novembre[17])</f>
        <v>0</v>
      </c>
      <c r="T12" s="12">
        <f>SUBTOTAL(103,Novembre[18])</f>
        <v>0</v>
      </c>
      <c r="U12" s="12">
        <f>SUBTOTAL(103,Novembre[19])</f>
        <v>0</v>
      </c>
      <c r="V12" s="12">
        <f>SUBTOTAL(103,Novembre[20])</f>
        <v>0</v>
      </c>
      <c r="W12" s="12">
        <f>SUBTOTAL(103,Novembre[21])</f>
        <v>0</v>
      </c>
      <c r="X12" s="12">
        <f>SUBTOTAL(103,Novembre[22])</f>
        <v>0</v>
      </c>
      <c r="Y12" s="12">
        <f>SUBTOTAL(103,Novembre[23])</f>
        <v>0</v>
      </c>
      <c r="Z12" s="12">
        <f>SUBTOTAL(103,Novembre[24])</f>
        <v>0</v>
      </c>
      <c r="AA12" s="12">
        <f>SUBTOTAL(103,Novembre[25])</f>
        <v>0</v>
      </c>
      <c r="AB12" s="12">
        <f>SUBTOTAL(103,Novembre[26])</f>
        <v>0</v>
      </c>
      <c r="AC12" s="12">
        <f>SUBTOTAL(103,Novembre[27])</f>
        <v>0</v>
      </c>
      <c r="AD12" s="12">
        <f>SUBTOTAL(103,Novembre[28])</f>
        <v>0</v>
      </c>
      <c r="AE12" s="12">
        <f>SUBTOTAL(103,Novembre[29])</f>
        <v>0</v>
      </c>
      <c r="AF12" s="12">
        <f>SUBTOTAL(103,Novembre[30])</f>
        <v>0</v>
      </c>
      <c r="AG12" s="12">
        <f>SUBTOTAL(103,Novembre[[ ]])</f>
        <v>0</v>
      </c>
      <c r="AH12" s="12">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80" priority="2" stopIfTrue="1">
      <formula>C7=CléPersonnalisée2</formula>
    </cfRule>
    <cfRule type="expression" dxfId="179" priority="3" stopIfTrue="1">
      <formula>C7=CléPersonnalisée1</formula>
    </cfRule>
    <cfRule type="expression" dxfId="178" priority="4" stopIfTrue="1">
      <formula>C7=CléMaladie</formula>
    </cfRule>
    <cfRule type="expression" dxfId="177" priority="5" stopIfTrue="1">
      <formula>C7=CléPersonnel</formula>
    </cfRule>
    <cfRule type="expression" dxfId="176"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S2"/>
    <dataValidation allowBlank="1" showInputMessage="1" showErrorMessage="1" prompt="Entrez une lettre et personnalisez l’étiquette à droite pour ajouter un élément de clé" sqref="M2 R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Calcule automatiquement le nombre total de jours d’absence d’un employé durant ce mois dans cette colonne" sqref="AH6"/>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sheetPr>
  <dimension ref="A1:AH12"/>
  <sheetViews>
    <sheetView showGridLines="0" zoomScaleNormal="100" workbookViewId="0">
      <selection activeCell="B11" sqref="B11"/>
    </sheetView>
  </sheetViews>
  <sheetFormatPr baseColWidth="10" defaultColWidth="9.140625" defaultRowHeight="30" customHeight="1" x14ac:dyDescent="0.25"/>
  <cols>
    <col min="1" max="1" width="2.7109375" style="10" customWidth="1"/>
    <col min="2" max="2" width="25.7109375" style="10" customWidth="1"/>
    <col min="3" max="33" width="4.7109375" style="10" customWidth="1"/>
    <col min="34" max="34" width="13.5703125" style="10" customWidth="1"/>
    <col min="35" max="35" width="2.7109375" customWidth="1"/>
  </cols>
  <sheetData>
    <row r="1" spans="2:34" ht="50.1" customHeight="1" x14ac:dyDescent="0.35">
      <c r="B1" s="13" t="str">
        <f>Titre_Absence_Employé</f>
        <v>Calendrier des absences des employés</v>
      </c>
    </row>
    <row r="2" spans="2:34" ht="15" customHeight="1" x14ac:dyDescent="0.25">
      <c r="B2" s="18" t="s">
        <v>1</v>
      </c>
      <c r="C2" s="3" t="s">
        <v>9</v>
      </c>
      <c r="D2" s="31" t="s">
        <v>12</v>
      </c>
      <c r="E2" s="31"/>
      <c r="F2" s="4" t="s">
        <v>15</v>
      </c>
      <c r="G2" s="31" t="s">
        <v>19</v>
      </c>
      <c r="H2" s="31"/>
      <c r="I2" s="31"/>
      <c r="J2" s="5" t="s">
        <v>17</v>
      </c>
      <c r="K2" s="31" t="s">
        <v>24</v>
      </c>
      <c r="L2" s="31"/>
      <c r="M2" s="6"/>
      <c r="N2" s="31" t="s">
        <v>28</v>
      </c>
      <c r="O2" s="31"/>
      <c r="P2" s="31"/>
      <c r="Q2" s="31"/>
      <c r="R2" s="7"/>
      <c r="S2" s="31" t="s">
        <v>33</v>
      </c>
      <c r="T2" s="31"/>
      <c r="U2" s="31"/>
      <c r="V2" s="31"/>
    </row>
    <row r="3" spans="2:34" ht="15" customHeight="1" x14ac:dyDescent="0.35">
      <c r="B3" s="13"/>
    </row>
    <row r="4" spans="2:34" ht="30" customHeight="1" x14ac:dyDescent="0.25">
      <c r="B4" s="11" t="s">
        <v>63</v>
      </c>
      <c r="C4" s="30" t="s">
        <v>10</v>
      </c>
      <c r="D4" s="30"/>
      <c r="E4" s="30"/>
      <c r="F4" s="30"/>
      <c r="G4" s="30"/>
      <c r="H4" s="30"/>
      <c r="I4" s="30"/>
      <c r="J4" s="30"/>
      <c r="K4" s="30"/>
      <c r="L4" s="30"/>
      <c r="M4" s="30"/>
      <c r="N4" s="30"/>
      <c r="O4" s="30"/>
      <c r="P4" s="30"/>
      <c r="Q4" s="30"/>
      <c r="R4" s="30"/>
      <c r="S4" s="30"/>
      <c r="T4" s="30"/>
      <c r="U4" s="30"/>
      <c r="V4" s="30"/>
      <c r="W4" s="30"/>
      <c r="X4" s="30"/>
      <c r="Y4" s="30"/>
      <c r="Z4" s="30"/>
      <c r="AA4" s="30"/>
      <c r="AB4" s="30"/>
      <c r="AC4" s="30"/>
      <c r="AD4" s="30"/>
      <c r="AE4" s="30"/>
      <c r="AF4" s="30"/>
      <c r="AG4" s="30"/>
      <c r="AH4" s="11">
        <f>AnnéeCalendrier</f>
        <v>2020</v>
      </c>
    </row>
    <row r="5" spans="2:34" ht="15" customHeight="1" x14ac:dyDescent="0.35">
      <c r="B5" s="11"/>
      <c r="C5" s="1" t="str">
        <f>TEXT(WEEKDAY(DATE(AnnéeCalendrier,12,1),1),"jjj")</f>
        <v>mar</v>
      </c>
      <c r="D5" s="1" t="str">
        <f>TEXT(WEEKDAY(DATE(AnnéeCalendrier,12,2),1),"jjj")</f>
        <v>mer</v>
      </c>
      <c r="E5" s="1" t="str">
        <f>TEXT(WEEKDAY(DATE(AnnéeCalendrier,12,3),1),"jjj")</f>
        <v>jeu</v>
      </c>
      <c r="F5" s="1" t="str">
        <f>TEXT(WEEKDAY(DATE(AnnéeCalendrier,12,4),1),"jjj")</f>
        <v>ven</v>
      </c>
      <c r="G5" s="1" t="str">
        <f>TEXT(WEEKDAY(DATE(AnnéeCalendrier,12,5),1),"jjj")</f>
        <v>sam</v>
      </c>
      <c r="H5" s="1" t="str">
        <f>TEXT(WEEKDAY(DATE(AnnéeCalendrier,12,6),1),"jjj")</f>
        <v>dim</v>
      </c>
      <c r="I5" s="1" t="str">
        <f>TEXT(WEEKDAY(DATE(AnnéeCalendrier,12,7),1),"jjj")</f>
        <v>lun</v>
      </c>
      <c r="J5" s="1" t="str">
        <f>TEXT(WEEKDAY(DATE(AnnéeCalendrier,12,8),1),"jjj")</f>
        <v>mar</v>
      </c>
      <c r="K5" s="1" t="str">
        <f>TEXT(WEEKDAY(DATE(AnnéeCalendrier,12,9),1),"jjj")</f>
        <v>mer</v>
      </c>
      <c r="L5" s="1" t="str">
        <f>TEXT(WEEKDAY(DATE(AnnéeCalendrier,12,10),1),"jjj")</f>
        <v>jeu</v>
      </c>
      <c r="M5" s="1" t="str">
        <f>TEXT(WEEKDAY(DATE(AnnéeCalendrier,12,11),1),"jjj")</f>
        <v>ven</v>
      </c>
      <c r="N5" s="1" t="str">
        <f>TEXT(WEEKDAY(DATE(AnnéeCalendrier,12,12),1),"jjj")</f>
        <v>sam</v>
      </c>
      <c r="O5" s="1" t="str">
        <f>TEXT(WEEKDAY(DATE(AnnéeCalendrier,12,13),1),"jjj")</f>
        <v>dim</v>
      </c>
      <c r="P5" s="1" t="str">
        <f>TEXT(WEEKDAY(DATE(AnnéeCalendrier,12,14),1),"jjj")</f>
        <v>lun</v>
      </c>
      <c r="Q5" s="1" t="str">
        <f>TEXT(WEEKDAY(DATE(AnnéeCalendrier,12,15),1),"jjj")</f>
        <v>mar</v>
      </c>
      <c r="R5" s="1" t="str">
        <f>TEXT(WEEKDAY(DATE(AnnéeCalendrier,12,16),1),"jjj")</f>
        <v>mer</v>
      </c>
      <c r="S5" s="1" t="str">
        <f>TEXT(WEEKDAY(DATE(AnnéeCalendrier,12,17),1),"jjj")</f>
        <v>jeu</v>
      </c>
      <c r="T5" s="1" t="str">
        <f>TEXT(WEEKDAY(DATE(AnnéeCalendrier,12,18),1),"jjj")</f>
        <v>ven</v>
      </c>
      <c r="U5" s="1" t="str">
        <f>TEXT(WEEKDAY(DATE(AnnéeCalendrier,12,19),1),"jjj")</f>
        <v>sam</v>
      </c>
      <c r="V5" s="1" t="str">
        <f>TEXT(WEEKDAY(DATE(AnnéeCalendrier,12,20),1),"jjj")</f>
        <v>dim</v>
      </c>
      <c r="W5" s="1" t="str">
        <f>TEXT(WEEKDAY(DATE(AnnéeCalendrier,12,21),1),"jjj")</f>
        <v>lun</v>
      </c>
      <c r="X5" s="1" t="str">
        <f>TEXT(WEEKDAY(DATE(AnnéeCalendrier,12,22),1),"jjj")</f>
        <v>mar</v>
      </c>
      <c r="Y5" s="1" t="str">
        <f>TEXT(WEEKDAY(DATE(AnnéeCalendrier,12,23),1),"jjj")</f>
        <v>mer</v>
      </c>
      <c r="Z5" s="1" t="str">
        <f>TEXT(WEEKDAY(DATE(AnnéeCalendrier,12,24),1),"jjj")</f>
        <v>jeu</v>
      </c>
      <c r="AA5" s="1" t="str">
        <f>TEXT(WEEKDAY(DATE(AnnéeCalendrier,12,25),1),"jjj")</f>
        <v>ven</v>
      </c>
      <c r="AB5" s="1" t="str">
        <f>TEXT(WEEKDAY(DATE(AnnéeCalendrier,12,26),1),"jjj")</f>
        <v>sam</v>
      </c>
      <c r="AC5" s="1" t="str">
        <f>TEXT(WEEKDAY(DATE(AnnéeCalendrier,12,27),1),"jjj")</f>
        <v>dim</v>
      </c>
      <c r="AD5" s="1" t="str">
        <f>TEXT(WEEKDAY(DATE(AnnéeCalendrier,12,28),1),"jjj")</f>
        <v>lun</v>
      </c>
      <c r="AE5" s="1" t="str">
        <f>TEXT(WEEKDAY(DATE(AnnéeCalendrier,12,29),1),"jjj")</f>
        <v>mar</v>
      </c>
      <c r="AF5" s="1" t="str">
        <f>TEXT(WEEKDAY(DATE(AnnéeCalendrier,12,30),1),"jjj")</f>
        <v>mer</v>
      </c>
      <c r="AG5" s="1" t="str">
        <f>TEXT(WEEKDAY(DATE(AnnéeCalendrier,12,31),1),"jjj")</f>
        <v>jeu</v>
      </c>
      <c r="AH5" s="11"/>
    </row>
    <row r="6" spans="2:34" ht="15" customHeight="1" x14ac:dyDescent="0.25">
      <c r="B6" s="14"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5" t="s">
        <v>50</v>
      </c>
    </row>
    <row r="7" spans="2:34" ht="30" customHeight="1" x14ac:dyDescent="0.25">
      <c r="B7" s="16"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COUNTA(Décembre[[#This Row],[1]:[31]])</f>
        <v>0</v>
      </c>
    </row>
    <row r="8" spans="2:34" ht="30" customHeight="1" x14ac:dyDescent="0.25">
      <c r="B8" s="16"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COUNTA(Décembre[[#This Row],[1]:[31]])</f>
        <v>0</v>
      </c>
    </row>
    <row r="9" spans="2:34" ht="30" customHeight="1" x14ac:dyDescent="0.25">
      <c r="B9" s="16"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COUNTA(Décembre[[#This Row],[1]:[31]])</f>
        <v>0</v>
      </c>
    </row>
    <row r="10" spans="2:34" ht="30" customHeight="1" x14ac:dyDescent="0.25">
      <c r="B10" s="16"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COUNTA(Décembre[[#This Row],[1]:[31]])</f>
        <v>0</v>
      </c>
    </row>
    <row r="11" spans="2:34" ht="30" customHeight="1" x14ac:dyDescent="0.25">
      <c r="B11" s="16"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COUNTA(Décembre[[#This Row],[1]:[31]])</f>
        <v>0</v>
      </c>
    </row>
    <row r="12" spans="2:34" ht="30" customHeight="1" x14ac:dyDescent="0.35">
      <c r="B12" s="20" t="str">
        <f>NomMois&amp;" Total"</f>
        <v>Décembre Total</v>
      </c>
      <c r="C12" s="12">
        <f>SUBTOTAL(103,Décembre[1])</f>
        <v>0</v>
      </c>
      <c r="D12" s="12">
        <f>SUBTOTAL(103,Décembre[2])</f>
        <v>0</v>
      </c>
      <c r="E12" s="12">
        <f>SUBTOTAL(103,Décembre[3])</f>
        <v>0</v>
      </c>
      <c r="F12" s="12">
        <f>SUBTOTAL(103,Décembre[4])</f>
        <v>0</v>
      </c>
      <c r="G12" s="12">
        <f>SUBTOTAL(103,Décembre[5])</f>
        <v>0</v>
      </c>
      <c r="H12" s="12">
        <f>SUBTOTAL(103,Décembre[6])</f>
        <v>0</v>
      </c>
      <c r="I12" s="12">
        <f>SUBTOTAL(103,Décembre[7])</f>
        <v>0</v>
      </c>
      <c r="J12" s="12">
        <f>SUBTOTAL(103,Décembre[8])</f>
        <v>0</v>
      </c>
      <c r="K12" s="12">
        <f>SUBTOTAL(103,Décembre[9])</f>
        <v>0</v>
      </c>
      <c r="L12" s="12">
        <f>SUBTOTAL(103,Décembre[10])</f>
        <v>0</v>
      </c>
      <c r="M12" s="12">
        <f>SUBTOTAL(103,Décembre[11])</f>
        <v>0</v>
      </c>
      <c r="N12" s="12">
        <f>SUBTOTAL(103,Décembre[12])</f>
        <v>0</v>
      </c>
      <c r="O12" s="12">
        <f>SUBTOTAL(103,Décembre[13])</f>
        <v>0</v>
      </c>
      <c r="P12" s="12">
        <f>SUBTOTAL(103,Décembre[14])</f>
        <v>0</v>
      </c>
      <c r="Q12" s="12">
        <f>SUBTOTAL(103,Décembre[15])</f>
        <v>0</v>
      </c>
      <c r="R12" s="12">
        <f>SUBTOTAL(103,Décembre[16])</f>
        <v>0</v>
      </c>
      <c r="S12" s="12">
        <f>SUBTOTAL(103,Décembre[17])</f>
        <v>0</v>
      </c>
      <c r="T12" s="12">
        <f>SUBTOTAL(103,Décembre[18])</f>
        <v>0</v>
      </c>
      <c r="U12" s="12">
        <f>SUBTOTAL(103,Décembre[19])</f>
        <v>0</v>
      </c>
      <c r="V12" s="12">
        <f>SUBTOTAL(103,Décembre[20])</f>
        <v>0</v>
      </c>
      <c r="W12" s="12">
        <f>SUBTOTAL(103,Décembre[21])</f>
        <v>0</v>
      </c>
      <c r="X12" s="12">
        <f>SUBTOTAL(103,Décembre[22])</f>
        <v>0</v>
      </c>
      <c r="Y12" s="12">
        <f>SUBTOTAL(103,Décembre[23])</f>
        <v>0</v>
      </c>
      <c r="Z12" s="12">
        <f>SUBTOTAL(103,Décembre[24])</f>
        <v>0</v>
      </c>
      <c r="AA12" s="12">
        <f>SUBTOTAL(103,Décembre[25])</f>
        <v>0</v>
      </c>
      <c r="AB12" s="12">
        <f>SUBTOTAL(103,Décembre[26])</f>
        <v>0</v>
      </c>
      <c r="AC12" s="12">
        <f>SUBTOTAL(103,Décembre[27])</f>
        <v>0</v>
      </c>
      <c r="AD12" s="12">
        <f>SUBTOTAL(103,Décembre[28])</f>
        <v>0</v>
      </c>
      <c r="AE12" s="12">
        <f>SUBTOTAL(103,Décembre[29])</f>
        <v>0</v>
      </c>
      <c r="AF12" s="12">
        <f>SUBTOTAL(103,Décembre[30])</f>
        <v>0</v>
      </c>
      <c r="AG12" s="12">
        <f>SUBTOTAL(103,Décembre[31])</f>
        <v>0</v>
      </c>
      <c r="AH12" s="12">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06" priority="2" stopIfTrue="1">
      <formula>C7=CléPersonnalisée2</formula>
    </cfRule>
    <cfRule type="expression" dxfId="105" priority="3" stopIfTrue="1">
      <formula>C7=CléPersonnalisée1</formula>
    </cfRule>
    <cfRule type="expression" dxfId="104" priority="4" stopIfTrue="1">
      <formula>C7=CléMaladie</formula>
    </cfRule>
    <cfRule type="expression" dxfId="103" priority="5" stopIfTrue="1">
      <formula>C7=CléPersonnel</formula>
    </cfRule>
    <cfRule type="expression" dxfId="102"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5">
    <dataValidation allowBlank="1" showInputMessage="1" showErrorMessage="1" prompt="Année mise à jour automatiquement en fonction de l’année entrée dans la feuille de calcul Janvier" sqref="AH4"/>
    <dataValidation allowBlank="1" showInputMessage="1" showErrorMessage="1" prompt="Calcule automatiquement le nombre total de jours d’absence d’un employé durant ce mois dans cette colonne" sqref="AH6"/>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dataValidation allowBlank="1" showInputMessage="1" showErrorMessage="1" prompt="Entrez une étiquette pour décrire la clé personnalisée à gauche" sqref="N2 S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type="list" allowBlank="1" showInputMessage="1" showErrorMessage="1" sqref="B7:B11">
      <formula1>#REF!</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C10"/>
  <sheetViews>
    <sheetView workbookViewId="0">
      <selection activeCell="E16" sqref="E16"/>
    </sheetView>
  </sheetViews>
  <sheetFormatPr baseColWidth="10" defaultRowHeight="15" x14ac:dyDescent="0.25"/>
  <cols>
    <col min="2" max="2" width="18.42578125" bestFit="1" customWidth="1"/>
  </cols>
  <sheetData>
    <row r="2" spans="1:3" ht="14.45" x14ac:dyDescent="0.35">
      <c r="A2" s="26" t="s">
        <v>85</v>
      </c>
      <c r="B2" s="26" t="s">
        <v>77</v>
      </c>
      <c r="C2" s="26" t="s">
        <v>84</v>
      </c>
    </row>
    <row r="3" spans="1:3" x14ac:dyDescent="0.25">
      <c r="A3" t="s">
        <v>9</v>
      </c>
      <c r="B3" t="s">
        <v>12</v>
      </c>
      <c r="C3">
        <v>1</v>
      </c>
    </row>
    <row r="4" spans="1:3" x14ac:dyDescent="0.25">
      <c r="A4" t="s">
        <v>89</v>
      </c>
      <c r="B4" t="s">
        <v>81</v>
      </c>
      <c r="C4">
        <v>0.5</v>
      </c>
    </row>
    <row r="5" spans="1:3" ht="14.45" x14ac:dyDescent="0.35">
      <c r="A5" t="s">
        <v>17</v>
      </c>
      <c r="B5" t="s">
        <v>24</v>
      </c>
      <c r="C5">
        <v>1</v>
      </c>
    </row>
    <row r="6" spans="1:3" ht="14.45" x14ac:dyDescent="0.35">
      <c r="A6" t="s">
        <v>88</v>
      </c>
      <c r="B6" t="s">
        <v>82</v>
      </c>
      <c r="C6">
        <v>0.5</v>
      </c>
    </row>
    <row r="7" spans="1:3" ht="14.45" x14ac:dyDescent="0.35">
      <c r="A7" t="s">
        <v>72</v>
      </c>
      <c r="B7" t="s">
        <v>78</v>
      </c>
      <c r="C7">
        <v>1</v>
      </c>
    </row>
    <row r="8" spans="1:3" ht="14.45" x14ac:dyDescent="0.35">
      <c r="A8" t="s">
        <v>87</v>
      </c>
      <c r="B8" t="s">
        <v>83</v>
      </c>
      <c r="C8">
        <v>0.5</v>
      </c>
    </row>
    <row r="9" spans="1:3" x14ac:dyDescent="0.25">
      <c r="A9" t="s">
        <v>69</v>
      </c>
      <c r="B9" t="s">
        <v>79</v>
      </c>
      <c r="C9">
        <v>1</v>
      </c>
    </row>
    <row r="10" spans="1:3" x14ac:dyDescent="0.25">
      <c r="A10" t="s">
        <v>86</v>
      </c>
      <c r="B10" t="s">
        <v>80</v>
      </c>
      <c r="C10">
        <v>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1:F14"/>
  <sheetViews>
    <sheetView tabSelected="1" workbookViewId="0">
      <selection activeCell="I18" sqref="I18"/>
    </sheetView>
  </sheetViews>
  <sheetFormatPr baseColWidth="10" defaultRowHeight="15" x14ac:dyDescent="0.25"/>
  <cols>
    <col min="3" max="4" width="11.42578125" style="34"/>
    <col min="5" max="5" width="26.140625" style="34" customWidth="1"/>
    <col min="6" max="6" width="30.140625" style="34" customWidth="1"/>
  </cols>
  <sheetData>
    <row r="1" spans="3:6" ht="18.75" x14ac:dyDescent="0.25">
      <c r="C1" s="38" t="s">
        <v>104</v>
      </c>
      <c r="D1" s="38" t="s">
        <v>106</v>
      </c>
      <c r="E1" s="38" t="s">
        <v>105</v>
      </c>
      <c r="F1" s="38" t="s">
        <v>108</v>
      </c>
    </row>
    <row r="2" spans="3:6" x14ac:dyDescent="0.25">
      <c r="C2" s="35" t="s">
        <v>90</v>
      </c>
      <c r="D2" s="36" t="s">
        <v>107</v>
      </c>
      <c r="E2" s="37">
        <f>COUNTIF(Janvier!F7:AJ7,"c")+COUNTIF(Janvier!F7:AJ7,"cd")*0.5+COUNTIF(Janvier!F7:AJ7,"m")+COUNTIF(Janvier!F7:AJ7,"md")*0.5+COUNTIF(Janvier!F7:AJ7,"ch")+COUNTIF(Janvier!F7:AJ7,"chd")*0.5+COUNTIF(Janvier!F7:AJ7,"t")+COUNTIF(Janvier!F7:AJ7,"td")*0.5</f>
        <v>7.5</v>
      </c>
      <c r="F2" s="37">
        <f>COUNTIF(Janvier!F7:AJ7,"ch")+COUNTIF(Janvier!F7:AJ7,"chd")*0.5</f>
        <v>1</v>
      </c>
    </row>
    <row r="3" spans="3:6" x14ac:dyDescent="0.25">
      <c r="C3" s="35" t="s">
        <v>99</v>
      </c>
      <c r="D3" s="36" t="s">
        <v>107</v>
      </c>
      <c r="E3" s="37">
        <f>COUNTIF(Janvier!F8:AJ8,"c")+COUNTIF(Janvier!F8:AJ8,"cd")*0.5+COUNTIF(Janvier!F8:AJ8,"m")+COUNTIF(Janvier!F8:AJ8,"md")*0.5+COUNTIF(Janvier!F8:AJ8,"ch")+COUNTIF(Janvier!F8:AJ8,"chd")*0.5+COUNTIF(Janvier!F8:AJ8,"t")+COUNTIF(Janvier!F8:AJ8,"td")*0.5</f>
        <v>6</v>
      </c>
      <c r="F3" s="37">
        <f>COUNTIF(Janvier!F8:AJ8,"ch")+COUNTIF(Janvier!F8:AJ8,"chd")*0.5*8</f>
        <v>0</v>
      </c>
    </row>
    <row r="4" spans="3:6" x14ac:dyDescent="0.25">
      <c r="C4" s="35" t="s">
        <v>100</v>
      </c>
      <c r="D4" s="36" t="s">
        <v>107</v>
      </c>
      <c r="E4" s="37">
        <f>COUNTIF(Janvier!F9:AJ9,"c")+COUNTIF(Janvier!F9:AJ9,"cd")*0.5+COUNTIF(Janvier!F9:AJ9,"m")+COUNTIF(Janvier!F9:AJ9,"md")*0.5+COUNTIF(Janvier!F9:AJ9,"ch")+COUNTIF(Janvier!F9:AJ9,"chd")*0.5+COUNTIF(Janvier!F9:AJ9,"t")+COUNTIF(Janvier!F9:AJ9,"td")*0.5</f>
        <v>3</v>
      </c>
      <c r="F4" s="37">
        <f>COUNTIF(Janvier!F9:AJ9,"ch")+COUNTIF(Janvier!F9:AJ9,"chd")*0.5</f>
        <v>0</v>
      </c>
    </row>
    <row r="5" spans="3:6" x14ac:dyDescent="0.25">
      <c r="C5" s="35" t="s">
        <v>101</v>
      </c>
      <c r="D5" s="36" t="s">
        <v>107</v>
      </c>
      <c r="E5" s="37">
        <f>COUNTIF(Janvier!F10:AJ10,"c")+COUNTIF(Janvier!F10:AJ10,"cd")*0.5+COUNTIF(Janvier!F10:AJ10,"m")+COUNTIF(Janvier!F10:AJ10,"md")*0.5+COUNTIF(Janvier!F10:AJ10,"ch")+COUNTIF(Janvier!F10:AJ10,"chd")*0.5+COUNTIF(Janvier!F10:AJ10,"t")+COUNTIF(Janvier!F10:AJ10,"td")*0.5</f>
        <v>4</v>
      </c>
      <c r="F5" s="37">
        <f>COUNTIF(Janvier!F10:AJ10,"ch")+COUNTIF(Janvier!F10:AJ10,"chd")*0.5</f>
        <v>0</v>
      </c>
    </row>
    <row r="6" spans="3:6" x14ac:dyDescent="0.25">
      <c r="C6" s="35" t="s">
        <v>102</v>
      </c>
      <c r="D6" s="36" t="s">
        <v>107</v>
      </c>
      <c r="E6" s="37">
        <f>COUNTIF(Janvier!F11:AJ11,"c")+COUNTIF(Janvier!F11:AJ11,"cd")*0.5+COUNTIF(Janvier!F11:AJ11,"m")+COUNTIF(Janvier!F11:AJ11,"md")*0.5+COUNTIF(Janvier!F11:AJ11,"ch")+COUNTIF(Janvier!F11:AJ11,"chd")*0.5+COUNTIF(Janvier!F11:AJ11,"t")+COUNTIF(Janvier!F11:AJ11,"td")*0.5</f>
        <v>6</v>
      </c>
      <c r="F6" s="37">
        <f>COUNTIF(Janvier!F11:AJ11,"ch")+COUNTIF(Janvier!F11:AJ11,"chd")*0.5</f>
        <v>0</v>
      </c>
    </row>
    <row r="7" spans="3:6" x14ac:dyDescent="0.25">
      <c r="C7" s="35" t="s">
        <v>90</v>
      </c>
      <c r="D7" s="36" t="s">
        <v>107</v>
      </c>
      <c r="E7" s="37">
        <f>COUNTIF(Janvier!F12:AJ12,"c")+COUNTIF(Janvier!F12:AJ12,"cd")*0.5+COUNTIF(Janvier!F12:AJ12,"m")+COUNTIF(Janvier!F12:AJ12,"md")*0.5+COUNTIF(Janvier!F12:AJ12,"ch")+COUNTIF(Janvier!F12:AJ12,"chd")*0.5+COUNTIF(Janvier!F12:AJ12,"t")+COUNTIF(Janvier!F12:AJ12,"td")*0.5</f>
        <v>0</v>
      </c>
      <c r="F7" s="37">
        <f>COUNTIF(Janvier!F12:AJ12,"ch")+COUNTIF(Janvier!F12:AJ12,"chd")*0.5</f>
        <v>0</v>
      </c>
    </row>
    <row r="8" spans="3:6" x14ac:dyDescent="0.25">
      <c r="C8" s="39" t="s">
        <v>110</v>
      </c>
      <c r="D8" s="40"/>
      <c r="E8" s="41">
        <f>SUM(E2:E7)</f>
        <v>26.5</v>
      </c>
      <c r="F8" s="41">
        <f>SUM(F2:F7)</f>
        <v>1</v>
      </c>
    </row>
    <row r="9" spans="3:6" x14ac:dyDescent="0.25">
      <c r="C9" s="35" t="s">
        <v>90</v>
      </c>
      <c r="D9" s="36" t="s">
        <v>109</v>
      </c>
      <c r="E9" s="37"/>
      <c r="F9" s="37"/>
    </row>
    <row r="10" spans="3:6" x14ac:dyDescent="0.25">
      <c r="C10" s="35" t="s">
        <v>99</v>
      </c>
      <c r="D10" s="36" t="s">
        <v>109</v>
      </c>
      <c r="E10" s="37"/>
      <c r="F10" s="37"/>
    </row>
    <row r="11" spans="3:6" x14ac:dyDescent="0.25">
      <c r="C11" s="35" t="s">
        <v>100</v>
      </c>
      <c r="D11" s="36" t="s">
        <v>109</v>
      </c>
      <c r="E11" s="37"/>
      <c r="F11" s="37"/>
    </row>
    <row r="12" spans="3:6" x14ac:dyDescent="0.25">
      <c r="C12" s="35" t="s">
        <v>101</v>
      </c>
      <c r="D12" s="36" t="s">
        <v>109</v>
      </c>
      <c r="E12" s="37"/>
      <c r="F12" s="37"/>
    </row>
    <row r="13" spans="3:6" x14ac:dyDescent="0.25">
      <c r="C13" s="35" t="s">
        <v>102</v>
      </c>
      <c r="D13" s="36" t="s">
        <v>109</v>
      </c>
      <c r="E13" s="37"/>
      <c r="F13" s="37"/>
    </row>
    <row r="14" spans="3:6" x14ac:dyDescent="0.25">
      <c r="C14" s="35" t="s">
        <v>90</v>
      </c>
      <c r="D14" s="36" t="s">
        <v>109</v>
      </c>
      <c r="E14" s="37"/>
      <c r="F14" s="37"/>
    </row>
  </sheetData>
  <mergeCells count="1">
    <mergeCell ref="C8:D8"/>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52</vt:i4>
      </vt:variant>
    </vt:vector>
  </HeadingPairs>
  <TitlesOfParts>
    <vt:vector size="66" baseType="lpstr">
      <vt:lpstr>Janvier</vt:lpstr>
      <vt:lpstr>Février</vt:lpstr>
      <vt:lpstr>Mars</vt:lpstr>
      <vt:lpstr>Avril</vt:lpstr>
      <vt:lpstr>Mai</vt:lpstr>
      <vt:lpstr>Juin</vt:lpstr>
      <vt:lpstr>Juillet</vt:lpstr>
      <vt:lpstr>Août</vt:lpstr>
      <vt:lpstr>Septembre</vt:lpstr>
      <vt:lpstr>Octobre</vt:lpstr>
      <vt:lpstr>Novembre</vt:lpstr>
      <vt:lpstr>Décembre</vt:lpstr>
      <vt:lpstr>Type d'Absences</vt:lpstr>
      <vt:lpstr>Bilan absences</vt:lpstr>
      <vt:lpstr>AnnéeCalendrier</vt:lpstr>
      <vt:lpstr>CléCD</vt:lpstr>
      <vt:lpstr>CléCongé</vt:lpstr>
      <vt:lpstr>CléMaladie</vt:lpstr>
      <vt:lpstr>CléMD</vt:lpstr>
      <vt:lpstr>CléPersonnalisée1</vt:lpstr>
      <vt:lpstr>CléPersonnalisée2</vt:lpstr>
      <vt:lpstr>CléPersonnel</vt:lpstr>
      <vt:lpstr>CléTD</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 GOURBAT</dc:creator>
  <cp:lastModifiedBy>Rijole</cp:lastModifiedBy>
  <dcterms:created xsi:type="dcterms:W3CDTF">2016-12-06T04:52:27Z</dcterms:created>
  <dcterms:modified xsi:type="dcterms:W3CDTF">2020-04-01T20:19:29Z</dcterms:modified>
</cp:coreProperties>
</file>