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pivotTables/pivotTable1.xml" ContentType="application/vnd.openxmlformats-officedocument.spreadsheetml.pivotTable+xml"/>
  <Override PartName="/xl/drawings/drawing8.xml" ContentType="application/vnd.openxmlformats-officedocument.drawing+xml"/>
  <Override PartName="/xl/charts/chart1.xml" ContentType="application/vnd.openxmlformats-officedocument.drawingml.chart+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3B30410F-F142-6C75-8FE4-BCCB68B04300}"/>
  <workbookPr codeName="ThisWorkbook" showPivotChartFilter="1"/>
  <mc:AlternateContent xmlns:mc="http://schemas.openxmlformats.org/markup-compatibility/2006">
    <mc:Choice Requires="x15">
      <x15ac:absPath xmlns:x15ac="http://schemas.microsoft.com/office/spreadsheetml/2010/11/ac" url="C:\Users\epcs\Downloads\"/>
    </mc:Choice>
  </mc:AlternateContent>
  <bookViews>
    <workbookView xWindow="0" yWindow="0" windowWidth="23040" windowHeight="9168" activeTab="8"/>
  </bookViews>
  <sheets>
    <sheet name="Accueil" sheetId="35" r:id="rId1"/>
    <sheet name="Ventes" sheetId="36" r:id="rId2"/>
    <sheet name="Articles" sheetId="33" r:id="rId3"/>
    <sheet name="Natures" sheetId="40" r:id="rId4"/>
    <sheet name="Catégories" sheetId="37" r:id="rId5"/>
    <sheet name="Types" sheetId="38" r:id="rId6"/>
    <sheet name="Marques" sheetId="41" r:id="rId7"/>
    <sheet name="Statistiques" sheetId="39" r:id="rId8"/>
    <sheet name="Paramètres" sheetId="34" r:id="rId9"/>
  </sheets>
  <definedNames>
    <definedName name="_xlnm._FilterDatabase" localSheetId="2" hidden="1">Articles!$A$4:$K$25</definedName>
    <definedName name="_xlnm._FilterDatabase" localSheetId="4" hidden="1">Catégories!$A$4:$F$12</definedName>
    <definedName name="_xlnm._FilterDatabase" localSheetId="6" hidden="1">Marques!$A$4:$F$13</definedName>
    <definedName name="_xlnm._FilterDatabase" localSheetId="3" hidden="1">Natures!$A$4:$H$18</definedName>
    <definedName name="_xlnm._FilterDatabase" localSheetId="5" hidden="1">Types!$A$4:$F$7</definedName>
    <definedName name="_xlnm._FilterDatabase" localSheetId="1" hidden="1">Ventes!$A$4:$N$58</definedName>
    <definedName name="Afficher_Entêtes">Paramètres!$B$18</definedName>
    <definedName name="Afficher_Feuilles">Paramètres!$B$17</definedName>
    <definedName name="Afficher_Formules">Paramètres!$B$16</definedName>
    <definedName name="Année_Réf">Paramètres!$B$3</definedName>
    <definedName name="Appliquer_Plein_écran">Paramètres!$B$15</definedName>
    <definedName name="Articles">Articles!$A$4:$K$26</definedName>
    <definedName name="Catégories">Catégories!$A$4:$F$13</definedName>
    <definedName name="Cellule_Travail">Paramètres!$B$21</definedName>
    <definedName name="Liste_Articles">OFFSET(Articles!$A$4,,,COUNTA(Articles!$A:$A),)</definedName>
    <definedName name="Liste_Catégories">OFFSET(Catégories!$A$4,,,COUNTA(Catégories!$A:$A)-1,)</definedName>
    <definedName name="Liste_Marques">OFFSET(Marques!$A$4,,,COUNTA(Marques!$A:$A)-1,)</definedName>
    <definedName name="Liste_Natures">OFFSET(Natures!$A$4,,,COUNTA(Natures!$A:$A)-1,)</definedName>
    <definedName name="Liste_Types">OFFSET(Types!$A$4,,,COUNTA(Types!$A:$A)-1,)</definedName>
    <definedName name="Marques">Marques!$A$4:$F$13</definedName>
    <definedName name="Modes_Règlement">Paramètres!$A$23:$A$28</definedName>
    <definedName name="Natures">Natures!$A$4:$H$19</definedName>
    <definedName name="Nb_Caisses">Paramètres!$B$4</definedName>
    <definedName name="Raison_Sociale">Paramètres!$B$1</definedName>
    <definedName name="Titre">Paramètres!$B$2</definedName>
    <definedName name="Types">Types!$A$4:$F$8</definedName>
    <definedName name="VD_Catégorie">Paramètres!$B$8</definedName>
    <definedName name="VD_Catégorie_Item">Paramètres!$C$8</definedName>
    <definedName name="VD_Marque">Paramètres!$B$10</definedName>
    <definedName name="VD_Marque_Item">Paramètres!$C$10</definedName>
    <definedName name="VD_Mode_Règlement">Paramètres!$B$11</definedName>
    <definedName name="VD_Mode_Règlement_Item">Paramètres!$C$11</definedName>
    <definedName name="VD_Nature">Paramètres!$B$7</definedName>
    <definedName name="VD_Nature_Item">Paramètres!$C$7</definedName>
    <definedName name="VD_Type">Paramètres!$B$9</definedName>
    <definedName name="VD_Type_Item">Paramètres!$C$9</definedName>
    <definedName name="Ventes">Ventes!$A$4:$N$59</definedName>
  </definedNames>
  <calcPr calcId="162913"/>
  <pivotCaches>
    <pivotCache cacheId="97" r:id="rId10"/>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5" i="36" l="1"/>
  <c r="M5" i="36"/>
  <c r="H5" i="36"/>
  <c r="F5" i="36"/>
  <c r="B21" i="34"/>
  <c r="N58" i="36"/>
  <c r="M58" i="36"/>
  <c r="H58" i="36"/>
  <c r="F58" i="36"/>
  <c r="N57" i="36"/>
  <c r="M57" i="36"/>
  <c r="H57" i="36"/>
  <c r="F57" i="36"/>
  <c r="K5" i="33"/>
  <c r="J5" i="33"/>
  <c r="A5" i="33"/>
  <c r="H54" i="36" l="1"/>
  <c r="F54" i="36"/>
  <c r="K6" i="33"/>
  <c r="J6" i="33"/>
  <c r="A6" i="33"/>
  <c r="C11" i="34"/>
  <c r="H56" i="36"/>
  <c r="F56" i="36"/>
  <c r="A7" i="33"/>
  <c r="M54" i="36" s="1"/>
  <c r="A8" i="33"/>
  <c r="A10" i="33"/>
  <c r="A9" i="33"/>
  <c r="A11" i="33"/>
  <c r="A12" i="33"/>
  <c r="A13" i="33"/>
  <c r="A14" i="33"/>
  <c r="A15" i="33"/>
  <c r="A16" i="33"/>
  <c r="A17" i="33"/>
  <c r="A19" i="33"/>
  <c r="A18" i="33"/>
  <c r="A20" i="33"/>
  <c r="A21" i="33"/>
  <c r="A22" i="33"/>
  <c r="A23" i="33"/>
  <c r="A24" i="33"/>
  <c r="A25" i="33"/>
  <c r="K9" i="33"/>
  <c r="J9" i="33"/>
  <c r="K54" i="36" l="1"/>
  <c r="N54" i="36"/>
  <c r="L54" i="36"/>
  <c r="M56" i="36"/>
  <c r="N56" i="36"/>
  <c r="K11" i="33"/>
  <c r="J11" i="33"/>
  <c r="K22" i="33"/>
  <c r="K7" i="33"/>
  <c r="K8" i="33"/>
  <c r="K10" i="33"/>
  <c r="K12" i="33"/>
  <c r="K13" i="33"/>
  <c r="K14" i="33"/>
  <c r="K15" i="33"/>
  <c r="K16" i="33"/>
  <c r="K17" i="33"/>
  <c r="K19" i="33"/>
  <c r="K18" i="33"/>
  <c r="K20" i="33"/>
  <c r="K21" i="33"/>
  <c r="K23" i="33"/>
  <c r="K24" i="33"/>
  <c r="J7" i="33"/>
  <c r="J8" i="33"/>
  <c r="J10" i="33"/>
  <c r="J12" i="33"/>
  <c r="J13" i="33"/>
  <c r="J14" i="33"/>
  <c r="J15" i="33"/>
  <c r="J16" i="33"/>
  <c r="J17" i="33"/>
  <c r="J19" i="33"/>
  <c r="J18" i="33"/>
  <c r="J20" i="33"/>
  <c r="J21" i="33"/>
  <c r="J23" i="33"/>
  <c r="J24" i="33"/>
  <c r="J25" i="33"/>
  <c r="B6" i="41"/>
  <c r="K58" i="36" l="1"/>
  <c r="K5" i="36"/>
  <c r="L58" i="36"/>
  <c r="L5" i="36"/>
  <c r="L57" i="36"/>
  <c r="L56" i="36"/>
  <c r="K56" i="36"/>
  <c r="H35" i="36"/>
  <c r="F35" i="36"/>
  <c r="J22" i="33" l="1"/>
  <c r="H32" i="36"/>
  <c r="F32" i="36"/>
  <c r="H16" i="36"/>
  <c r="F16" i="36"/>
  <c r="H6" i="36"/>
  <c r="F6" i="36"/>
  <c r="H13" i="36"/>
  <c r="F13" i="36"/>
  <c r="H10" i="36"/>
  <c r="F10" i="36"/>
  <c r="H12" i="36"/>
  <c r="F12" i="36"/>
  <c r="H22" i="36"/>
  <c r="F22" i="36"/>
  <c r="H31" i="36"/>
  <c r="F31" i="36"/>
  <c r="H17" i="36"/>
  <c r="F17" i="36"/>
  <c r="H23" i="36"/>
  <c r="F23" i="36"/>
  <c r="H21" i="36"/>
  <c r="F21" i="36"/>
  <c r="H29" i="36"/>
  <c r="F29" i="36"/>
  <c r="H20" i="36"/>
  <c r="F20" i="36"/>
  <c r="H19" i="36"/>
  <c r="F19" i="36"/>
  <c r="H26" i="36"/>
  <c r="F26" i="36"/>
  <c r="H28" i="36"/>
  <c r="F28" i="36"/>
  <c r="H30" i="36"/>
  <c r="F30" i="36"/>
  <c r="H7" i="36"/>
  <c r="F7" i="36"/>
  <c r="H15" i="36"/>
  <c r="F15" i="36"/>
  <c r="H11" i="36"/>
  <c r="F11" i="36"/>
  <c r="H9" i="36"/>
  <c r="F9" i="36"/>
  <c r="H14" i="36"/>
  <c r="F14" i="36"/>
  <c r="H8" i="36"/>
  <c r="F8" i="36"/>
  <c r="H27" i="36"/>
  <c r="F27" i="36"/>
  <c r="H25" i="36"/>
  <c r="F25" i="36"/>
  <c r="H24" i="36"/>
  <c r="F24" i="36"/>
  <c r="H18" i="36"/>
  <c r="F18" i="36"/>
  <c r="H39" i="36"/>
  <c r="F39" i="36"/>
  <c r="H40" i="36"/>
  <c r="F40" i="36"/>
  <c r="H53" i="36"/>
  <c r="F53" i="36"/>
  <c r="H43" i="36"/>
  <c r="F43" i="36"/>
  <c r="H42" i="36"/>
  <c r="F42" i="36"/>
  <c r="H38" i="36"/>
  <c r="F38" i="36"/>
  <c r="H37" i="36"/>
  <c r="F37" i="36"/>
  <c r="H41" i="36"/>
  <c r="F41" i="36"/>
  <c r="H51" i="36"/>
  <c r="F51" i="36"/>
  <c r="H36" i="36"/>
  <c r="F36" i="36"/>
  <c r="H34" i="36"/>
  <c r="F34" i="36"/>
  <c r="H48" i="36"/>
  <c r="F48" i="36"/>
  <c r="H50" i="36"/>
  <c r="F50" i="36"/>
  <c r="H52" i="36"/>
  <c r="F52" i="36"/>
  <c r="H49" i="36"/>
  <c r="F49" i="36"/>
  <c r="H46" i="36"/>
  <c r="F46" i="36"/>
  <c r="H45" i="36"/>
  <c r="F45" i="36"/>
  <c r="H44" i="36"/>
  <c r="F44" i="36"/>
  <c r="H47" i="36"/>
  <c r="F47" i="36"/>
  <c r="H33" i="36"/>
  <c r="F33" i="36"/>
  <c r="H55" i="36"/>
  <c r="F55" i="36"/>
  <c r="K57" i="36" l="1"/>
  <c r="B13" i="41"/>
  <c r="B12" i="41"/>
  <c r="B9" i="41"/>
  <c r="B10" i="41" l="1"/>
  <c r="B8" i="41"/>
  <c r="B7" i="41"/>
  <c r="B5" i="41"/>
  <c r="B11" i="41"/>
  <c r="B14" i="41"/>
  <c r="B15" i="41"/>
  <c r="B16" i="41"/>
  <c r="B2" i="41" l="1"/>
  <c r="K25" i="33" l="1"/>
  <c r="B6" i="38" l="1"/>
  <c r="B7" i="37"/>
  <c r="B7" i="38"/>
  <c r="B8" i="37"/>
  <c r="N35" i="36"/>
  <c r="L35" i="36"/>
  <c r="K35" i="36"/>
  <c r="M35" i="36"/>
  <c r="N32" i="36"/>
  <c r="M18" i="36"/>
  <c r="M47" i="36"/>
  <c r="M33" i="36"/>
  <c r="N18" i="36"/>
  <c r="N47" i="36"/>
  <c r="N33" i="36"/>
  <c r="L18" i="36"/>
  <c r="K18" i="36"/>
  <c r="L47" i="36"/>
  <c r="K47" i="36"/>
  <c r="L32" i="36"/>
  <c r="M32" i="36"/>
  <c r="K32" i="36"/>
  <c r="N16" i="36"/>
  <c r="L16" i="36"/>
  <c r="M16" i="36"/>
  <c r="K16" i="36"/>
  <c r="N6" i="36"/>
  <c r="L6" i="36"/>
  <c r="M6" i="36"/>
  <c r="K6" i="36"/>
  <c r="N13" i="36"/>
  <c r="L13" i="36"/>
  <c r="M13" i="36"/>
  <c r="K13" i="36"/>
  <c r="N10" i="36"/>
  <c r="L10" i="36"/>
  <c r="M10" i="36"/>
  <c r="K10" i="36"/>
  <c r="N12" i="36"/>
  <c r="M12" i="36"/>
  <c r="K12" i="36"/>
  <c r="L12" i="36"/>
  <c r="N22" i="36"/>
  <c r="L22" i="36"/>
  <c r="M22" i="36"/>
  <c r="K22" i="36"/>
  <c r="N31" i="36"/>
  <c r="L31" i="36"/>
  <c r="M31" i="36"/>
  <c r="K31" i="36"/>
  <c r="N17" i="36"/>
  <c r="L17" i="36"/>
  <c r="M17" i="36"/>
  <c r="K17" i="36"/>
  <c r="N23" i="36"/>
  <c r="M23" i="36"/>
  <c r="K23" i="36"/>
  <c r="L23" i="36"/>
  <c r="N21" i="36"/>
  <c r="L21" i="36"/>
  <c r="M21" i="36"/>
  <c r="K21" i="36"/>
  <c r="N29" i="36"/>
  <c r="L29" i="36"/>
  <c r="M29" i="36"/>
  <c r="K29" i="36"/>
  <c r="N20" i="36"/>
  <c r="L20" i="36"/>
  <c r="M20" i="36"/>
  <c r="K20" i="36"/>
  <c r="N19" i="36"/>
  <c r="L19" i="36"/>
  <c r="M19" i="36"/>
  <c r="K19" i="36"/>
  <c r="N26" i="36"/>
  <c r="L26" i="36"/>
  <c r="M26" i="36"/>
  <c r="K26" i="36"/>
  <c r="N28" i="36"/>
  <c r="L28" i="36"/>
  <c r="M28" i="36"/>
  <c r="K28" i="36"/>
  <c r="N30" i="36"/>
  <c r="L30" i="36"/>
  <c r="M30" i="36"/>
  <c r="K30" i="36"/>
  <c r="N7" i="36"/>
  <c r="L7" i="36"/>
  <c r="M7" i="36"/>
  <c r="K7" i="36"/>
  <c r="N15" i="36"/>
  <c r="L15" i="36"/>
  <c r="M15" i="36"/>
  <c r="K15" i="36"/>
  <c r="N11" i="36"/>
  <c r="L11" i="36"/>
  <c r="M11" i="36"/>
  <c r="K11" i="36"/>
  <c r="N9" i="36"/>
  <c r="L9" i="36"/>
  <c r="M9" i="36"/>
  <c r="K9" i="36"/>
  <c r="N14" i="36"/>
  <c r="M14" i="36"/>
  <c r="K14" i="36"/>
  <c r="L14" i="36"/>
  <c r="N8" i="36"/>
  <c r="L8" i="36"/>
  <c r="M8" i="36"/>
  <c r="K8" i="36"/>
  <c r="N27" i="36"/>
  <c r="L27" i="36"/>
  <c r="M27" i="36"/>
  <c r="K27" i="36"/>
  <c r="N25" i="36"/>
  <c r="M25" i="36"/>
  <c r="K25" i="36"/>
  <c r="L25" i="36"/>
  <c r="N24" i="36"/>
  <c r="L24" i="36"/>
  <c r="M24" i="36"/>
  <c r="K24" i="36"/>
  <c r="L33" i="36"/>
  <c r="K33" i="36"/>
  <c r="N39" i="36"/>
  <c r="L39" i="36"/>
  <c r="M39" i="36"/>
  <c r="K39" i="36"/>
  <c r="N40" i="36"/>
  <c r="L40" i="36"/>
  <c r="M40" i="36"/>
  <c r="K40" i="36"/>
  <c r="N53" i="36"/>
  <c r="L53" i="36"/>
  <c r="M53" i="36"/>
  <c r="K53" i="36"/>
  <c r="N43" i="36"/>
  <c r="L43" i="36"/>
  <c r="M43" i="36"/>
  <c r="K43" i="36"/>
  <c r="N42" i="36"/>
  <c r="L42" i="36"/>
  <c r="M42" i="36"/>
  <c r="K42" i="36"/>
  <c r="N38" i="36"/>
  <c r="L38" i="36"/>
  <c r="M38" i="36"/>
  <c r="K38" i="36"/>
  <c r="N37" i="36"/>
  <c r="L37" i="36"/>
  <c r="M37" i="36"/>
  <c r="K37" i="36"/>
  <c r="N41" i="36"/>
  <c r="L41" i="36"/>
  <c r="M41" i="36"/>
  <c r="K41" i="36"/>
  <c r="N51" i="36"/>
  <c r="M51" i="36"/>
  <c r="K51" i="36"/>
  <c r="L51" i="36"/>
  <c r="N36" i="36"/>
  <c r="L36" i="36"/>
  <c r="M36" i="36"/>
  <c r="K36" i="36"/>
  <c r="N34" i="36"/>
  <c r="L34" i="36"/>
  <c r="M34" i="36"/>
  <c r="K34" i="36"/>
  <c r="N48" i="36"/>
  <c r="L48" i="36"/>
  <c r="M48" i="36"/>
  <c r="K48" i="36"/>
  <c r="N50" i="36"/>
  <c r="M50" i="36"/>
  <c r="K50" i="36"/>
  <c r="L50" i="36"/>
  <c r="N52" i="36"/>
  <c r="L52" i="36"/>
  <c r="M52" i="36"/>
  <c r="K52" i="36"/>
  <c r="N49" i="36"/>
  <c r="L49" i="36"/>
  <c r="M49" i="36"/>
  <c r="K49" i="36"/>
  <c r="N46" i="36"/>
  <c r="L46" i="36"/>
  <c r="M46" i="36"/>
  <c r="K46" i="36"/>
  <c r="N45" i="36"/>
  <c r="L45" i="36"/>
  <c r="M45" i="36"/>
  <c r="K45" i="36"/>
  <c r="N44" i="36"/>
  <c r="L44" i="36"/>
  <c r="M44" i="36"/>
  <c r="K44" i="36"/>
  <c r="N55" i="36"/>
  <c r="L55" i="36"/>
  <c r="M55" i="36"/>
  <c r="K55" i="36"/>
  <c r="B5" i="37"/>
  <c r="B5" i="38"/>
  <c r="B6" i="37"/>
  <c r="B10" i="37"/>
  <c r="B12" i="37"/>
  <c r="B9" i="37"/>
  <c r="B11" i="37"/>
  <c r="F6" i="40" l="1"/>
  <c r="G6" i="40"/>
  <c r="E6" i="40"/>
  <c r="D6" i="38"/>
  <c r="E6" i="38"/>
  <c r="C6" i="38"/>
  <c r="D7" i="37"/>
  <c r="E7" i="37"/>
  <c r="C7" i="37"/>
  <c r="D7" i="38"/>
  <c r="E7" i="38"/>
  <c r="C7" i="38"/>
  <c r="D8" i="37"/>
  <c r="E8" i="37"/>
  <c r="C8" i="37"/>
  <c r="D6" i="41"/>
  <c r="E6" i="41"/>
  <c r="C6" i="41"/>
  <c r="F5" i="40"/>
  <c r="G5" i="40"/>
  <c r="E5" i="40"/>
  <c r="B2" i="37"/>
  <c r="B2" i="38"/>
  <c r="B13" i="34"/>
  <c r="A1" i="40" l="1"/>
  <c r="C7" i="34" s="1"/>
  <c r="A1" i="41"/>
  <c r="A1" i="39"/>
  <c r="A1" i="38"/>
  <c r="C9" i="34" s="1"/>
  <c r="A1" i="37"/>
  <c r="C8" i="34" s="1"/>
  <c r="C10" i="34" l="1"/>
  <c r="C2" i="36"/>
  <c r="A1" i="36"/>
  <c r="B1" i="33"/>
  <c r="B1" i="35"/>
  <c r="H5" i="33" l="1"/>
  <c r="F5" i="33"/>
  <c r="G5" i="33"/>
  <c r="D6" i="40"/>
  <c r="D5" i="40"/>
  <c r="F6" i="33"/>
  <c r="H6" i="33"/>
  <c r="G6" i="33"/>
  <c r="H9" i="33"/>
  <c r="F9" i="33"/>
  <c r="G9" i="33"/>
  <c r="G11" i="33"/>
  <c r="H11" i="33"/>
  <c r="F11" i="33"/>
  <c r="G22" i="33"/>
  <c r="H22" i="33"/>
  <c r="F22" i="33"/>
  <c r="G12" i="33"/>
  <c r="H12" i="33"/>
  <c r="F12" i="33"/>
  <c r="D12" i="40"/>
  <c r="D11" i="40"/>
  <c r="F13" i="33"/>
  <c r="H13" i="33"/>
  <c r="G13" i="33"/>
  <c r="D16" i="40"/>
  <c r="D14" i="40"/>
  <c r="D10" i="40"/>
  <c r="D8" i="40"/>
  <c r="D17" i="40"/>
  <c r="D15" i="40"/>
  <c r="D13" i="40"/>
  <c r="D9" i="40"/>
  <c r="D7" i="40"/>
  <c r="D18" i="40"/>
  <c r="G17" i="33"/>
  <c r="F24" i="33"/>
  <c r="G23" i="33"/>
  <c r="F18" i="33"/>
  <c r="F14" i="33"/>
  <c r="G10" i="33"/>
  <c r="F25" i="33"/>
  <c r="G24" i="33"/>
  <c r="F20" i="33"/>
  <c r="G18" i="33"/>
  <c r="F19" i="33"/>
  <c r="G14" i="33"/>
  <c r="F7" i="33"/>
  <c r="F16" i="33"/>
  <c r="G25" i="33"/>
  <c r="F21" i="33"/>
  <c r="G20" i="33"/>
  <c r="F15" i="33"/>
  <c r="G19" i="33"/>
  <c r="F8" i="33"/>
  <c r="G7" i="33"/>
  <c r="F17" i="33"/>
  <c r="G16" i="33"/>
  <c r="F23" i="33"/>
  <c r="G21" i="33"/>
  <c r="G15" i="33"/>
  <c r="F10" i="33"/>
  <c r="G8" i="33"/>
  <c r="H8" i="33"/>
  <c r="H7" i="33"/>
  <c r="H20" i="33"/>
  <c r="E2" i="33"/>
  <c r="H2" i="36"/>
  <c r="D5" i="37" l="1"/>
  <c r="E5" i="37"/>
  <c r="C5" i="37"/>
  <c r="F11" i="40"/>
  <c r="G11" i="40"/>
  <c r="E11" i="40"/>
  <c r="G12" i="40"/>
  <c r="F12" i="40"/>
  <c r="E12" i="40"/>
  <c r="E13" i="41"/>
  <c r="C13" i="41"/>
  <c r="D13" i="41"/>
  <c r="E12" i="41"/>
  <c r="D12" i="41"/>
  <c r="C12" i="41"/>
  <c r="E9" i="41"/>
  <c r="D9" i="41"/>
  <c r="C9" i="41"/>
  <c r="D2" i="40"/>
  <c r="G17" i="40"/>
  <c r="F17" i="40"/>
  <c r="E17" i="40"/>
  <c r="G16" i="40"/>
  <c r="F16" i="40"/>
  <c r="E16" i="40"/>
  <c r="G15" i="40"/>
  <c r="F15" i="40"/>
  <c r="E15" i="40"/>
  <c r="G14" i="40"/>
  <c r="F14" i="40"/>
  <c r="E14" i="40"/>
  <c r="G13" i="40"/>
  <c r="F13" i="40"/>
  <c r="E13" i="40"/>
  <c r="G10" i="40"/>
  <c r="F10" i="40"/>
  <c r="E10" i="40"/>
  <c r="G9" i="40"/>
  <c r="F9" i="40"/>
  <c r="E9" i="40"/>
  <c r="G8" i="40"/>
  <c r="F8" i="40"/>
  <c r="E8" i="40"/>
  <c r="G7" i="40"/>
  <c r="F7" i="40"/>
  <c r="E7" i="40"/>
  <c r="G18" i="40"/>
  <c r="F18" i="40"/>
  <c r="E18" i="40"/>
  <c r="D8" i="41"/>
  <c r="D11" i="41"/>
  <c r="E14" i="41"/>
  <c r="C16" i="41"/>
  <c r="E15" i="41"/>
  <c r="C10" i="41"/>
  <c r="C8" i="41"/>
  <c r="C7" i="41"/>
  <c r="C5" i="41"/>
  <c r="E11" i="41"/>
  <c r="C15" i="41"/>
  <c r="D10" i="41"/>
  <c r="D7" i="41"/>
  <c r="D5" i="41"/>
  <c r="C14" i="41"/>
  <c r="D15" i="41"/>
  <c r="E16" i="41"/>
  <c r="E10" i="41"/>
  <c r="E8" i="41"/>
  <c r="E7" i="41"/>
  <c r="E5" i="41"/>
  <c r="C11" i="41"/>
  <c r="D14" i="41"/>
  <c r="D16" i="41"/>
  <c r="E6" i="37"/>
  <c r="C6" i="37"/>
  <c r="D6" i="37"/>
  <c r="H21" i="33"/>
  <c r="H25" i="33"/>
  <c r="H24" i="33"/>
  <c r="H23" i="33"/>
  <c r="H18" i="33"/>
  <c r="H16" i="33"/>
  <c r="H17" i="33"/>
  <c r="H15" i="33"/>
  <c r="H19" i="33"/>
  <c r="H10" i="33"/>
  <c r="H14" i="33"/>
  <c r="F2" i="33"/>
  <c r="G2" i="33"/>
  <c r="E5" i="38"/>
  <c r="E9" i="37"/>
  <c r="E11" i="37"/>
  <c r="E10" i="37"/>
  <c r="E12" i="37"/>
  <c r="C5" i="38"/>
  <c r="D5" i="38"/>
  <c r="C9" i="37"/>
  <c r="C10" i="37"/>
  <c r="C11" i="37"/>
  <c r="C12" i="37"/>
  <c r="D9" i="37"/>
  <c r="D10" i="37"/>
  <c r="D11" i="37"/>
  <c r="D12" i="37"/>
  <c r="F2" i="36"/>
  <c r="H2" i="33" l="1"/>
  <c r="E2" i="41"/>
  <c r="E2" i="40"/>
  <c r="D2" i="38"/>
  <c r="C2" i="37"/>
  <c r="D2" i="41"/>
  <c r="C2" i="41"/>
  <c r="F2" i="40"/>
  <c r="C2" i="38"/>
  <c r="D2" i="37"/>
  <c r="E2" i="37"/>
  <c r="E2" i="38"/>
  <c r="G2" i="40"/>
</calcChain>
</file>

<file path=xl/sharedStrings.xml><?xml version="1.0" encoding="utf-8"?>
<sst xmlns="http://schemas.openxmlformats.org/spreadsheetml/2006/main" count="394" uniqueCount="128">
  <si>
    <t>Marque</t>
  </si>
  <si>
    <t>Adidas</t>
  </si>
  <si>
    <t>F10</t>
  </si>
  <si>
    <t>T-Shirt</t>
  </si>
  <si>
    <t>Oxbow</t>
  </si>
  <si>
    <t>Nike</t>
  </si>
  <si>
    <t>Mercurial</t>
  </si>
  <si>
    <t>Main d'œuvre</t>
  </si>
  <si>
    <t>Gourde</t>
  </si>
  <si>
    <t>S+</t>
  </si>
  <si>
    <t>GT-2000</t>
  </si>
  <si>
    <t>Nature</t>
  </si>
  <si>
    <t>Modèle</t>
  </si>
  <si>
    <t>Prix catalogue</t>
  </si>
  <si>
    <t>Identifiant</t>
  </si>
  <si>
    <t>Catégorie</t>
  </si>
  <si>
    <t>Type</t>
  </si>
  <si>
    <t>Asics</t>
  </si>
  <si>
    <t>Mizuno</t>
  </si>
  <si>
    <t>Babolat</t>
  </si>
  <si>
    <t>Orbea</t>
  </si>
  <si>
    <t>Vêtement</t>
  </si>
  <si>
    <t>Prestation</t>
  </si>
  <si>
    <t>Equipement</t>
  </si>
  <si>
    <t>F50</t>
  </si>
  <si>
    <t>Predator</t>
  </si>
  <si>
    <t>Wave Sayonara</t>
  </si>
  <si>
    <t>Magista</t>
  </si>
  <si>
    <t>Tiempo</t>
  </si>
  <si>
    <t>Diables</t>
  </si>
  <si>
    <t>Kids</t>
  </si>
  <si>
    <t>Observations</t>
  </si>
  <si>
    <t>Raison sociale</t>
  </si>
  <si>
    <t>Année</t>
  </si>
  <si>
    <t>Nombre de caisses</t>
  </si>
  <si>
    <t>Titre</t>
  </si>
  <si>
    <t>Registre des ventes</t>
  </si>
  <si>
    <t>Football</t>
  </si>
  <si>
    <t>Running</t>
  </si>
  <si>
    <t>Cordage</t>
  </si>
  <si>
    <t>Grimpe et rando</t>
  </si>
  <si>
    <t>Toutes catégories</t>
  </si>
  <si>
    <t>Tennis</t>
  </si>
  <si>
    <t>Cyclisme</t>
  </si>
  <si>
    <t>Sportswear</t>
  </si>
  <si>
    <t>Réparation vélo</t>
  </si>
  <si>
    <t>Vélo</t>
  </si>
  <si>
    <t>Rapport des ventes</t>
  </si>
  <si>
    <t>Remise moyenne</t>
  </si>
  <si>
    <t>Date</t>
  </si>
  <si>
    <t>Caisse</t>
  </si>
  <si>
    <t>Article</t>
  </si>
  <si>
    <t>Prix remisé</t>
  </si>
  <si>
    <t>Quantité</t>
  </si>
  <si>
    <t>Montant de la vente</t>
  </si>
  <si>
    <t>Libellé</t>
  </si>
  <si>
    <t>Quantités vendues</t>
  </si>
  <si>
    <t>Total général</t>
  </si>
  <si>
    <t>(Tous)</t>
  </si>
  <si>
    <t>Montants</t>
  </si>
  <si>
    <t>Ballon de foot</t>
  </si>
  <si>
    <t>Chaussures de foot</t>
  </si>
  <si>
    <t>Maillot de foot</t>
  </si>
  <si>
    <t>Raquette de tennis</t>
  </si>
  <si>
    <t>Chaussures de running</t>
  </si>
  <si>
    <t>Personnalisation du classeur</t>
  </si>
  <si>
    <t>Appliquer plein écran ?</t>
  </si>
  <si>
    <t>non</t>
  </si>
  <si>
    <t>Afficher formules ?</t>
  </si>
  <si>
    <t>oui</t>
  </si>
  <si>
    <t>Afficher feuilles ?</t>
  </si>
  <si>
    <t>Afficher entêtes ?</t>
  </si>
  <si>
    <t>Cellule de travail</t>
  </si>
  <si>
    <t>Valeurs par défaut</t>
  </si>
  <si>
    <t>…</t>
  </si>
  <si>
    <t>Taux de remise</t>
  </si>
  <si>
    <t>16/01/2016</t>
  </si>
  <si>
    <t>14/01/2016</t>
  </si>
  <si>
    <t>15/01/2016</t>
  </si>
  <si>
    <t>Modes de règlement</t>
  </si>
  <si>
    <t>Carte bancaire</t>
  </si>
  <si>
    <t>Chèque</t>
  </si>
  <si>
    <t>Espèces</t>
  </si>
  <si>
    <t>Autre (préciser)</t>
  </si>
  <si>
    <t>Mode de règlement</t>
  </si>
  <si>
    <t>...</t>
  </si>
  <si>
    <t>12 mètres</t>
  </si>
  <si>
    <t>1 litre</t>
  </si>
  <si>
    <t>Nombre d'articles</t>
  </si>
  <si>
    <t>essai</t>
  </si>
  <si>
    <t>Salomon</t>
  </si>
  <si>
    <t>F652</t>
  </si>
  <si>
    <t>18-01-2016</t>
  </si>
  <si>
    <t>Speedo</t>
  </si>
  <si>
    <t>Maillot de bain</t>
  </si>
  <si>
    <t>Natation</t>
  </si>
  <si>
    <t>Maillot de Bain</t>
  </si>
  <si>
    <t>natation</t>
  </si>
  <si>
    <t>f653</t>
  </si>
  <si>
    <t>wt8998</t>
  </si>
  <si>
    <t>Réparation toute nature</t>
  </si>
  <si>
    <t>Chaussures de foot Mizuno Wave Sayonara</t>
  </si>
  <si>
    <t>Ballon de foot Adidas F50</t>
  </si>
  <si>
    <t>Chaussures de foot Adidas F10</t>
  </si>
  <si>
    <t>Chaussures de foot Adidas Magista</t>
  </si>
  <si>
    <t>Chaussures de foot Adidas Predator</t>
  </si>
  <si>
    <t>Chaussures de running Asics GT-2000</t>
  </si>
  <si>
    <t>Chaussures de running Asics Mercurial</t>
  </si>
  <si>
    <t>Chaussures de running Salomon F652</t>
  </si>
  <si>
    <t>Cordage … 12 mètres</t>
  </si>
  <si>
    <t>Gourde … 1 litre</t>
  </si>
  <si>
    <t>Maillot de foot Adidas Diables</t>
  </si>
  <si>
    <t>Maillot de foot Nike Tiempo</t>
  </si>
  <si>
    <t>Main d'œuvre … ...</t>
  </si>
  <si>
    <t>Raquette de tennis Babolat ...</t>
  </si>
  <si>
    <t>Réparation vélo … ...</t>
  </si>
  <si>
    <t>T-Shirt Oxbow ...</t>
  </si>
  <si>
    <t>Vélo Orbea Kids</t>
  </si>
  <si>
    <t>19/01/2016</t>
  </si>
  <si>
    <t>Sport Plus</t>
  </si>
  <si>
    <t>Bon d'achat</t>
  </si>
  <si>
    <t>18/01/2016</t>
  </si>
  <si>
    <t>sdfs&lt; dfsdf s&lt;df s&lt;</t>
  </si>
  <si>
    <t>19-01-2016</t>
  </si>
  <si>
    <t>Réparation toute nature … ...</t>
  </si>
  <si>
    <t>19-02-2016</t>
  </si>
  <si>
    <t>60,00 €</t>
  </si>
  <si>
    <t>1) Je n'ai plus ce problème non plus   2) Nikel!   3) Intéressant dans les feuilles articles, natures, etc de rajouter à côté de la remise moyenne le prix de vente moyen 4) Ok super 5) j'ai déjà su comment faire mais je retombe plus dessus.. Au niveau du TCD comment faire pour faire un sous total tout les mois? 6) Il y a 2 formats différents de date, est ce parce que tu as changer le formulaire pour inscrire une vente?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</si>
</sst>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0.00_);_(&quot;€&quot;* \(#,##0.00\);_(&quot;€&quot;* &quot;-&quot;??_);_(@_)"/>
    <numFmt numFmtId="165" formatCode="_(* #,##0.00_);_(* \(#,##0.00\);_(* &quot;-&quot;??_);_(@_)"/>
    <numFmt numFmtId="166" formatCode="_-* #,##0\ _€_-;\-* #,##0\ _€_-;_-* &quot;-&quot;??\ _€_-;_-@_-"/>
    <numFmt numFmtId="167" formatCode="#,##0&quot; article(s)&quot;"/>
    <numFmt numFmtId="168" formatCode="#,##0&quot; ligne(s)&quot;"/>
    <numFmt numFmtId="169" formatCode="#,##0.00\ &quot;€&quot;"/>
  </numFmts>
  <fonts count="16" x14ac:knownFonts="1">
    <font>
      <sz val="11"/>
      <color theme="1"/>
      <name val="Calibri"/>
      <family val="2"/>
      <scheme val="minor"/>
    </font>
    <font>
      <sz val="10"/>
      <color theme="1"/>
      <name val="Arial"/>
      <family val="2"/>
    </font>
    <font>
      <sz val="11"/>
      <color theme="1"/>
      <name val="Calibri"/>
      <family val="2"/>
      <scheme val="minor"/>
    </font>
    <font>
      <sz val="11"/>
      <name val="Calibri"/>
      <family val="2"/>
      <scheme val="minor"/>
    </font>
    <font>
      <b/>
      <sz val="11"/>
      <name val="Calibri"/>
      <family val="2"/>
      <scheme val="minor"/>
    </font>
    <font>
      <sz val="11"/>
      <name val="Arial Narrow"/>
      <family val="2"/>
    </font>
    <font>
      <sz val="26"/>
      <color theme="6" tint="-0.249977111117893"/>
      <name val="Arial Black"/>
      <family val="2"/>
    </font>
    <font>
      <b/>
      <sz val="18"/>
      <color theme="6" tint="-0.499984740745262"/>
      <name val="Calibri"/>
      <family val="2"/>
      <scheme val="minor"/>
    </font>
    <font>
      <sz val="10"/>
      <color theme="0"/>
      <name val="Arial"/>
      <family val="2"/>
    </font>
    <font>
      <sz val="11"/>
      <color theme="0"/>
      <name val="Calibri"/>
      <family val="2"/>
      <scheme val="minor"/>
    </font>
    <font>
      <b/>
      <sz val="10"/>
      <name val="Arial"/>
      <family val="2"/>
    </font>
    <font>
      <sz val="10"/>
      <name val="Arial"/>
      <family val="2"/>
    </font>
    <font>
      <b/>
      <sz val="10"/>
      <color theme="0"/>
      <name val="Arial"/>
      <family val="2"/>
    </font>
    <font>
      <b/>
      <sz val="11"/>
      <color theme="0"/>
      <name val="Calibri"/>
      <family val="2"/>
      <scheme val="minor"/>
    </font>
    <font>
      <b/>
      <sz val="11"/>
      <name val="Arial Narrow"/>
      <family val="2"/>
    </font>
    <font>
      <b/>
      <sz val="18"/>
      <color theme="6" tint="-0.499984740745262"/>
      <name val="Arial Narrow"/>
      <family val="2"/>
    </font>
  </fonts>
  <fills count="9">
    <fill>
      <patternFill patternType="none"/>
    </fill>
    <fill>
      <patternFill patternType="gray125"/>
    </fill>
    <fill>
      <patternFill patternType="solid">
        <fgColor theme="5" tint="0.59999389629810485"/>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79998168889431442"/>
        <bgColor indexed="64"/>
      </patternFill>
    </fill>
    <fill>
      <patternFill patternType="solid">
        <fgColor theme="0"/>
        <bgColor indexed="64"/>
      </patternFill>
    </fill>
  </fills>
  <borders count="1">
    <border>
      <left/>
      <right/>
      <top/>
      <bottom/>
      <diagonal/>
    </border>
  </borders>
  <cellStyleXfs count="4">
    <xf numFmtId="0" fontId="0"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cellStyleXfs>
  <cellXfs count="110">
    <xf numFmtId="0" fontId="0" fillId="0" borderId="0" xfId="0"/>
    <xf numFmtId="0" fontId="0" fillId="0" borderId="0" xfId="0" applyAlignment="1">
      <alignment horizontal="left"/>
    </xf>
    <xf numFmtId="0" fontId="0" fillId="4" borderId="0" xfId="0" applyFill="1"/>
    <xf numFmtId="0" fontId="3" fillId="0" borderId="0" xfId="0" applyFont="1" applyFill="1" applyBorder="1" applyProtection="1">
      <protection locked="0"/>
    </xf>
    <xf numFmtId="0" fontId="6" fillId="4" borderId="0" xfId="0" applyFont="1" applyFill="1" applyAlignment="1">
      <alignment horizontal="center"/>
    </xf>
    <xf numFmtId="0" fontId="0" fillId="0" borderId="0" xfId="0" pivotButton="1"/>
    <xf numFmtId="169" fontId="0" fillId="0" borderId="0" xfId="0" applyNumberFormat="1"/>
    <xf numFmtId="0" fontId="0" fillId="0" borderId="0" xfId="0" applyAlignment="1">
      <alignment vertical="top" wrapText="1"/>
    </xf>
    <xf numFmtId="0" fontId="0" fillId="0" borderId="0" xfId="0" applyAlignment="1">
      <alignment horizontal="center" vertical="top" wrapText="1"/>
    </xf>
    <xf numFmtId="0" fontId="9" fillId="6" borderId="0" xfId="0" applyFont="1" applyFill="1"/>
    <xf numFmtId="0" fontId="10" fillId="8" borderId="0" xfId="0" applyFont="1" applyFill="1"/>
    <xf numFmtId="0" fontId="0" fillId="8" borderId="0" xfId="0" applyFill="1"/>
    <xf numFmtId="0" fontId="8" fillId="6" borderId="0" xfId="0" applyFont="1" applyFill="1" applyAlignment="1" applyProtection="1">
      <alignment vertical="top"/>
    </xf>
    <xf numFmtId="0" fontId="8" fillId="6" borderId="0" xfId="0" applyFont="1" applyFill="1"/>
    <xf numFmtId="0" fontId="1" fillId="5" borderId="0" xfId="0" applyFont="1" applyFill="1" applyAlignment="1" applyProtection="1">
      <alignment vertical="top"/>
    </xf>
    <xf numFmtId="0" fontId="11" fillId="7" borderId="0" xfId="0" applyFont="1" applyFill="1" applyAlignment="1" applyProtection="1">
      <alignment horizontal="center"/>
      <protection locked="0"/>
    </xf>
    <xf numFmtId="0" fontId="11" fillId="7" borderId="0" xfId="0" applyFont="1" applyFill="1" applyAlignment="1" applyProtection="1">
      <alignment horizontal="center" wrapText="1"/>
      <protection locked="0"/>
    </xf>
    <xf numFmtId="0" fontId="8" fillId="8" borderId="0" xfId="0" applyFont="1" applyFill="1" applyProtection="1">
      <protection locked="0"/>
    </xf>
    <xf numFmtId="0" fontId="12" fillId="6" borderId="0" xfId="0" applyFont="1" applyFill="1"/>
    <xf numFmtId="0" fontId="13" fillId="6" borderId="0" xfId="0" applyFont="1" applyFill="1"/>
    <xf numFmtId="0" fontId="11" fillId="5" borderId="0" xfId="0" applyFont="1" applyFill="1"/>
    <xf numFmtId="0" fontId="0" fillId="7" borderId="0" xfId="0" applyFill="1" applyProtection="1">
      <protection locked="0"/>
    </xf>
    <xf numFmtId="0" fontId="0" fillId="0" borderId="0" xfId="0" applyFill="1"/>
    <xf numFmtId="0" fontId="8" fillId="0" borderId="0" xfId="0" applyFont="1" applyFill="1" applyAlignment="1">
      <alignment horizontal="center"/>
    </xf>
    <xf numFmtId="0" fontId="8" fillId="0" borderId="0" xfId="0" applyFont="1" applyFill="1"/>
    <xf numFmtId="0" fontId="3" fillId="0" borderId="0" xfId="0" applyFont="1" applyFill="1" applyBorder="1" applyProtection="1"/>
    <xf numFmtId="164" fontId="3" fillId="0" borderId="0" xfId="1" applyFont="1" applyFill="1" applyBorder="1" applyProtection="1"/>
    <xf numFmtId="166" fontId="3" fillId="0" borderId="0" xfId="2" applyNumberFormat="1" applyFont="1" applyFill="1" applyBorder="1" applyProtection="1"/>
    <xf numFmtId="10" fontId="3" fillId="2" borderId="0" xfId="3" applyNumberFormat="1" applyFont="1" applyFill="1" applyBorder="1" applyAlignment="1" applyProtection="1">
      <alignment horizontal="center"/>
    </xf>
    <xf numFmtId="164" fontId="3" fillId="2" borderId="0" xfId="1" applyFont="1" applyFill="1" applyBorder="1" applyProtection="1"/>
    <xf numFmtId="0" fontId="4" fillId="5" borderId="0" xfId="0" applyFont="1" applyFill="1" applyBorder="1" applyAlignment="1" applyProtection="1">
      <alignment vertical="top" wrapText="1"/>
    </xf>
    <xf numFmtId="164" fontId="4" fillId="2" borderId="0" xfId="1" applyFont="1" applyFill="1" applyBorder="1" applyAlignment="1" applyProtection="1">
      <alignment horizontal="center" vertical="top" wrapText="1"/>
    </xf>
    <xf numFmtId="164" fontId="4" fillId="5" borderId="0" xfId="1" applyFont="1" applyFill="1" applyBorder="1" applyAlignment="1" applyProtection="1">
      <alignment horizontal="center" vertical="top" wrapText="1"/>
    </xf>
    <xf numFmtId="0" fontId="4" fillId="0" borderId="0" xfId="0" applyFont="1" applyFill="1" applyBorder="1" applyAlignment="1" applyProtection="1">
      <alignment vertical="top" wrapText="1"/>
    </xf>
    <xf numFmtId="164" fontId="3" fillId="3" borderId="0" xfId="1" applyFont="1" applyFill="1" applyBorder="1" applyProtection="1"/>
    <xf numFmtId="10" fontId="3" fillId="3" borderId="0" xfId="3" applyNumberFormat="1" applyFont="1" applyFill="1" applyBorder="1" applyAlignment="1" applyProtection="1">
      <alignment horizontal="center"/>
    </xf>
    <xf numFmtId="0" fontId="3" fillId="5" borderId="0" xfId="0" applyFont="1" applyFill="1" applyBorder="1" applyProtection="1"/>
    <xf numFmtId="164" fontId="3" fillId="5" borderId="0" xfId="1" applyFont="1" applyFill="1" applyBorder="1" applyProtection="1"/>
    <xf numFmtId="10" fontId="3" fillId="0" borderId="0" xfId="3" applyNumberFormat="1" applyFont="1" applyFill="1" applyBorder="1" applyAlignment="1" applyProtection="1">
      <alignment horizontal="center"/>
    </xf>
    <xf numFmtId="167" fontId="3" fillId="2" borderId="0" xfId="0" applyNumberFormat="1" applyFont="1" applyFill="1" applyBorder="1" applyAlignment="1" applyProtection="1">
      <alignment horizontal="center"/>
    </xf>
    <xf numFmtId="166" fontId="3" fillId="2" borderId="0" xfId="2" applyNumberFormat="1" applyFont="1" applyFill="1" applyBorder="1" applyProtection="1"/>
    <xf numFmtId="0" fontId="4" fillId="2" borderId="0" xfId="0" applyFont="1" applyFill="1" applyBorder="1" applyAlignment="1" applyProtection="1">
      <alignment vertical="top" wrapText="1"/>
    </xf>
    <xf numFmtId="166" fontId="4" fillId="2" borderId="0" xfId="2" applyNumberFormat="1" applyFont="1" applyFill="1" applyBorder="1" applyAlignment="1" applyProtection="1">
      <alignment horizontal="center" vertical="top" wrapText="1"/>
    </xf>
    <xf numFmtId="10" fontId="4" fillId="2" borderId="0" xfId="3" applyNumberFormat="1" applyFont="1" applyFill="1" applyBorder="1" applyAlignment="1" applyProtection="1">
      <alignment horizontal="center" vertical="top" wrapText="1"/>
    </xf>
    <xf numFmtId="166" fontId="3" fillId="3" borderId="0" xfId="2" applyNumberFormat="1" applyFont="1" applyFill="1" applyBorder="1" applyProtection="1"/>
    <xf numFmtId="0" fontId="5" fillId="3" borderId="0" xfId="0" applyFont="1" applyFill="1" applyBorder="1" applyProtection="1"/>
    <xf numFmtId="0" fontId="3" fillId="2" borderId="0" xfId="0" applyFont="1" applyFill="1" applyBorder="1" applyProtection="1"/>
    <xf numFmtId="165" fontId="3" fillId="2" borderId="0" xfId="2" applyFont="1" applyFill="1" applyBorder="1" applyProtection="1"/>
    <xf numFmtId="164" fontId="4" fillId="5" borderId="0" xfId="1" applyFont="1" applyFill="1" applyBorder="1" applyAlignment="1" applyProtection="1">
      <alignment horizontal="left" vertical="top" wrapText="1"/>
    </xf>
    <xf numFmtId="165" fontId="3" fillId="3" borderId="0" xfId="2" applyFont="1" applyFill="1" applyBorder="1" applyProtection="1"/>
    <xf numFmtId="164" fontId="3" fillId="5" borderId="0" xfId="1" applyFont="1" applyFill="1" applyBorder="1" applyAlignment="1" applyProtection="1">
      <alignment horizontal="left"/>
    </xf>
    <xf numFmtId="0" fontId="3" fillId="4" borderId="0" xfId="0" applyFont="1" applyFill="1" applyBorder="1" applyProtection="1"/>
    <xf numFmtId="0" fontId="5" fillId="0" borderId="0" xfId="0" applyFont="1" applyFill="1" applyBorder="1" applyProtection="1"/>
    <xf numFmtId="168" fontId="5" fillId="2" borderId="0" xfId="0" applyNumberFormat="1" applyFont="1" applyFill="1" applyBorder="1" applyAlignment="1" applyProtection="1">
      <alignment horizontal="center"/>
    </xf>
    <xf numFmtId="0" fontId="14" fillId="5" borderId="0" xfId="0" applyFont="1" applyFill="1" applyBorder="1" applyAlignment="1" applyProtection="1">
      <alignment vertical="top" wrapText="1"/>
    </xf>
    <xf numFmtId="0" fontId="5" fillId="5" borderId="0" xfId="0" applyFont="1" applyFill="1" applyBorder="1" applyProtection="1"/>
    <xf numFmtId="0" fontId="5" fillId="0" borderId="0" xfId="0" applyFont="1" applyFill="1" applyBorder="1" applyAlignment="1" applyProtection="1">
      <alignment horizontal="center"/>
    </xf>
    <xf numFmtId="164" fontId="5" fillId="0" borderId="0" xfId="1" applyFont="1" applyFill="1" applyBorder="1" applyProtection="1"/>
    <xf numFmtId="166" fontId="5" fillId="0" borderId="0" xfId="2" applyNumberFormat="1" applyFont="1" applyFill="1" applyBorder="1" applyAlignment="1" applyProtection="1">
      <alignment horizontal="center"/>
    </xf>
    <xf numFmtId="166" fontId="5" fillId="0" borderId="0" xfId="2" applyNumberFormat="1" applyFont="1" applyFill="1" applyBorder="1" applyProtection="1"/>
    <xf numFmtId="14" fontId="5" fillId="0" borderId="0" xfId="0" applyNumberFormat="1" applyFont="1" applyFill="1" applyBorder="1" applyProtection="1"/>
    <xf numFmtId="10" fontId="5" fillId="2" borderId="0" xfId="3" applyNumberFormat="1" applyFont="1" applyFill="1" applyBorder="1" applyAlignment="1" applyProtection="1">
      <alignment horizontal="center"/>
    </xf>
    <xf numFmtId="164" fontId="5" fillId="2" borderId="0" xfId="1" applyFont="1" applyFill="1" applyBorder="1" applyProtection="1"/>
    <xf numFmtId="14" fontId="14" fillId="5" borderId="0" xfId="0" applyNumberFormat="1" applyFont="1" applyFill="1" applyBorder="1" applyAlignment="1" applyProtection="1">
      <alignment horizontal="center" vertical="top" wrapText="1"/>
    </xf>
    <xf numFmtId="0" fontId="14" fillId="5" borderId="0" xfId="0" applyFont="1" applyFill="1" applyBorder="1" applyAlignment="1" applyProtection="1">
      <alignment horizontal="center" vertical="top" wrapText="1"/>
    </xf>
    <xf numFmtId="164" fontId="14" fillId="2" borderId="0" xfId="1" applyFont="1" applyFill="1" applyBorder="1" applyAlignment="1" applyProtection="1">
      <alignment horizontal="center" vertical="top" wrapText="1"/>
    </xf>
    <xf numFmtId="164" fontId="14" fillId="5" borderId="0" xfId="1" applyFont="1" applyFill="1" applyBorder="1" applyAlignment="1" applyProtection="1">
      <alignment horizontal="center" vertical="top" wrapText="1"/>
    </xf>
    <xf numFmtId="165" fontId="14" fillId="5" borderId="0" xfId="2" applyFont="1" applyFill="1" applyBorder="1" applyAlignment="1" applyProtection="1">
      <alignment horizontal="center" vertical="top" wrapText="1"/>
    </xf>
    <xf numFmtId="0" fontId="14" fillId="0" borderId="0" xfId="0" applyFont="1" applyFill="1" applyBorder="1" applyAlignment="1" applyProtection="1">
      <alignment vertical="top" wrapText="1"/>
    </xf>
    <xf numFmtId="14" fontId="5" fillId="0" borderId="0" xfId="0" applyNumberFormat="1" applyFont="1" applyFill="1" applyBorder="1" applyAlignment="1" applyProtection="1">
      <alignment horizontal="center"/>
    </xf>
    <xf numFmtId="164" fontId="5" fillId="3" borderId="0" xfId="1" applyFont="1" applyFill="1" applyBorder="1" applyProtection="1"/>
    <xf numFmtId="10" fontId="5" fillId="3" borderId="0" xfId="3" applyNumberFormat="1" applyFont="1" applyFill="1" applyBorder="1" applyAlignment="1" applyProtection="1">
      <alignment horizontal="center"/>
    </xf>
    <xf numFmtId="165" fontId="5" fillId="0" borderId="0" xfId="2" applyFont="1" applyFill="1" applyBorder="1" applyProtection="1"/>
    <xf numFmtId="0" fontId="5" fillId="0" borderId="0" xfId="0" applyFont="1" applyFill="1" applyBorder="1" applyProtection="1">
      <protection locked="0"/>
    </xf>
    <xf numFmtId="14" fontId="5" fillId="5" borderId="0" xfId="0" applyNumberFormat="1" applyFont="1" applyFill="1" applyBorder="1" applyAlignment="1" applyProtection="1">
      <alignment horizontal="center"/>
    </xf>
    <xf numFmtId="0" fontId="5" fillId="5" borderId="0" xfId="0" applyFont="1" applyFill="1" applyBorder="1" applyAlignment="1" applyProtection="1">
      <alignment horizontal="center"/>
    </xf>
    <xf numFmtId="164" fontId="5" fillId="5" borderId="0" xfId="1" applyFont="1" applyFill="1" applyBorder="1" applyProtection="1"/>
    <xf numFmtId="164" fontId="5" fillId="2" borderId="0" xfId="1" applyFont="1" applyFill="1" applyBorder="1" applyAlignment="1" applyProtection="1">
      <alignment horizontal="center"/>
    </xf>
    <xf numFmtId="165" fontId="5" fillId="5" borderId="0" xfId="2" applyFont="1" applyFill="1" applyBorder="1" applyProtection="1"/>
    <xf numFmtId="0" fontId="7" fillId="0" borderId="0" xfId="0" applyFont="1" applyFill="1" applyBorder="1" applyAlignment="1">
      <alignment horizontal="left"/>
    </xf>
    <xf numFmtId="0" fontId="0" fillId="0" borderId="0" xfId="0" pivotButton="1" applyAlignment="1">
      <alignment horizontal="left"/>
    </xf>
    <xf numFmtId="0" fontId="0" fillId="0" borderId="0" xfId="0" pivotButton="1" applyAlignment="1">
      <alignment horizontal="left" vertical="top" wrapText="1"/>
    </xf>
    <xf numFmtId="0" fontId="3" fillId="0" borderId="0" xfId="0" applyFont="1" applyFill="1" applyBorder="1" applyAlignment="1" applyProtection="1">
      <alignment horizontal="left"/>
    </xf>
    <xf numFmtId="0" fontId="4" fillId="2" borderId="0" xfId="0" applyFont="1" applyFill="1" applyBorder="1" applyAlignment="1" applyProtection="1">
      <alignment horizontal="left" vertical="top" wrapText="1"/>
    </xf>
    <xf numFmtId="0" fontId="5" fillId="3" borderId="0" xfId="0" applyFont="1" applyFill="1" applyBorder="1" applyAlignment="1" applyProtection="1">
      <alignment horizontal="left"/>
    </xf>
    <xf numFmtId="0" fontId="3" fillId="2" borderId="0" xfId="0" applyFont="1" applyFill="1" applyBorder="1" applyAlignment="1" applyProtection="1">
      <alignment horizontal="left"/>
    </xf>
    <xf numFmtId="0" fontId="0" fillId="7" borderId="0" xfId="0" applyFill="1" applyAlignment="1" applyProtection="1">
      <alignment horizontal="left"/>
      <protection locked="0"/>
    </xf>
    <xf numFmtId="0" fontId="3" fillId="0" borderId="0" xfId="0" applyNumberFormat="1" applyFont="1" applyFill="1" applyBorder="1" applyAlignment="1" applyProtection="1">
      <alignment horizontal="center"/>
    </xf>
    <xf numFmtId="0" fontId="3" fillId="2" borderId="0" xfId="2" applyNumberFormat="1" applyFont="1" applyFill="1" applyBorder="1" applyAlignment="1" applyProtection="1">
      <alignment horizontal="center"/>
    </xf>
    <xf numFmtId="0" fontId="4" fillId="2" borderId="0" xfId="2" applyNumberFormat="1" applyFont="1" applyFill="1" applyBorder="1" applyAlignment="1" applyProtection="1">
      <alignment horizontal="center" vertical="top" wrapText="1"/>
    </xf>
    <xf numFmtId="0" fontId="3" fillId="3" borderId="0" xfId="2" applyNumberFormat="1" applyFont="1" applyFill="1" applyBorder="1" applyAlignment="1" applyProtection="1">
      <alignment horizontal="center"/>
    </xf>
    <xf numFmtId="166" fontId="5" fillId="2" borderId="0" xfId="2" applyNumberFormat="1" applyFont="1" applyFill="1" applyBorder="1" applyProtection="1"/>
    <xf numFmtId="14" fontId="5" fillId="2" borderId="0" xfId="0" applyNumberFormat="1" applyFont="1" applyFill="1" applyBorder="1" applyProtection="1"/>
    <xf numFmtId="0" fontId="5" fillId="2" borderId="0" xfId="0" applyFont="1" applyFill="1" applyBorder="1" applyAlignment="1" applyProtection="1">
      <alignment horizontal="center"/>
    </xf>
    <xf numFmtId="0" fontId="5" fillId="2" borderId="0" xfId="0" applyFont="1" applyFill="1" applyBorder="1" applyProtection="1"/>
    <xf numFmtId="14" fontId="15" fillId="8" borderId="0" xfId="0" applyNumberFormat="1" applyFont="1" applyFill="1" applyBorder="1" applyProtection="1"/>
    <xf numFmtId="0" fontId="5" fillId="8" borderId="0" xfId="0" applyFont="1" applyFill="1" applyBorder="1" applyAlignment="1" applyProtection="1">
      <alignment horizontal="center"/>
    </xf>
    <xf numFmtId="0" fontId="5" fillId="8" borderId="0" xfId="0" applyFont="1" applyFill="1" applyBorder="1" applyProtection="1"/>
    <xf numFmtId="164" fontId="5" fillId="8" borderId="0" xfId="1" applyFont="1" applyFill="1" applyBorder="1" applyProtection="1"/>
    <xf numFmtId="166" fontId="5" fillId="8" borderId="0" xfId="2" applyNumberFormat="1" applyFont="1" applyFill="1" applyBorder="1" applyAlignment="1" applyProtection="1">
      <alignment horizontal="center"/>
    </xf>
    <xf numFmtId="166" fontId="5" fillId="8" borderId="0" xfId="2" applyNumberFormat="1" applyFont="1" applyFill="1" applyBorder="1" applyProtection="1"/>
    <xf numFmtId="14" fontId="5" fillId="8" borderId="0" xfId="0" applyNumberFormat="1" applyFont="1" applyFill="1" applyBorder="1" applyProtection="1"/>
    <xf numFmtId="0" fontId="7" fillId="8" borderId="0" xfId="0" applyFont="1" applyFill="1" applyBorder="1" applyProtection="1"/>
    <xf numFmtId="0" fontId="3" fillId="8" borderId="0" xfId="0" applyFont="1" applyFill="1" applyBorder="1" applyProtection="1"/>
    <xf numFmtId="164" fontId="3" fillId="8" borderId="0" xfId="1" applyFont="1" applyFill="1" applyBorder="1" applyProtection="1"/>
    <xf numFmtId="166" fontId="3" fillId="8" borderId="0" xfId="2" applyNumberFormat="1" applyFont="1" applyFill="1" applyBorder="1" applyProtection="1"/>
    <xf numFmtId="10" fontId="3" fillId="8" borderId="0" xfId="3" applyNumberFormat="1" applyFont="1" applyFill="1" applyBorder="1" applyAlignment="1" applyProtection="1">
      <alignment horizontal="center"/>
    </xf>
    <xf numFmtId="0" fontId="3" fillId="8" borderId="0" xfId="0" applyNumberFormat="1" applyFont="1" applyFill="1" applyBorder="1" applyAlignment="1" applyProtection="1">
      <alignment horizontal="center"/>
    </xf>
    <xf numFmtId="0" fontId="0" fillId="0" borderId="0" xfId="0" applyBorder="1" applyAlignment="1">
      <alignment vertical="top"/>
    </xf>
    <xf numFmtId="0" fontId="0" fillId="0" borderId="0" xfId="0" applyAlignment="1">
      <alignment horizontal="center" wrapText="1"/>
    </xf>
  </cellXfs>
  <cellStyles count="4">
    <cellStyle name="Milliers" xfId="2" builtinId="3"/>
    <cellStyle name="Monétaire" xfId="1" builtinId="4"/>
    <cellStyle name="Normal" xfId="0" builtinId="0"/>
    <cellStyle name="Pourcentage" xfId="3" builtinId="5"/>
  </cellStyles>
  <dxfs count="3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alignment horizontal="left" readingOrder="0"/>
    </dxf>
    <dxf>
      <alignment horizontal="left" readingOrder="0"/>
    </dxf>
    <dxf>
      <alignment horizontal="left" readingOrder="0"/>
    </dxf>
    <dxf>
      <alignment horizontal="left" readingOrder="0"/>
    </dxf>
    <dxf>
      <alignment horizontal="left" readingOrder="0"/>
    </dxf>
    <dxf>
      <alignment horizontal="center" readingOrder="0"/>
    </dxf>
    <dxf>
      <alignment horizontal="center" readingOrder="0"/>
    </dxf>
    <dxf>
      <alignment vertical="top" readingOrder="0"/>
    </dxf>
    <dxf>
      <alignment vertical="top" readingOrder="0"/>
    </dxf>
    <dxf>
      <alignment vertical="top" readingOrder="0"/>
    </dxf>
    <dxf>
      <alignment wrapText="1" readingOrder="0"/>
    </dxf>
    <dxf>
      <alignment wrapText="1" readingOrder="0"/>
    </dxf>
    <dxf>
      <alignment wrapText="1"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[Registre des ventes v3.xlsm]Statistiques!Tableau croisé dynamique1</c:name>
    <c:fmtId val="0"/>
  </c:pivotSource>
  <c:chart>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s>
    <c:view3D>
      <c:rotX val="15"/>
      <c:rotY val="20"/>
      <c:rAngAx val="1"/>
    </c:view3D>
    <c:floor>
      <c:thickness val="0"/>
    </c:floor>
    <c:sideWall>
      <c:thickness val="0"/>
    </c:sideWall>
    <c:backWall>
      <c:thickness val="0"/>
    </c:backWall>
    <c:plotArea>
      <c:layout/>
      <c:bar3DChart>
        <c:barDir val="col"/>
        <c:grouping val="stacked"/>
        <c:varyColors val="0"/>
        <c:ser>
          <c:idx val="0"/>
          <c:order val="0"/>
          <c:tx>
            <c:strRef>
              <c:f>Statistiques!$B$6:$B$7</c:f>
              <c:strCache>
                <c:ptCount val="1"/>
                <c:pt idx="0">
                  <c:v>Carte bancaire</c:v>
                </c:pt>
              </c:strCache>
            </c:strRef>
          </c:tx>
          <c:invertIfNegative val="0"/>
          <c:cat>
            <c:strRef>
              <c:f>Statistiques!$A$8:$A$16</c:f>
              <c:strCache>
                <c:ptCount val="8"/>
                <c:pt idx="0">
                  <c:v>14/01/2016</c:v>
                </c:pt>
                <c:pt idx="1">
                  <c:v>16/01/2016</c:v>
                </c:pt>
                <c:pt idx="2">
                  <c:v>15/01/2016</c:v>
                </c:pt>
                <c:pt idx="3">
                  <c:v>19/01/2016</c:v>
                </c:pt>
                <c:pt idx="4">
                  <c:v>18-01-2016</c:v>
                </c:pt>
                <c:pt idx="5">
                  <c:v>18/01/2016</c:v>
                </c:pt>
                <c:pt idx="6">
                  <c:v>19-01-2016</c:v>
                </c:pt>
                <c:pt idx="7">
                  <c:v>19-02-2016</c:v>
                </c:pt>
              </c:strCache>
            </c:strRef>
          </c:cat>
          <c:val>
            <c:numRef>
              <c:f>Statistiques!$B$8:$B$16</c:f>
              <c:numCache>
                <c:formatCode>#,##0.00\ "€"</c:formatCode>
                <c:ptCount val="8"/>
                <c:pt idx="0">
                  <c:v>345</c:v>
                </c:pt>
                <c:pt idx="1">
                  <c:v>805</c:v>
                </c:pt>
                <c:pt idx="2">
                  <c:v>650</c:v>
                </c:pt>
                <c:pt idx="3">
                  <c:v>25</c:v>
                </c:pt>
                <c:pt idx="6">
                  <c:v>10</c:v>
                </c:pt>
                <c:pt idx="7">
                  <c:v>60</c:v>
                </c:pt>
              </c:numCache>
            </c:numRef>
          </c:val>
          <c:extLst>
            <c:ext xmlns:c16="http://schemas.microsoft.com/office/drawing/2014/chart" uri="{C3380CC4-5D6E-409C-BE32-E72D297353CC}">
              <c16:uniqueId val="{00000000-CDA7-4C40-BE46-8F8A97FAB53C}"/>
            </c:ext>
          </c:extLst>
        </c:ser>
        <c:ser>
          <c:idx val="1"/>
          <c:order val="1"/>
          <c:tx>
            <c:strRef>
              <c:f>Statistiques!$C$6:$C$7</c:f>
              <c:strCache>
                <c:ptCount val="1"/>
                <c:pt idx="0">
                  <c:v>Chèque</c:v>
                </c:pt>
              </c:strCache>
            </c:strRef>
          </c:tx>
          <c:invertIfNegative val="0"/>
          <c:cat>
            <c:strRef>
              <c:f>Statistiques!$A$8:$A$16</c:f>
              <c:strCache>
                <c:ptCount val="8"/>
                <c:pt idx="0">
                  <c:v>14/01/2016</c:v>
                </c:pt>
                <c:pt idx="1">
                  <c:v>16/01/2016</c:v>
                </c:pt>
                <c:pt idx="2">
                  <c:v>15/01/2016</c:v>
                </c:pt>
                <c:pt idx="3">
                  <c:v>19/01/2016</c:v>
                </c:pt>
                <c:pt idx="4">
                  <c:v>18-01-2016</c:v>
                </c:pt>
                <c:pt idx="5">
                  <c:v>18/01/2016</c:v>
                </c:pt>
                <c:pt idx="6">
                  <c:v>19-01-2016</c:v>
                </c:pt>
                <c:pt idx="7">
                  <c:v>19-02-2016</c:v>
                </c:pt>
              </c:strCache>
            </c:strRef>
          </c:cat>
          <c:val>
            <c:numRef>
              <c:f>Statistiques!$C$8:$C$16</c:f>
              <c:numCache>
                <c:formatCode>#,##0.00\ "€"</c:formatCode>
                <c:ptCount val="8"/>
                <c:pt idx="0">
                  <c:v>350</c:v>
                </c:pt>
                <c:pt idx="1">
                  <c:v>1655</c:v>
                </c:pt>
                <c:pt idx="2">
                  <c:v>480</c:v>
                </c:pt>
                <c:pt idx="4">
                  <c:v>67</c:v>
                </c:pt>
                <c:pt idx="5">
                  <c:v>25</c:v>
                </c:pt>
              </c:numCache>
            </c:numRef>
          </c:val>
          <c:extLst>
            <c:ext xmlns:c16="http://schemas.microsoft.com/office/drawing/2014/chart" uri="{C3380CC4-5D6E-409C-BE32-E72D297353CC}">
              <c16:uniqueId val="{00000001-CDA7-4C40-BE46-8F8A97FAB53C}"/>
            </c:ext>
          </c:extLst>
        </c:ser>
        <c:ser>
          <c:idx val="2"/>
          <c:order val="2"/>
          <c:tx>
            <c:strRef>
              <c:f>Statistiques!$D$6:$D$7</c:f>
              <c:strCache>
                <c:ptCount val="1"/>
                <c:pt idx="0">
                  <c:v>Espèces</c:v>
                </c:pt>
              </c:strCache>
            </c:strRef>
          </c:tx>
          <c:invertIfNegative val="0"/>
          <c:cat>
            <c:strRef>
              <c:f>Statistiques!$A$8:$A$16</c:f>
              <c:strCache>
                <c:ptCount val="8"/>
                <c:pt idx="0">
                  <c:v>14/01/2016</c:v>
                </c:pt>
                <c:pt idx="1">
                  <c:v>16/01/2016</c:v>
                </c:pt>
                <c:pt idx="2">
                  <c:v>15/01/2016</c:v>
                </c:pt>
                <c:pt idx="3">
                  <c:v>19/01/2016</c:v>
                </c:pt>
                <c:pt idx="4">
                  <c:v>18-01-2016</c:v>
                </c:pt>
                <c:pt idx="5">
                  <c:v>18/01/2016</c:v>
                </c:pt>
                <c:pt idx="6">
                  <c:v>19-01-2016</c:v>
                </c:pt>
                <c:pt idx="7">
                  <c:v>19-02-2016</c:v>
                </c:pt>
              </c:strCache>
            </c:strRef>
          </c:cat>
          <c:val>
            <c:numRef>
              <c:f>Statistiques!$D$8:$D$16</c:f>
              <c:numCache>
                <c:formatCode>#,##0.00\ "€"</c:formatCode>
                <c:ptCount val="8"/>
                <c:pt idx="0">
                  <c:v>467</c:v>
                </c:pt>
                <c:pt idx="1">
                  <c:v>688</c:v>
                </c:pt>
                <c:pt idx="2">
                  <c:v>317</c:v>
                </c:pt>
              </c:numCache>
            </c:numRef>
          </c:val>
          <c:extLst>
            <c:ext xmlns:c16="http://schemas.microsoft.com/office/drawing/2014/chart" uri="{C3380CC4-5D6E-409C-BE32-E72D297353CC}">
              <c16:uniqueId val="{00000002-CDA7-4C40-BE46-8F8A97FAB53C}"/>
            </c:ext>
          </c:extLst>
        </c:ser>
        <c:dLbls>
          <c:showLegendKey val="0"/>
          <c:showVal val="0"/>
          <c:showCatName val="0"/>
          <c:showSerName val="0"/>
          <c:showPercent val="0"/>
          <c:showBubbleSize val="0"/>
        </c:dLbls>
        <c:gapWidth val="150"/>
        <c:shape val="cylinder"/>
        <c:axId val="118351744"/>
        <c:axId val="118353280"/>
        <c:axId val="0"/>
      </c:bar3DChart>
      <c:catAx>
        <c:axId val="118351744"/>
        <c:scaling>
          <c:orientation val="minMax"/>
        </c:scaling>
        <c:delete val="0"/>
        <c:axPos val="b"/>
        <c:numFmt formatCode="General" sourceLinked="0"/>
        <c:majorTickMark val="out"/>
        <c:minorTickMark val="none"/>
        <c:tickLblPos val="nextTo"/>
        <c:crossAx val="118353280"/>
        <c:crosses val="autoZero"/>
        <c:auto val="1"/>
        <c:lblAlgn val="ctr"/>
        <c:lblOffset val="100"/>
        <c:noMultiLvlLbl val="0"/>
      </c:catAx>
      <c:valAx>
        <c:axId val="118353280"/>
        <c:scaling>
          <c:orientation val="minMax"/>
        </c:scaling>
        <c:delete val="0"/>
        <c:axPos val="l"/>
        <c:majorGridlines/>
        <c:numFmt formatCode="#,##0.00\ &quot;€&quot;" sourceLinked="1"/>
        <c:majorTickMark val="out"/>
        <c:minorTickMark val="none"/>
        <c:tickLblPos val="nextTo"/>
        <c:crossAx val="118351744"/>
        <c:crosses val="autoZero"/>
        <c:crossBetween val="between"/>
      </c:valAx>
    </c:plotArea>
    <c:legend>
      <c:legendPos val="r"/>
      <c:overlay val="0"/>
    </c:legend>
    <c:plotVisOnly val="1"/>
    <c:dispBlanksAs val="gap"/>
    <c:showDLblsOverMax val="0"/>
  </c:chart>
  <c:printSettings>
    <c:headerFooter/>
    <c:pageMargins b="0.75000000000000333" l="0.70000000000000062" r="0.70000000000000062" t="0.75000000000000333"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hyperlink" Target="#Cat&#233;gories!A4"/><Relationship Id="rId3" Type="http://schemas.openxmlformats.org/officeDocument/2006/relationships/hyperlink" Target="#Marques!A4"/><Relationship Id="rId7" Type="http://schemas.openxmlformats.org/officeDocument/2006/relationships/hyperlink" Target="#Articles!B4"/><Relationship Id="rId2" Type="http://schemas.openxmlformats.org/officeDocument/2006/relationships/hyperlink" Target="#Ventes!A4"/><Relationship Id="rId1" Type="http://schemas.openxmlformats.org/officeDocument/2006/relationships/image" Target="../media/image1.jpeg"/><Relationship Id="rId6" Type="http://schemas.openxmlformats.org/officeDocument/2006/relationships/hyperlink" Target="#Statistiques!A1"/><Relationship Id="rId5" Type="http://schemas.openxmlformats.org/officeDocument/2006/relationships/hyperlink" Target="#Param&#232;tres!A1"/><Relationship Id="rId4" Type="http://schemas.openxmlformats.org/officeDocument/2006/relationships/hyperlink" Target="#Natures!A4"/><Relationship Id="rId9" Type="http://schemas.openxmlformats.org/officeDocument/2006/relationships/hyperlink" Target="#Types!A4"/></Relationships>
</file>

<file path=xl/drawings/_rels/drawing2.xml.rels><?xml version="1.0" encoding="UTF-8" standalone="yes"?>
<Relationships xmlns="http://schemas.openxmlformats.org/package/2006/relationships"><Relationship Id="rId1" Type="http://schemas.openxmlformats.org/officeDocument/2006/relationships/hyperlink" Target="#Accueil!A1"/></Relationships>
</file>

<file path=xl/drawings/_rels/drawing3.xml.rels><?xml version="1.0" encoding="UTF-8" standalone="yes"?>
<Relationships xmlns="http://schemas.openxmlformats.org/package/2006/relationships"><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1" Type="http://schemas.openxmlformats.org/officeDocument/2006/relationships/hyperlink" Target="#Accueil!A1"/></Relationships>
</file>

<file path=xl/drawings/_rels/drawing6.xml.rels><?xml version="1.0" encoding="UTF-8" standalone="yes"?>
<Relationships xmlns="http://schemas.openxmlformats.org/package/2006/relationships"><Relationship Id="rId1" Type="http://schemas.openxmlformats.org/officeDocument/2006/relationships/hyperlink" Target="#Accueil!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Accueil!A1"/><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editAs="oneCell">
    <xdr:from>
      <xdr:col>0</xdr:col>
      <xdr:colOff>485775</xdr:colOff>
      <xdr:row>0</xdr:row>
      <xdr:rowOff>876302</xdr:rowOff>
    </xdr:from>
    <xdr:to>
      <xdr:col>0</xdr:col>
      <xdr:colOff>2333625</xdr:colOff>
      <xdr:row>1</xdr:row>
      <xdr:rowOff>2667001</xdr:rowOff>
    </xdr:to>
    <xdr:pic>
      <xdr:nvPicPr>
        <xdr:cNvPr id="2" name="Image 1" descr="Ma_Boutique.jpg"/>
        <xdr:cNvPicPr>
          <a:picLocks noChangeAspect="1"/>
        </xdr:cNvPicPr>
      </xdr:nvPicPr>
      <xdr:blipFill>
        <a:blip xmlns:r="http://schemas.openxmlformats.org/officeDocument/2006/relationships" r:embed="rId1" cstate="print">
          <a:duotone>
            <a:prstClr val="black"/>
            <a:schemeClr val="accent3">
              <a:tint val="45000"/>
              <a:satMod val="400000"/>
            </a:schemeClr>
          </a:duotone>
        </a:blip>
        <a:stretch>
          <a:fillRect/>
        </a:stretch>
      </xdr:blipFill>
      <xdr:spPr>
        <a:xfrm>
          <a:off x="485775" y="876302"/>
          <a:ext cx="1847850" cy="2886074"/>
        </a:xfrm>
        <a:prstGeom prst="roundRect">
          <a:avLst>
            <a:gd name="adj" fmla="val 8594"/>
          </a:avLst>
        </a:prstGeom>
        <a:solidFill>
          <a:srgbClr val="FFFFFF">
            <a:shade val="85000"/>
          </a:srgbClr>
        </a:solidFill>
        <a:ln>
          <a:noFill/>
        </a:ln>
        <a:effectLst>
          <a:reflection blurRad="6350" stA="50000" endA="300" endPos="90000" dist="50800" dir="5400000" sy="-100000" algn="bl" rotWithShape="0"/>
        </a:effectLst>
      </xdr:spPr>
    </xdr:pic>
    <xdr:clientData/>
  </xdr:twoCellAnchor>
  <xdr:twoCellAnchor>
    <xdr:from>
      <xdr:col>1</xdr:col>
      <xdr:colOff>1809750</xdr:colOff>
      <xdr:row>1</xdr:row>
      <xdr:rowOff>400050</xdr:rowOff>
    </xdr:from>
    <xdr:to>
      <xdr:col>1</xdr:col>
      <xdr:colOff>3057525</xdr:colOff>
      <xdr:row>1</xdr:row>
      <xdr:rowOff>1000125</xdr:rowOff>
    </xdr:to>
    <xdr:sp macro="" textlink="">
      <xdr:nvSpPr>
        <xdr:cNvPr id="3" name="Rectangle à coins arrondis 2">
          <a:hlinkClick xmlns:r="http://schemas.openxmlformats.org/officeDocument/2006/relationships" r:id="rId2" tooltip="Ventes"/>
        </xdr:cNvPr>
        <xdr:cNvSpPr/>
      </xdr:nvSpPr>
      <xdr:spPr>
        <a:xfrm>
          <a:off x="4276725" y="1495425"/>
          <a:ext cx="1247775" cy="600075"/>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600"/>
            <a:t>Ventes</a:t>
          </a:r>
        </a:p>
      </xdr:txBody>
    </xdr:sp>
    <xdr:clientData/>
  </xdr:twoCellAnchor>
  <xdr:twoCellAnchor>
    <xdr:from>
      <xdr:col>1</xdr:col>
      <xdr:colOff>3238500</xdr:colOff>
      <xdr:row>1</xdr:row>
      <xdr:rowOff>1171575</xdr:rowOff>
    </xdr:from>
    <xdr:to>
      <xdr:col>1</xdr:col>
      <xdr:colOff>4486275</xdr:colOff>
      <xdr:row>1</xdr:row>
      <xdr:rowOff>1752600</xdr:rowOff>
    </xdr:to>
    <xdr:sp macro="" textlink="">
      <xdr:nvSpPr>
        <xdr:cNvPr id="4" name="Rectangle à coins arrondis 3">
          <a:hlinkClick xmlns:r="http://schemas.openxmlformats.org/officeDocument/2006/relationships" r:id="rId3" tooltip="Marques"/>
        </xdr:cNvPr>
        <xdr:cNvSpPr/>
      </xdr:nvSpPr>
      <xdr:spPr>
        <a:xfrm>
          <a:off x="5705475" y="277177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Marques</a:t>
          </a:r>
        </a:p>
      </xdr:txBody>
    </xdr:sp>
    <xdr:clientData/>
  </xdr:twoCellAnchor>
  <xdr:twoCellAnchor>
    <xdr:from>
      <xdr:col>1</xdr:col>
      <xdr:colOff>4667250</xdr:colOff>
      <xdr:row>1</xdr:row>
      <xdr:rowOff>1152525</xdr:rowOff>
    </xdr:from>
    <xdr:to>
      <xdr:col>1</xdr:col>
      <xdr:colOff>5915025</xdr:colOff>
      <xdr:row>1</xdr:row>
      <xdr:rowOff>1733550</xdr:rowOff>
    </xdr:to>
    <xdr:sp macro="" textlink="">
      <xdr:nvSpPr>
        <xdr:cNvPr id="5" name="Rectangle à coins arrondis 4">
          <a:hlinkClick xmlns:r="http://schemas.openxmlformats.org/officeDocument/2006/relationships" r:id="rId4" tooltip="Natures"/>
        </xdr:cNvPr>
        <xdr:cNvSpPr/>
      </xdr:nvSpPr>
      <xdr:spPr>
        <a:xfrm>
          <a:off x="7134225" y="275272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Natures</a:t>
          </a:r>
        </a:p>
      </xdr:txBody>
    </xdr:sp>
    <xdr:clientData/>
  </xdr:twoCellAnchor>
  <xdr:twoCellAnchor>
    <xdr:from>
      <xdr:col>1</xdr:col>
      <xdr:colOff>3257550</xdr:colOff>
      <xdr:row>1</xdr:row>
      <xdr:rowOff>1933575</xdr:rowOff>
    </xdr:from>
    <xdr:to>
      <xdr:col>1</xdr:col>
      <xdr:colOff>4505325</xdr:colOff>
      <xdr:row>1</xdr:row>
      <xdr:rowOff>2514600</xdr:rowOff>
    </xdr:to>
    <xdr:sp macro="" textlink="">
      <xdr:nvSpPr>
        <xdr:cNvPr id="7" name="Rectangle à coins arrondis 6">
          <a:hlinkClick xmlns:r="http://schemas.openxmlformats.org/officeDocument/2006/relationships" r:id="rId5" tooltip="Paramètres"/>
        </xdr:cNvPr>
        <xdr:cNvSpPr/>
      </xdr:nvSpPr>
      <xdr:spPr>
        <a:xfrm>
          <a:off x="5724525" y="3533775"/>
          <a:ext cx="1247775" cy="5810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marL="0" indent="0" algn="ctr"/>
          <a:r>
            <a:rPr lang="fr-FR" sz="1600">
              <a:solidFill>
                <a:schemeClr val="lt1"/>
              </a:solidFill>
              <a:latin typeface="+mn-lt"/>
              <a:ea typeface="+mn-ea"/>
              <a:cs typeface="+mn-cs"/>
            </a:rPr>
            <a:t>Paramètres</a:t>
          </a:r>
        </a:p>
      </xdr:txBody>
    </xdr:sp>
    <xdr:clientData/>
  </xdr:twoCellAnchor>
  <xdr:twoCellAnchor>
    <xdr:from>
      <xdr:col>1</xdr:col>
      <xdr:colOff>1819275</xdr:colOff>
      <xdr:row>1</xdr:row>
      <xdr:rowOff>1933575</xdr:rowOff>
    </xdr:from>
    <xdr:to>
      <xdr:col>1</xdr:col>
      <xdr:colOff>3067050</xdr:colOff>
      <xdr:row>1</xdr:row>
      <xdr:rowOff>2514600</xdr:rowOff>
    </xdr:to>
    <xdr:sp macro="" textlink="">
      <xdr:nvSpPr>
        <xdr:cNvPr id="8" name="Rectangle à coins arrondis 7">
          <a:hlinkClick xmlns:r="http://schemas.openxmlformats.org/officeDocument/2006/relationships" r:id="rId6"/>
        </xdr:cNvPr>
        <xdr:cNvSpPr/>
      </xdr:nvSpPr>
      <xdr:spPr>
        <a:xfrm>
          <a:off x="4286250" y="353377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Statistiques</a:t>
          </a:r>
        </a:p>
      </xdr:txBody>
    </xdr:sp>
    <xdr:clientData/>
  </xdr:twoCellAnchor>
  <xdr:twoCellAnchor>
    <xdr:from>
      <xdr:col>1</xdr:col>
      <xdr:colOff>4676775</xdr:colOff>
      <xdr:row>1</xdr:row>
      <xdr:rowOff>1924050</xdr:rowOff>
    </xdr:from>
    <xdr:to>
      <xdr:col>1</xdr:col>
      <xdr:colOff>5924550</xdr:colOff>
      <xdr:row>1</xdr:row>
      <xdr:rowOff>2505075</xdr:rowOff>
    </xdr:to>
    <xdr:sp macro="[0]!Quitter" textlink="">
      <xdr:nvSpPr>
        <xdr:cNvPr id="9" name="Rectangle à coins arrondis 8"/>
        <xdr:cNvSpPr/>
      </xdr:nvSpPr>
      <xdr:spPr>
        <a:xfrm>
          <a:off x="7143750" y="3190875"/>
          <a:ext cx="1247775" cy="5810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1600"/>
            <a:t>Quitter</a:t>
          </a:r>
        </a:p>
      </xdr:txBody>
    </xdr:sp>
    <xdr:clientData/>
  </xdr:twoCellAnchor>
  <xdr:twoCellAnchor>
    <xdr:from>
      <xdr:col>1</xdr:col>
      <xdr:colOff>3238500</xdr:colOff>
      <xdr:row>1</xdr:row>
      <xdr:rowOff>400050</xdr:rowOff>
    </xdr:from>
    <xdr:to>
      <xdr:col>1</xdr:col>
      <xdr:colOff>4486275</xdr:colOff>
      <xdr:row>1</xdr:row>
      <xdr:rowOff>981075</xdr:rowOff>
    </xdr:to>
    <xdr:sp macro="" textlink="">
      <xdr:nvSpPr>
        <xdr:cNvPr id="15" name="Rectangle à coins arrondis 14">
          <a:hlinkClick xmlns:r="http://schemas.openxmlformats.org/officeDocument/2006/relationships" r:id="rId7" tooltip="Articles"/>
        </xdr:cNvPr>
        <xdr:cNvSpPr/>
      </xdr:nvSpPr>
      <xdr:spPr>
        <a:xfrm>
          <a:off x="5705475" y="2000250"/>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Articles</a:t>
          </a:r>
        </a:p>
      </xdr:txBody>
    </xdr:sp>
    <xdr:clientData/>
  </xdr:twoCellAnchor>
  <xdr:twoCellAnchor>
    <xdr:from>
      <xdr:col>1</xdr:col>
      <xdr:colOff>1800225</xdr:colOff>
      <xdr:row>1</xdr:row>
      <xdr:rowOff>1200150</xdr:rowOff>
    </xdr:from>
    <xdr:to>
      <xdr:col>1</xdr:col>
      <xdr:colOff>3048000</xdr:colOff>
      <xdr:row>1</xdr:row>
      <xdr:rowOff>1781175</xdr:rowOff>
    </xdr:to>
    <xdr:sp macro="" textlink="">
      <xdr:nvSpPr>
        <xdr:cNvPr id="16" name="Rectangle à coins arrondis 15">
          <a:hlinkClick xmlns:r="http://schemas.openxmlformats.org/officeDocument/2006/relationships" r:id="rId8" tooltip="Catégories"/>
        </xdr:cNvPr>
        <xdr:cNvSpPr/>
      </xdr:nvSpPr>
      <xdr:spPr>
        <a:xfrm>
          <a:off x="4267200" y="2800350"/>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Catégories</a:t>
          </a:r>
        </a:p>
      </xdr:txBody>
    </xdr:sp>
    <xdr:clientData/>
  </xdr:twoCellAnchor>
  <xdr:twoCellAnchor>
    <xdr:from>
      <xdr:col>1</xdr:col>
      <xdr:colOff>4686300</xdr:colOff>
      <xdr:row>1</xdr:row>
      <xdr:rowOff>400050</xdr:rowOff>
    </xdr:from>
    <xdr:to>
      <xdr:col>1</xdr:col>
      <xdr:colOff>5934075</xdr:colOff>
      <xdr:row>1</xdr:row>
      <xdr:rowOff>981075</xdr:rowOff>
    </xdr:to>
    <xdr:sp macro="" textlink="">
      <xdr:nvSpPr>
        <xdr:cNvPr id="17" name="Rectangle à coins arrondis 16">
          <a:hlinkClick xmlns:r="http://schemas.openxmlformats.org/officeDocument/2006/relationships" r:id="rId9" tooltip="Types"/>
        </xdr:cNvPr>
        <xdr:cNvSpPr/>
      </xdr:nvSpPr>
      <xdr:spPr>
        <a:xfrm>
          <a:off x="7153275" y="1666875"/>
          <a:ext cx="1247775" cy="581025"/>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1600"/>
            <a:t>Types</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152400</xdr:colOff>
      <xdr:row>2</xdr:row>
      <xdr:rowOff>66675</xdr:rowOff>
    </xdr:from>
    <xdr:to>
      <xdr:col>0</xdr:col>
      <xdr:colOff>600075</xdr:colOff>
      <xdr:row>2</xdr:row>
      <xdr:rowOff>495299</xdr:rowOff>
    </xdr:to>
    <xdr:sp macro="[0]!Feuil2.Afficher_Form_Ajout_Ventes" textlink="">
      <xdr:nvSpPr>
        <xdr:cNvPr id="2" name="Rectangle à coins arrondis 1"/>
        <xdr:cNvSpPr/>
      </xdr:nvSpPr>
      <xdr:spPr>
        <a:xfrm>
          <a:off x="152400" y="5715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2</xdr:col>
      <xdr:colOff>232682</xdr:colOff>
      <xdr:row>2</xdr:row>
      <xdr:rowOff>66675</xdr:rowOff>
    </xdr:from>
    <xdr:to>
      <xdr:col>2</xdr:col>
      <xdr:colOff>685799</xdr:colOff>
      <xdr:row>2</xdr:row>
      <xdr:rowOff>495299</xdr:rowOff>
    </xdr:to>
    <xdr:sp macro="[0]!Feuil2.Supprimer_Ventes" textlink="">
      <xdr:nvSpPr>
        <xdr:cNvPr id="3" name="Rectangle à coins arrondis 2"/>
        <xdr:cNvSpPr/>
      </xdr:nvSpPr>
      <xdr:spPr>
        <a:xfrm>
          <a:off x="1709057" y="571500"/>
          <a:ext cx="453117"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666750</xdr:colOff>
      <xdr:row>2</xdr:row>
      <xdr:rowOff>66675</xdr:rowOff>
    </xdr:from>
    <xdr:to>
      <xdr:col>1</xdr:col>
      <xdr:colOff>238125</xdr:colOff>
      <xdr:row>2</xdr:row>
      <xdr:rowOff>495299</xdr:rowOff>
    </xdr:to>
    <xdr:sp macro="[0]!Feuil2.Afficher_Form_Modif_Ventes" textlink="">
      <xdr:nvSpPr>
        <xdr:cNvPr id="4" name="Rectangle à coins arrondis 3"/>
        <xdr:cNvSpPr/>
      </xdr:nvSpPr>
      <xdr:spPr>
        <a:xfrm>
          <a:off x="666750" y="5715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1</xdr:col>
      <xdr:colOff>306219</xdr:colOff>
      <xdr:row>2</xdr:row>
      <xdr:rowOff>66675</xdr:rowOff>
    </xdr:from>
    <xdr:to>
      <xdr:col>2</xdr:col>
      <xdr:colOff>153819</xdr:colOff>
      <xdr:row>2</xdr:row>
      <xdr:rowOff>495299</xdr:rowOff>
    </xdr:to>
    <xdr:sp macro="[0]!Feuil2.Trier_Ventes" textlink="">
      <xdr:nvSpPr>
        <xdr:cNvPr id="5" name="Rectangle à coins arrondis 4"/>
        <xdr:cNvSpPr/>
      </xdr:nvSpPr>
      <xdr:spPr>
        <a:xfrm>
          <a:off x="1182519" y="5715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2</xdr:col>
      <xdr:colOff>803583</xdr:colOff>
      <xdr:row>2</xdr:row>
      <xdr:rowOff>64366</xdr:rowOff>
    </xdr:from>
    <xdr:to>
      <xdr:col>2</xdr:col>
      <xdr:colOff>1250151</xdr:colOff>
      <xdr:row>2</xdr:row>
      <xdr:rowOff>486701</xdr:rowOff>
    </xdr:to>
    <xdr:sp macro="" textlink="">
      <xdr:nvSpPr>
        <xdr:cNvPr id="6" name="Bouton_Accueil">
          <a:hlinkClick xmlns:r="http://schemas.openxmlformats.org/officeDocument/2006/relationships" r:id="rId1" tooltip="Accueil"/>
        </xdr:cNvPr>
        <xdr:cNvSpPr/>
      </xdr:nvSpPr>
      <xdr:spPr>
        <a:xfrm>
          <a:off x="2279958" y="5691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2</xdr:col>
      <xdr:colOff>1325032</xdr:colOff>
      <xdr:row>2</xdr:row>
      <xdr:rowOff>67733</xdr:rowOff>
    </xdr:from>
    <xdr:to>
      <xdr:col>2</xdr:col>
      <xdr:colOff>1775834</xdr:colOff>
      <xdr:row>2</xdr:row>
      <xdr:rowOff>490068</xdr:rowOff>
    </xdr:to>
    <xdr:sp macro="[0]!Routines.Enregistrer" textlink="">
      <xdr:nvSpPr>
        <xdr:cNvPr id="7" name="Bouton_Accueil"/>
        <xdr:cNvSpPr/>
      </xdr:nvSpPr>
      <xdr:spPr>
        <a:xfrm>
          <a:off x="2801407" y="5725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1</xdr:col>
      <xdr:colOff>95250</xdr:colOff>
      <xdr:row>2</xdr:row>
      <xdr:rowOff>57150</xdr:rowOff>
    </xdr:from>
    <xdr:to>
      <xdr:col>1</xdr:col>
      <xdr:colOff>542925</xdr:colOff>
      <xdr:row>2</xdr:row>
      <xdr:rowOff>485774</xdr:rowOff>
    </xdr:to>
    <xdr:sp macro="[0]!Feuil3.Afficher_Form_Ajout_Articles" textlink="">
      <xdr:nvSpPr>
        <xdr:cNvPr id="2" name="Rectangle à coins arrondis 1"/>
        <xdr:cNvSpPr/>
      </xdr:nvSpPr>
      <xdr:spPr>
        <a:xfrm>
          <a:off x="123825" y="542925"/>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1</xdr:col>
      <xdr:colOff>1651908</xdr:colOff>
      <xdr:row>2</xdr:row>
      <xdr:rowOff>57150</xdr:rowOff>
    </xdr:from>
    <xdr:to>
      <xdr:col>1</xdr:col>
      <xdr:colOff>2101283</xdr:colOff>
      <xdr:row>2</xdr:row>
      <xdr:rowOff>485774</xdr:rowOff>
    </xdr:to>
    <xdr:sp macro="[0]!Feuil3.Supprimer_Articles" textlink="">
      <xdr:nvSpPr>
        <xdr:cNvPr id="3" name="Rectangle à coins arrondis 2"/>
        <xdr:cNvSpPr/>
      </xdr:nvSpPr>
      <xdr:spPr>
        <a:xfrm>
          <a:off x="1680483" y="542925"/>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1</xdr:col>
      <xdr:colOff>609600</xdr:colOff>
      <xdr:row>2</xdr:row>
      <xdr:rowOff>57150</xdr:rowOff>
    </xdr:from>
    <xdr:to>
      <xdr:col>1</xdr:col>
      <xdr:colOff>1057275</xdr:colOff>
      <xdr:row>2</xdr:row>
      <xdr:rowOff>485774</xdr:rowOff>
    </xdr:to>
    <xdr:sp macro="[0]!Feuil3.Afficher_Form_Modif_Articles" textlink="">
      <xdr:nvSpPr>
        <xdr:cNvPr id="4" name="Rectangle à coins arrondis 3"/>
        <xdr:cNvSpPr/>
      </xdr:nvSpPr>
      <xdr:spPr>
        <a:xfrm>
          <a:off x="638175" y="542925"/>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1</xdr:col>
      <xdr:colOff>1125369</xdr:colOff>
      <xdr:row>2</xdr:row>
      <xdr:rowOff>57150</xdr:rowOff>
    </xdr:from>
    <xdr:to>
      <xdr:col>1</xdr:col>
      <xdr:colOff>1573044</xdr:colOff>
      <xdr:row>2</xdr:row>
      <xdr:rowOff>485774</xdr:rowOff>
    </xdr:to>
    <xdr:sp macro="[0]!Feuil3.Trier_Articles" textlink="">
      <xdr:nvSpPr>
        <xdr:cNvPr id="5" name="Rectangle à coins arrondis 4"/>
        <xdr:cNvSpPr/>
      </xdr:nvSpPr>
      <xdr:spPr>
        <a:xfrm>
          <a:off x="1153944" y="542925"/>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1</xdr:col>
      <xdr:colOff>2222808</xdr:colOff>
      <xdr:row>2</xdr:row>
      <xdr:rowOff>54841</xdr:rowOff>
    </xdr:from>
    <xdr:to>
      <xdr:col>2</xdr:col>
      <xdr:colOff>316701</xdr:colOff>
      <xdr:row>2</xdr:row>
      <xdr:rowOff>477176</xdr:rowOff>
    </xdr:to>
    <xdr:sp macro="" textlink="">
      <xdr:nvSpPr>
        <xdr:cNvPr id="6" name="Bouton_Accueil">
          <a:hlinkClick xmlns:r="http://schemas.openxmlformats.org/officeDocument/2006/relationships" r:id="rId1" tooltip="Accueil"/>
        </xdr:cNvPr>
        <xdr:cNvSpPr/>
      </xdr:nvSpPr>
      <xdr:spPr>
        <a:xfrm>
          <a:off x="2251383" y="540616"/>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2</xdr:col>
      <xdr:colOff>391582</xdr:colOff>
      <xdr:row>2</xdr:row>
      <xdr:rowOff>58208</xdr:rowOff>
    </xdr:from>
    <xdr:to>
      <xdr:col>2</xdr:col>
      <xdr:colOff>842384</xdr:colOff>
      <xdr:row>2</xdr:row>
      <xdr:rowOff>480543</xdr:rowOff>
    </xdr:to>
    <xdr:sp macro="[0]!Routines.Enregistrer" textlink="">
      <xdr:nvSpPr>
        <xdr:cNvPr id="7" name="Bouton_Accueil"/>
        <xdr:cNvSpPr/>
      </xdr:nvSpPr>
      <xdr:spPr>
        <a:xfrm>
          <a:off x="2772832" y="543983"/>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4.Afficher_Form_Ajout_Natur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1</xdr:col>
      <xdr:colOff>377258</xdr:colOff>
      <xdr:row>2</xdr:row>
      <xdr:rowOff>476249</xdr:rowOff>
    </xdr:to>
    <xdr:sp macro="[0]!Feuil4.Supprimer_Natur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4.Afficher_Form_Modif_Natur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4.Trier_Natur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1</xdr:col>
      <xdr:colOff>498783</xdr:colOff>
      <xdr:row>2</xdr:row>
      <xdr:rowOff>45316</xdr:rowOff>
    </xdr:from>
    <xdr:to>
      <xdr:col>1</xdr:col>
      <xdr:colOff>945351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1020232</xdr:colOff>
      <xdr:row>2</xdr:row>
      <xdr:rowOff>48683</xdr:rowOff>
    </xdr:from>
    <xdr:to>
      <xdr:col>1</xdr:col>
      <xdr:colOff>1471034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5.Afficher_Form_Ajout_Catégori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0</xdr:col>
      <xdr:colOff>2148908</xdr:colOff>
      <xdr:row>2</xdr:row>
      <xdr:rowOff>476249</xdr:rowOff>
    </xdr:to>
    <xdr:sp macro="[0]!Feuil5.Supprimer_Catégori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5.Afficher_Form_Modif_Catégori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5.Trier_Catégori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2270433</xdr:colOff>
      <xdr:row>2</xdr:row>
      <xdr:rowOff>45316</xdr:rowOff>
    </xdr:from>
    <xdr:to>
      <xdr:col>1</xdr:col>
      <xdr:colOff>88101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162982</xdr:colOff>
      <xdr:row>2</xdr:row>
      <xdr:rowOff>48683</xdr:rowOff>
    </xdr:from>
    <xdr:to>
      <xdr:col>1</xdr:col>
      <xdr:colOff>613784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6.Afficher_Form_Ajout_Typ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0</xdr:col>
      <xdr:colOff>2148908</xdr:colOff>
      <xdr:row>2</xdr:row>
      <xdr:rowOff>476249</xdr:rowOff>
    </xdr:to>
    <xdr:sp macro="[0]!Feuil6.Supprimer_Typ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6.Afficher_Form_Modif_Typ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6.Trier_Typ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2270433</xdr:colOff>
      <xdr:row>2</xdr:row>
      <xdr:rowOff>45316</xdr:rowOff>
    </xdr:from>
    <xdr:to>
      <xdr:col>1</xdr:col>
      <xdr:colOff>88101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162982</xdr:colOff>
      <xdr:row>2</xdr:row>
      <xdr:rowOff>48683</xdr:rowOff>
    </xdr:from>
    <xdr:to>
      <xdr:col>1</xdr:col>
      <xdr:colOff>613784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0</xdr:col>
      <xdr:colOff>142875</xdr:colOff>
      <xdr:row>2</xdr:row>
      <xdr:rowOff>47625</xdr:rowOff>
    </xdr:from>
    <xdr:to>
      <xdr:col>0</xdr:col>
      <xdr:colOff>590550</xdr:colOff>
      <xdr:row>2</xdr:row>
      <xdr:rowOff>476249</xdr:rowOff>
    </xdr:to>
    <xdr:sp macro="[0]!Feuil7.Afficher_Form_Ajout_Marques" textlink="">
      <xdr:nvSpPr>
        <xdr:cNvPr id="2" name="Rectangle à coins arrondis 1"/>
        <xdr:cNvSpPr/>
      </xdr:nvSpPr>
      <xdr:spPr>
        <a:xfrm>
          <a:off x="14287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twoCellAnchor editAs="absolute">
    <xdr:from>
      <xdr:col>0</xdr:col>
      <xdr:colOff>1699533</xdr:colOff>
      <xdr:row>2</xdr:row>
      <xdr:rowOff>47625</xdr:rowOff>
    </xdr:from>
    <xdr:to>
      <xdr:col>0</xdr:col>
      <xdr:colOff>2148908</xdr:colOff>
      <xdr:row>2</xdr:row>
      <xdr:rowOff>476249</xdr:rowOff>
    </xdr:to>
    <xdr:sp macro="[0]!Feuil7.Supprimer_Marques" textlink="">
      <xdr:nvSpPr>
        <xdr:cNvPr id="3" name="Rectangle à coins arrondis 2"/>
        <xdr:cNvSpPr/>
      </xdr:nvSpPr>
      <xdr:spPr>
        <a:xfrm>
          <a:off x="1699533" y="533400"/>
          <a:ext cx="4493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a:latin typeface="Arial Black" pitchFamily="34" charset="0"/>
              <a:sym typeface="Wingdings 2"/>
            </a:rPr>
            <a:t></a:t>
          </a:r>
          <a:endParaRPr lang="fr-FR" sz="1050">
            <a:latin typeface="Arial Black" pitchFamily="34" charset="0"/>
          </a:endParaRPr>
        </a:p>
      </xdr:txBody>
    </xdr:sp>
    <xdr:clientData/>
  </xdr:twoCellAnchor>
  <xdr:twoCellAnchor editAs="absolute">
    <xdr:from>
      <xdr:col>0</xdr:col>
      <xdr:colOff>657225</xdr:colOff>
      <xdr:row>2</xdr:row>
      <xdr:rowOff>47625</xdr:rowOff>
    </xdr:from>
    <xdr:to>
      <xdr:col>0</xdr:col>
      <xdr:colOff>1104900</xdr:colOff>
      <xdr:row>2</xdr:row>
      <xdr:rowOff>476249</xdr:rowOff>
    </xdr:to>
    <xdr:sp macro="[0]!Feuil7.Afficher_Form_Modif_Marques" textlink="">
      <xdr:nvSpPr>
        <xdr:cNvPr id="4" name="Rectangle à coins arrondis 3"/>
        <xdr:cNvSpPr/>
      </xdr:nvSpPr>
      <xdr:spPr>
        <a:xfrm>
          <a:off x="657225"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a:latin typeface="Arial Black" pitchFamily="34" charset="0"/>
              <a:sym typeface="Wingdings 3"/>
            </a:rPr>
            <a:t></a:t>
          </a:r>
          <a:endParaRPr lang="fr-FR" sz="1050">
            <a:latin typeface="Arial Black" pitchFamily="34" charset="0"/>
          </a:endParaRPr>
        </a:p>
      </xdr:txBody>
    </xdr:sp>
    <xdr:clientData/>
  </xdr:twoCellAnchor>
  <xdr:twoCellAnchor editAs="absolute">
    <xdr:from>
      <xdr:col>0</xdr:col>
      <xdr:colOff>1172994</xdr:colOff>
      <xdr:row>2</xdr:row>
      <xdr:rowOff>47625</xdr:rowOff>
    </xdr:from>
    <xdr:to>
      <xdr:col>0</xdr:col>
      <xdr:colOff>1620669</xdr:colOff>
      <xdr:row>2</xdr:row>
      <xdr:rowOff>476249</xdr:rowOff>
    </xdr:to>
    <xdr:sp macro="[0]!Feuil7.Trier_Marques" textlink="">
      <xdr:nvSpPr>
        <xdr:cNvPr id="5" name="Rectangle à coins arrondis 4"/>
        <xdr:cNvSpPr/>
      </xdr:nvSpPr>
      <xdr:spPr>
        <a:xfrm>
          <a:off x="1172994" y="533400"/>
          <a:ext cx="447675" cy="428624"/>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r>
            <a:rPr lang="fr-FR" sz="1800" b="1">
              <a:solidFill>
                <a:schemeClr val="lt1"/>
              </a:solidFill>
              <a:latin typeface="+mn-lt"/>
              <a:ea typeface="+mn-ea"/>
              <a:cs typeface="+mn-cs"/>
              <a:sym typeface="Wingdings 3"/>
            </a:rPr>
            <a:t></a:t>
          </a:r>
          <a:endParaRPr lang="fr-FR" sz="1100" b="1">
            <a:solidFill>
              <a:schemeClr val="lt1"/>
            </a:solidFill>
            <a:latin typeface="+mn-lt"/>
            <a:ea typeface="+mn-ea"/>
            <a:cs typeface="+mn-cs"/>
          </a:endParaRPr>
        </a:p>
      </xdr:txBody>
    </xdr:sp>
    <xdr:clientData/>
  </xdr:twoCellAnchor>
  <xdr:twoCellAnchor editAs="absolute">
    <xdr:from>
      <xdr:col>0</xdr:col>
      <xdr:colOff>2270433</xdr:colOff>
      <xdr:row>2</xdr:row>
      <xdr:rowOff>45316</xdr:rowOff>
    </xdr:from>
    <xdr:to>
      <xdr:col>1</xdr:col>
      <xdr:colOff>88101</xdr:colOff>
      <xdr:row>2</xdr:row>
      <xdr:rowOff>467651</xdr:rowOff>
    </xdr:to>
    <xdr:sp macro="" textlink="">
      <xdr:nvSpPr>
        <xdr:cNvPr id="6" name="Bouton_Accueil">
          <a:hlinkClick xmlns:r="http://schemas.openxmlformats.org/officeDocument/2006/relationships" r:id="rId1" tooltip="Accueil"/>
        </xdr:cNvPr>
        <xdr:cNvSpPr/>
      </xdr:nvSpPr>
      <xdr:spPr>
        <a:xfrm>
          <a:off x="2270433" y="531091"/>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1</xdr:col>
      <xdr:colOff>162982</xdr:colOff>
      <xdr:row>2</xdr:row>
      <xdr:rowOff>48683</xdr:rowOff>
    </xdr:from>
    <xdr:to>
      <xdr:col>1</xdr:col>
      <xdr:colOff>613784</xdr:colOff>
      <xdr:row>2</xdr:row>
      <xdr:rowOff>471018</xdr:rowOff>
    </xdr:to>
    <xdr:sp macro="[0]!Routines.Enregistrer" textlink="">
      <xdr:nvSpPr>
        <xdr:cNvPr id="7" name="Bouton_Accueil"/>
        <xdr:cNvSpPr/>
      </xdr:nvSpPr>
      <xdr:spPr>
        <a:xfrm>
          <a:off x="2791882" y="534458"/>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0</xdr:col>
      <xdr:colOff>28575</xdr:colOff>
      <xdr:row>21</xdr:row>
      <xdr:rowOff>114300</xdr:rowOff>
    </xdr:from>
    <xdr:to>
      <xdr:col>9</xdr:col>
      <xdr:colOff>876300</xdr:colOff>
      <xdr:row>35</xdr:row>
      <xdr:rowOff>57150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0</xdr:col>
      <xdr:colOff>714375</xdr:colOff>
      <xdr:row>1</xdr:row>
      <xdr:rowOff>47625</xdr:rowOff>
    </xdr:from>
    <xdr:to>
      <xdr:col>0</xdr:col>
      <xdr:colOff>1160943</xdr:colOff>
      <xdr:row>1</xdr:row>
      <xdr:rowOff>469960</xdr:rowOff>
    </xdr:to>
    <xdr:sp macro="" textlink="">
      <xdr:nvSpPr>
        <xdr:cNvPr id="3" name="Bouton_Accueil">
          <a:hlinkClick xmlns:r="http://schemas.openxmlformats.org/officeDocument/2006/relationships" r:id="rId2" tooltip="Accueil"/>
        </xdr:cNvPr>
        <xdr:cNvSpPr/>
      </xdr:nvSpPr>
      <xdr:spPr>
        <a:xfrm>
          <a:off x="714375" y="342900"/>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0</xdr:col>
      <xdr:colOff>1235824</xdr:colOff>
      <xdr:row>1</xdr:row>
      <xdr:rowOff>50992</xdr:rowOff>
    </xdr:from>
    <xdr:to>
      <xdr:col>1</xdr:col>
      <xdr:colOff>286451</xdr:colOff>
      <xdr:row>1</xdr:row>
      <xdr:rowOff>473327</xdr:rowOff>
    </xdr:to>
    <xdr:sp macro="[0]!Routines.Enregistrer" textlink="">
      <xdr:nvSpPr>
        <xdr:cNvPr id="4" name="Bouton_Accueil"/>
        <xdr:cNvSpPr/>
      </xdr:nvSpPr>
      <xdr:spPr>
        <a:xfrm>
          <a:off x="1235824" y="346267"/>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oneCell">
    <xdr:from>
      <xdr:col>0</xdr:col>
      <xdr:colOff>200025</xdr:colOff>
      <xdr:row>1</xdr:row>
      <xdr:rowOff>47625</xdr:rowOff>
    </xdr:from>
    <xdr:to>
      <xdr:col>0</xdr:col>
      <xdr:colOff>621242</xdr:colOff>
      <xdr:row>1</xdr:row>
      <xdr:rowOff>478107</xdr:rowOff>
    </xdr:to>
    <xdr:pic macro="[0]!Actualiser_TCD">
      <xdr:nvPicPr>
        <xdr:cNvPr id="5" name="Picture 1"/>
        <xdr:cNvPicPr>
          <a:picLocks noChangeAspect="1" noChangeArrowheads="1"/>
        </xdr:cNvPicPr>
      </xdr:nvPicPr>
      <xdr:blipFill>
        <a:blip xmlns:r="http://schemas.openxmlformats.org/officeDocument/2006/relationships" r:embed="rId3" cstate="print">
          <a:duotone>
            <a:prstClr val="black"/>
            <a:schemeClr val="accent3">
              <a:tint val="45000"/>
              <a:satMod val="400000"/>
            </a:schemeClr>
          </a:duotone>
        </a:blip>
        <a:srcRect/>
        <a:stretch>
          <a:fillRect/>
        </a:stretch>
      </xdr:blipFill>
      <xdr:spPr bwMode="auto">
        <a:xfrm>
          <a:off x="200025" y="342900"/>
          <a:ext cx="421217" cy="430482"/>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3</xdr:col>
      <xdr:colOff>142875</xdr:colOff>
      <xdr:row>1</xdr:row>
      <xdr:rowOff>66675</xdr:rowOff>
    </xdr:from>
    <xdr:to>
      <xdr:col>3</xdr:col>
      <xdr:colOff>589443</xdr:colOff>
      <xdr:row>3</xdr:row>
      <xdr:rowOff>88960</xdr:rowOff>
    </xdr:to>
    <xdr:sp macro="" textlink="">
      <xdr:nvSpPr>
        <xdr:cNvPr id="2" name="Bouton_Accueil">
          <a:hlinkClick xmlns:r="http://schemas.openxmlformats.org/officeDocument/2006/relationships" r:id="rId1" tooltip="Accueil"/>
        </xdr:cNvPr>
        <xdr:cNvSpPr/>
      </xdr:nvSpPr>
      <xdr:spPr>
        <a:xfrm>
          <a:off x="5448300" y="266700"/>
          <a:ext cx="446568"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3</xdr:col>
      <xdr:colOff>149974</xdr:colOff>
      <xdr:row>3</xdr:row>
      <xdr:rowOff>165292</xdr:rowOff>
    </xdr:from>
    <xdr:to>
      <xdr:col>3</xdr:col>
      <xdr:colOff>600776</xdr:colOff>
      <xdr:row>5</xdr:row>
      <xdr:rowOff>159002</xdr:rowOff>
    </xdr:to>
    <xdr:sp macro="[0]!Routines.Enregistrer" textlink="">
      <xdr:nvSpPr>
        <xdr:cNvPr id="3" name="Bouton_Accueil"/>
        <xdr:cNvSpPr/>
      </xdr:nvSpPr>
      <xdr:spPr>
        <a:xfrm>
          <a:off x="5455399" y="765367"/>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absolute">
    <xdr:from>
      <xdr:col>3</xdr:col>
      <xdr:colOff>149974</xdr:colOff>
      <xdr:row>6</xdr:row>
      <xdr:rowOff>60517</xdr:rowOff>
    </xdr:from>
    <xdr:to>
      <xdr:col>3</xdr:col>
      <xdr:colOff>600776</xdr:colOff>
      <xdr:row>7</xdr:row>
      <xdr:rowOff>197102</xdr:rowOff>
    </xdr:to>
    <xdr:sp macro="[0]!Réglages" textlink="">
      <xdr:nvSpPr>
        <xdr:cNvPr id="5" name="Bouton_Accueil"/>
        <xdr:cNvSpPr/>
      </xdr:nvSpPr>
      <xdr:spPr>
        <a:xfrm>
          <a:off x="5455399" y="1289242"/>
          <a:ext cx="450802" cy="422335"/>
        </a:xfrm>
        <a:prstGeom prst="roundRect">
          <a:avLst>
            <a:gd name="adj" fmla="val 18511"/>
          </a:avLst>
        </a:prstGeom>
      </xdr:spPr>
      <xdr:style>
        <a:lnRef idx="0">
          <a:schemeClr val="accent3"/>
        </a:lnRef>
        <a:fillRef idx="3">
          <a:schemeClr val="accent3"/>
        </a:fillRef>
        <a:effectRef idx="3">
          <a:schemeClr val="accent3"/>
        </a:effectRef>
        <a:fontRef idx="minor">
          <a:schemeClr val="lt1"/>
        </a:fontRef>
      </xdr:style>
      <xdr:txBody>
        <a:bodyPr vertOverflow="clip" rtlCol="0" anchor="ctr"/>
        <a:lstStyle/>
        <a:p>
          <a:pPr algn="ctr"/>
          <a:r>
            <a:rPr lang="fr-FR" sz="2400" b="0">
              <a:sym typeface="Webdings"/>
            </a:rPr>
            <a:t></a:t>
          </a:r>
          <a:endParaRPr lang="fr-FR" sz="2400" b="0"/>
        </a:p>
      </xdr:txBody>
    </xdr:sp>
    <xdr:clientData fPrintsWithSheet="0"/>
  </xdr:twoCellAnchor>
  <xdr:oneCellAnchor>
    <xdr:from>
      <xdr:col>4</xdr:col>
      <xdr:colOff>142875</xdr:colOff>
      <xdr:row>0</xdr:row>
      <xdr:rowOff>161925</xdr:rowOff>
    </xdr:from>
    <xdr:ext cx="5829300" cy="2505075"/>
    <xdr:sp macro="" textlink="">
      <xdr:nvSpPr>
        <xdr:cNvPr id="6" name="ZoneTexte 5"/>
        <xdr:cNvSpPr txBox="1"/>
      </xdr:nvSpPr>
      <xdr:spPr>
        <a:xfrm>
          <a:off x="6210300" y="161925"/>
          <a:ext cx="5829300" cy="2505075"/>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wrap="square" rtlCol="0" anchor="t">
          <a:noAutofit/>
        </a:bodyPr>
        <a:lstStyle/>
        <a:p>
          <a:r>
            <a:rPr lang="fr-FR" sz="2000" b="1"/>
            <a:t>Registre des Ventes - Mode d'emploi</a:t>
          </a:r>
        </a:p>
        <a:p>
          <a:endParaRPr lang="fr-FR" sz="1100" b="1"/>
        </a:p>
        <a:p>
          <a:r>
            <a:rPr lang="fr-FR" sz="1200" b="1"/>
            <a:t>1 - Renseigner les</a:t>
          </a:r>
          <a:r>
            <a:rPr lang="fr-FR" sz="1200" b="1" baseline="0"/>
            <a:t> tables de références</a:t>
          </a:r>
        </a:p>
        <a:p>
          <a:r>
            <a:rPr lang="fr-FR" sz="1100" b="0" baseline="0"/>
            <a:t>- mettre à jour les Paramètres</a:t>
          </a:r>
        </a:p>
        <a:p>
          <a:r>
            <a:rPr lang="fr-FR" sz="1100" b="0" baseline="0"/>
            <a:t>- mettre à jour les  Marques, Natures, Types, Catégories</a:t>
          </a:r>
        </a:p>
        <a:p>
          <a:endParaRPr lang="fr-FR" sz="1100" b="0" baseline="0"/>
        </a:p>
        <a:p>
          <a:r>
            <a:rPr lang="fr-FR" sz="1200" b="1" baseline="0"/>
            <a:t>2 - Renseigner l'inventaire  des Articles</a:t>
          </a:r>
        </a:p>
        <a:p>
          <a:endParaRPr lang="fr-FR" sz="1200" b="1" baseline="0"/>
        </a:p>
        <a:p>
          <a:r>
            <a:rPr lang="fr-FR" sz="1200" b="1" baseline="0"/>
            <a:t>3 - Saisir les Ventes</a:t>
          </a:r>
        </a:p>
        <a:p>
          <a:endParaRPr lang="fr-FR" sz="1100" b="0" baseline="0"/>
        </a:p>
        <a:p>
          <a:r>
            <a:rPr lang="fr-FR" sz="1200" b="1" baseline="0"/>
            <a:t>4 - Exploiter les statistiques</a:t>
          </a:r>
        </a:p>
      </xdr:txBody>
    </xdr:sp>
    <xdr:clientData/>
  </xdr:oneCellAnchor>
  <xdr:oneCellAnchor>
    <xdr:from>
      <xdr:col>2</xdr:col>
      <xdr:colOff>295275</xdr:colOff>
      <xdr:row>14</xdr:row>
      <xdr:rowOff>0</xdr:rowOff>
    </xdr:from>
    <xdr:ext cx="7200900" cy="3190875"/>
    <xdr:sp macro="" textlink="">
      <xdr:nvSpPr>
        <xdr:cNvPr id="7" name="ZoneTexte 6"/>
        <xdr:cNvSpPr txBox="1"/>
      </xdr:nvSpPr>
      <xdr:spPr>
        <a:xfrm>
          <a:off x="4838700" y="2800350"/>
          <a:ext cx="7200900" cy="3190875"/>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wrap="square" rtlCol="0" anchor="t">
          <a:noAutofit/>
        </a:bodyPr>
        <a:lstStyle/>
        <a:p>
          <a:r>
            <a:rPr lang="fr-FR" sz="2000" b="1"/>
            <a:t>Registre des Ventes - Notes</a:t>
          </a:r>
          <a:r>
            <a:rPr lang="fr-FR" sz="2000" b="1" baseline="0"/>
            <a:t> de développement</a:t>
          </a:r>
          <a:endParaRPr lang="fr-FR" sz="2000" b="1"/>
        </a:p>
        <a:p>
          <a:endParaRPr lang="fr-FR" sz="1200" b="0" baseline="0"/>
        </a:p>
        <a:p>
          <a:r>
            <a:rPr lang="fr-FR" sz="1200" b="1" baseline="0"/>
            <a:t>Commentaires Martin :  </a:t>
          </a:r>
        </a:p>
        <a:p>
          <a:r>
            <a:rPr lang="fr-FR" sz="1200" b="0" baseline="0"/>
            <a:t>1) Petit bug d'affichage dans la page article (trop grande première ligne).</a:t>
          </a:r>
        </a:p>
        <a:p>
          <a:r>
            <a:rPr lang="fr-FR" sz="1200" b="0" baseline="0">
              <a:solidFill>
                <a:srgbClr val="FF0000"/>
              </a:solidFill>
            </a:rPr>
            <a:t>Je n'ai pas rencontré ce problème, du moins après avoir rétabli la hauteur de ligne normale ... J'ai pourtant essayé plusieurs fois...</a:t>
          </a:r>
        </a:p>
        <a:p>
          <a:r>
            <a:rPr lang="fr-FR" sz="1200" b="0" baseline="0"/>
            <a:t>2) En cas de réparation toute nature, quand on insère un prix il y a un bug (division par zéro). </a:t>
          </a:r>
          <a:endParaRPr lang="fr-FR" sz="1200" b="0" baseline="0">
            <a:solidFill>
              <a:srgbClr val="FF0000"/>
            </a:solidFill>
          </a:endParaRPr>
        </a:p>
        <a:p>
          <a:r>
            <a:rPr lang="fr-FR" sz="1200" b="0" baseline="0">
              <a:solidFill>
                <a:srgbClr val="FF0000"/>
              </a:solidFill>
            </a:rPr>
            <a:t>J'ai neutralisé la division par zéro : le taux de remise passe à zéro si le prix catalogue est nul</a:t>
          </a:r>
        </a:p>
        <a:p>
          <a:r>
            <a:rPr lang="fr-FR" sz="1200" b="0" baseline="0"/>
            <a:t>3) Peut-être intéressant dans les feuilles articles, natures, etc de rajouter a côté de la remise moyenne le prix de vente moyen </a:t>
          </a:r>
        </a:p>
        <a:p>
          <a:r>
            <a:rPr lang="fr-FR" sz="1200" b="0" baseline="0">
              <a:solidFill>
                <a:srgbClr val="FF0000"/>
              </a:solidFill>
            </a:rPr>
            <a:t>Je le ferai si le peut-être disparaît ! ;+)</a:t>
          </a:r>
        </a:p>
        <a:p>
          <a:r>
            <a:rPr lang="fr-FR" sz="1200" b="0" baseline="0"/>
            <a:t>4) En cas d'insertion d'un TCD ou graphique, quelle plage sélectionner pour que le graphique se mette a jour en même temps que les ventes? (Je suis pas sur d'être clair) </a:t>
          </a:r>
        </a:p>
        <a:p>
          <a:r>
            <a:rPr lang="fr-FR" sz="1200" b="0" baseline="0">
              <a:solidFill>
                <a:srgbClr val="FF0000"/>
              </a:solidFill>
            </a:rPr>
            <a:t>Le plus simple, c'est de consulter la plage de cellules du TCD existant : si on  base un nouveau TCD sur la même plage, il se mettra à jour en même temps. (Ventes!$A$4:$N$10000)</a:t>
          </a:r>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pcs" refreshedDate="42388.684860995367" createdVersion="3" refreshedVersion="6" minRefreshableVersion="3" recordCount="56">
  <cacheSource type="worksheet">
    <worksheetSource ref="A4:N10003" sheet="Ventes"/>
  </cacheSource>
  <cacheFields count="14">
    <cacheField name="Date" numFmtId="14">
      <sharedItems containsBlank="1" count="9">
        <s v="19-02-2016"/>
        <s v="19-01-2016"/>
        <s v="16/01/2016"/>
        <s v="14/01/2016"/>
        <s v="15/01/2016"/>
        <s v="19/01/2016"/>
        <s v="18/01/2016"/>
        <s v="18-01-2016"/>
        <m/>
      </sharedItems>
    </cacheField>
    <cacheField name="Caisse" numFmtId="0">
      <sharedItems containsString="0" containsBlank="1" containsNumber="1" containsInteger="1" minValue="1" maxValue="2"/>
    </cacheField>
    <cacheField name="Article" numFmtId="0">
      <sharedItems containsBlank="1"/>
    </cacheField>
    <cacheField name="Prix catalogue" numFmtId="0">
      <sharedItems containsString="0" containsBlank="1" containsNumber="1" containsInteger="1" minValue="0" maxValue="250"/>
    </cacheField>
    <cacheField name="Prix remisé" numFmtId="164">
      <sharedItems containsBlank="1" containsMixedTypes="1" containsNumber="1" containsInteger="1" minValue="5" maxValue="250"/>
    </cacheField>
    <cacheField name="Taux de remise" numFmtId="0">
      <sharedItems containsBlank="1" containsMixedTypes="1" containsNumber="1" minValue="0" maxValue="0.2"/>
    </cacheField>
    <cacheField name="Quantité" numFmtId="0">
      <sharedItems containsString="0" containsBlank="1" containsNumber="1" containsInteger="1" minValue="1" maxValue="10"/>
    </cacheField>
    <cacheField name="Montant de la vente" numFmtId="0">
      <sharedItems containsString="0" containsBlank="1" containsNumber="1" containsInteger="1" minValue="5" maxValue="1200"/>
    </cacheField>
    <cacheField name="Mode de règlement" numFmtId="0">
      <sharedItems containsBlank="1" count="4">
        <s v="Carte bancaire"/>
        <s v="Chèque"/>
        <s v="Espèces"/>
        <m/>
      </sharedItems>
    </cacheField>
    <cacheField name="Observations" numFmtId="0">
      <sharedItems containsNonDate="0" containsString="0" containsBlank="1"/>
    </cacheField>
    <cacheField name="Catégorie" numFmtId="164">
      <sharedItems containsBlank="1" count="7">
        <s v="Football"/>
        <s v="Toutes catégories"/>
        <s v="Cyclisme"/>
        <s v="Grimpe et rando"/>
        <s v="Tennis"/>
        <s v="Running"/>
        <m/>
      </sharedItems>
    </cacheField>
    <cacheField name="Type" numFmtId="164">
      <sharedItems containsBlank="1"/>
    </cacheField>
    <cacheField name="Nature" numFmtId="164">
      <sharedItems containsBlank="1"/>
    </cacheField>
    <cacheField name="Marque" numFmtId="164">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6">
  <r>
    <x v="0"/>
    <n v="1"/>
    <s v="Chaussures de foot Adidas F10"/>
    <n v="60"/>
    <s v="60,00 €"/>
    <n v="0"/>
    <n v="1"/>
    <n v="60"/>
    <x v="0"/>
    <m/>
    <x v="0"/>
    <s v="Vêtement"/>
    <s v="Chaussures de foot"/>
    <s v="Adidas"/>
  </r>
  <r>
    <x v="1"/>
    <n v="1"/>
    <s v="Réparation toute nature … ..."/>
    <n v="0"/>
    <n v="10"/>
    <s v=""/>
    <n v="1"/>
    <n v="10"/>
    <x v="0"/>
    <m/>
    <x v="1"/>
    <s v="Prestation"/>
    <s v="Réparation toute nature"/>
    <s v="…"/>
  </r>
  <r>
    <x v="2"/>
    <n v="2"/>
    <s v="Chaussures de foot Mizuno Wave Sayonara"/>
    <n v="120"/>
    <n v="120"/>
    <n v="0"/>
    <n v="10"/>
    <n v="1200"/>
    <x v="1"/>
    <m/>
    <x v="0"/>
    <s v="Vêtement"/>
    <s v="Chaussures de foot"/>
    <s v="Mizuno"/>
  </r>
  <r>
    <x v="3"/>
    <n v="2"/>
    <s v="Réparation vélo … ..."/>
    <n v="25"/>
    <n v="25"/>
    <n v="0"/>
    <n v="5"/>
    <n v="125"/>
    <x v="2"/>
    <m/>
    <x v="2"/>
    <s v="Prestation"/>
    <s v="Réparation vélo"/>
    <s v="…"/>
  </r>
  <r>
    <x v="4"/>
    <n v="1"/>
    <s v="Réparation vélo … ..."/>
    <n v="25"/>
    <n v="25"/>
    <n v="0"/>
    <n v="3"/>
    <n v="75"/>
    <x v="2"/>
    <m/>
    <x v="2"/>
    <s v="Prestation"/>
    <s v="Réparation vélo"/>
    <s v="…"/>
  </r>
  <r>
    <x v="5"/>
    <n v="1"/>
    <s v="Ballon de foot Adidas F50"/>
    <n v="25"/>
    <n v="25"/>
    <n v="0"/>
    <n v="1"/>
    <n v="25"/>
    <x v="0"/>
    <m/>
    <x v="0"/>
    <s v="Equipement"/>
    <s v="Ballon de foot"/>
    <s v="Adidas"/>
  </r>
  <r>
    <x v="6"/>
    <n v="1"/>
    <s v="Ballon de foot Adidas F50"/>
    <n v="25"/>
    <n v="25"/>
    <n v="0"/>
    <n v="1"/>
    <n v="25"/>
    <x v="1"/>
    <m/>
    <x v="0"/>
    <s v="Equipement"/>
    <s v="Ballon de foot"/>
    <s v="Adidas"/>
  </r>
  <r>
    <x v="2"/>
    <n v="1"/>
    <s v="Ballon de foot Adidas F50"/>
    <n v="25"/>
    <n v="25"/>
    <n v="0"/>
    <n v="1"/>
    <n v="25"/>
    <x v="1"/>
    <m/>
    <x v="0"/>
    <s v="Equipement"/>
    <s v="Ballon de foot"/>
    <s v="Adidas"/>
  </r>
  <r>
    <x v="4"/>
    <n v="1"/>
    <s v="Ballon de foot Adidas F50"/>
    <n v="25"/>
    <n v="20"/>
    <n v="0.2"/>
    <n v="1"/>
    <n v="20"/>
    <x v="2"/>
    <m/>
    <x v="0"/>
    <s v="Equipement"/>
    <s v="Ballon de foot"/>
    <s v="Adidas"/>
  </r>
  <r>
    <x v="2"/>
    <n v="1"/>
    <s v="Cordage … 12 mètres"/>
    <n v="25"/>
    <n v="25"/>
    <n v="0"/>
    <n v="1"/>
    <n v="25"/>
    <x v="2"/>
    <m/>
    <x v="3"/>
    <s v="Equipement"/>
    <s v="Cordage"/>
    <s v="…"/>
  </r>
  <r>
    <x v="4"/>
    <n v="1"/>
    <s v="Cordage … 12 mètres"/>
    <n v="25"/>
    <n v="25"/>
    <n v="0"/>
    <n v="1"/>
    <n v="25"/>
    <x v="1"/>
    <m/>
    <x v="3"/>
    <s v="Equipement"/>
    <s v="Cordage"/>
    <s v="…"/>
  </r>
  <r>
    <x v="2"/>
    <n v="1"/>
    <s v="Gourde … 1 litre"/>
    <n v="5"/>
    <n v="5"/>
    <n v="0"/>
    <n v="1"/>
    <n v="5"/>
    <x v="2"/>
    <m/>
    <x v="3"/>
    <s v="Equipement"/>
    <s v="Gourde"/>
    <s v="…"/>
  </r>
  <r>
    <x v="2"/>
    <n v="1"/>
    <s v="Gourde … 1 litre"/>
    <n v="5"/>
    <n v="5"/>
    <n v="0"/>
    <n v="1"/>
    <n v="5"/>
    <x v="0"/>
    <m/>
    <x v="3"/>
    <s v="Equipement"/>
    <s v="Gourde"/>
    <s v="…"/>
  </r>
  <r>
    <x v="4"/>
    <n v="1"/>
    <s v="Gourde … 1 litre"/>
    <n v="5"/>
    <n v="5"/>
    <n v="0"/>
    <n v="1"/>
    <n v="5"/>
    <x v="2"/>
    <m/>
    <x v="3"/>
    <s v="Equipement"/>
    <s v="Gourde"/>
    <s v="…"/>
  </r>
  <r>
    <x v="2"/>
    <n v="1"/>
    <s v="Raquette de tennis Babolat ..."/>
    <n v="80"/>
    <n v="75"/>
    <n v="6.25E-2"/>
    <n v="1"/>
    <n v="75"/>
    <x v="1"/>
    <m/>
    <x v="4"/>
    <s v="Equipement"/>
    <s v="Raquette de tennis"/>
    <s v="Babolat"/>
  </r>
  <r>
    <x v="2"/>
    <n v="1"/>
    <s v="Raquette de tennis Babolat ..."/>
    <n v="80"/>
    <n v="75"/>
    <n v="6.25E-2"/>
    <n v="1"/>
    <n v="75"/>
    <x v="2"/>
    <m/>
    <x v="4"/>
    <s v="Equipement"/>
    <s v="Raquette de tennis"/>
    <s v="Babolat"/>
  </r>
  <r>
    <x v="4"/>
    <n v="1"/>
    <s v="Raquette de tennis Babolat ..."/>
    <n v="80"/>
    <n v="75"/>
    <n v="6.25E-2"/>
    <n v="1"/>
    <n v="75"/>
    <x v="1"/>
    <m/>
    <x v="4"/>
    <s v="Equipement"/>
    <s v="Raquette de tennis"/>
    <s v="Babolat"/>
  </r>
  <r>
    <x v="2"/>
    <n v="2"/>
    <s v="Vélo Orbea Kids"/>
    <n v="250"/>
    <n v="250"/>
    <n v="0"/>
    <n v="1"/>
    <n v="250"/>
    <x v="0"/>
    <m/>
    <x v="2"/>
    <s v="Equipement"/>
    <s v="Vélo"/>
    <s v="Orbea"/>
  </r>
  <r>
    <x v="4"/>
    <n v="2"/>
    <s v="Vélo Orbea Kids"/>
    <n v="250"/>
    <n v="250"/>
    <n v="0"/>
    <n v="1"/>
    <n v="250"/>
    <x v="0"/>
    <m/>
    <x v="2"/>
    <s v="Equipement"/>
    <s v="Vélo"/>
    <s v="Orbea"/>
  </r>
  <r>
    <x v="2"/>
    <n v="1"/>
    <s v="Vélo Orbea Kids"/>
    <n v="250"/>
    <n v="250"/>
    <n v="0"/>
    <n v="1"/>
    <n v="250"/>
    <x v="0"/>
    <m/>
    <x v="2"/>
    <s v="Equipement"/>
    <s v="Vélo"/>
    <s v="Orbea"/>
  </r>
  <r>
    <x v="2"/>
    <n v="1"/>
    <s v="Main d'œuvre … ..."/>
    <n v="15"/>
    <n v="15"/>
    <n v="0"/>
    <n v="1"/>
    <n v="15"/>
    <x v="1"/>
    <m/>
    <x v="1"/>
    <s v="Prestation"/>
    <s v="Main d'œuvre"/>
    <s v="…"/>
  </r>
  <r>
    <x v="2"/>
    <n v="2"/>
    <s v="Réparation vélo … ..."/>
    <n v="25"/>
    <n v="25"/>
    <n v="0"/>
    <n v="1"/>
    <n v="25"/>
    <x v="0"/>
    <m/>
    <x v="2"/>
    <s v="Prestation"/>
    <s v="Réparation vélo"/>
    <s v="…"/>
  </r>
  <r>
    <x v="2"/>
    <n v="2"/>
    <s v="Réparation vélo … ..."/>
    <n v="25"/>
    <n v="25"/>
    <n v="0"/>
    <n v="1"/>
    <n v="25"/>
    <x v="0"/>
    <m/>
    <x v="2"/>
    <s v="Prestation"/>
    <s v="Réparation vélo"/>
    <s v="…"/>
  </r>
  <r>
    <x v="4"/>
    <n v="2"/>
    <s v="Réparation vélo … ..."/>
    <n v="25"/>
    <n v="25"/>
    <n v="0"/>
    <n v="1"/>
    <n v="25"/>
    <x v="2"/>
    <m/>
    <x v="2"/>
    <s v="Prestation"/>
    <s v="Réparation vélo"/>
    <s v="…"/>
  </r>
  <r>
    <x v="3"/>
    <n v="1"/>
    <s v="Réparation vélo … ..."/>
    <n v="25"/>
    <n v="25"/>
    <n v="0"/>
    <n v="1"/>
    <n v="25"/>
    <x v="0"/>
    <m/>
    <x v="2"/>
    <s v="Prestation"/>
    <s v="Réparation vélo"/>
    <s v="…"/>
  </r>
  <r>
    <x v="2"/>
    <n v="1"/>
    <s v="Chaussures de foot Adidas Predator"/>
    <n v="220"/>
    <n v="218"/>
    <n v="9.0909090909090905E-3"/>
    <n v="1"/>
    <n v="218"/>
    <x v="2"/>
    <m/>
    <x v="0"/>
    <s v="Vêtement"/>
    <s v="Chaussures de foot"/>
    <s v="Adidas"/>
  </r>
  <r>
    <x v="4"/>
    <n v="1"/>
    <s v="Chaussures de foot Adidas Predator"/>
    <n v="220"/>
    <n v="220"/>
    <n v="0"/>
    <n v="1"/>
    <n v="220"/>
    <x v="0"/>
    <m/>
    <x v="0"/>
    <s v="Vêtement"/>
    <s v="Chaussures de foot"/>
    <s v="Adidas"/>
  </r>
  <r>
    <x v="2"/>
    <n v="1"/>
    <s v="Chaussures de foot Adidas Magista"/>
    <n v="150"/>
    <n v="150"/>
    <n v="0"/>
    <n v="1"/>
    <n v="150"/>
    <x v="0"/>
    <m/>
    <x v="0"/>
    <s v="Vêtement"/>
    <s v="Chaussures de foot"/>
    <s v="Adidas"/>
  </r>
  <r>
    <x v="2"/>
    <n v="1"/>
    <s v="Chaussures de foot Adidas Magista"/>
    <n v="150"/>
    <n v="150"/>
    <n v="0"/>
    <n v="1"/>
    <n v="150"/>
    <x v="1"/>
    <m/>
    <x v="0"/>
    <s v="Vêtement"/>
    <s v="Chaussures de foot"/>
    <s v="Adidas"/>
  </r>
  <r>
    <x v="4"/>
    <n v="1"/>
    <s v="Chaussures de foot Adidas Magista"/>
    <n v="150"/>
    <n v="150"/>
    <n v="0"/>
    <n v="1"/>
    <n v="150"/>
    <x v="1"/>
    <m/>
    <x v="0"/>
    <s v="Vêtement"/>
    <s v="Chaussures de foot"/>
    <s v="Adidas"/>
  </r>
  <r>
    <x v="3"/>
    <n v="1"/>
    <s v="Chaussures de foot Adidas Magista"/>
    <n v="150"/>
    <n v="120"/>
    <n v="0.2"/>
    <n v="1"/>
    <n v="120"/>
    <x v="1"/>
    <m/>
    <x v="0"/>
    <s v="Vêtement"/>
    <s v="Chaussures de foot"/>
    <s v="Adidas"/>
  </r>
  <r>
    <x v="3"/>
    <n v="1"/>
    <s v="Chaussures de foot Adidas Magista"/>
    <n v="150"/>
    <n v="140"/>
    <n v="6.6666666666666666E-2"/>
    <n v="1"/>
    <n v="140"/>
    <x v="0"/>
    <m/>
    <x v="0"/>
    <s v="Vêtement"/>
    <s v="Chaussures de foot"/>
    <s v="Adidas"/>
  </r>
  <r>
    <x v="2"/>
    <n v="2"/>
    <s v="Chaussures de foot Adidas F10"/>
    <n v="60"/>
    <n v="55"/>
    <n v="8.3333333333333329E-2"/>
    <n v="1"/>
    <n v="55"/>
    <x v="2"/>
    <m/>
    <x v="0"/>
    <s v="Vêtement"/>
    <s v="Chaussures de foot"/>
    <s v="Adidas"/>
  </r>
  <r>
    <x v="4"/>
    <n v="2"/>
    <s v="Chaussures de foot Mizuno Wave Sayonara"/>
    <n v="120"/>
    <n v="110"/>
    <n v="8.3333333333333329E-2"/>
    <n v="1"/>
    <n v="110"/>
    <x v="1"/>
    <m/>
    <x v="0"/>
    <s v="Vêtement"/>
    <s v="Chaussures de foot"/>
    <s v="Mizuno"/>
  </r>
  <r>
    <x v="3"/>
    <n v="2"/>
    <s v="Chaussures de foot Mizuno Wave Sayonara"/>
    <n v="120"/>
    <n v="110"/>
    <n v="8.3333333333333329E-2"/>
    <n v="1"/>
    <n v="110"/>
    <x v="1"/>
    <m/>
    <x v="0"/>
    <s v="Vêtement"/>
    <s v="Chaussures de foot"/>
    <s v="Mizuno"/>
  </r>
  <r>
    <x v="2"/>
    <n v="1"/>
    <s v="Chaussures de foot Mizuno Wave Sayonara"/>
    <n v="120"/>
    <n v="110"/>
    <n v="8.3333333333333329E-2"/>
    <n v="1"/>
    <n v="110"/>
    <x v="1"/>
    <m/>
    <x v="0"/>
    <s v="Vêtement"/>
    <s v="Chaussures de foot"/>
    <s v="Mizuno"/>
  </r>
  <r>
    <x v="2"/>
    <n v="2"/>
    <s v="Chaussures de running Asics Mercurial"/>
    <n v="120"/>
    <n v="120"/>
    <n v="0"/>
    <n v="1"/>
    <n v="120"/>
    <x v="2"/>
    <m/>
    <x v="5"/>
    <s v="Vêtement"/>
    <s v="Chaussures de running"/>
    <s v="Asics"/>
  </r>
  <r>
    <x v="4"/>
    <n v="2"/>
    <s v="Chaussures de running Asics Mercurial"/>
    <n v="120"/>
    <n v="120"/>
    <n v="0"/>
    <n v="1"/>
    <n v="120"/>
    <x v="1"/>
    <m/>
    <x v="5"/>
    <s v="Vêtement"/>
    <s v="Chaussures de running"/>
    <s v="Asics"/>
  </r>
  <r>
    <x v="3"/>
    <n v="1"/>
    <s v="Chaussures de running Asics Mercurial"/>
    <n v="120"/>
    <n v="120"/>
    <n v="0"/>
    <n v="1"/>
    <n v="120"/>
    <x v="1"/>
    <m/>
    <x v="5"/>
    <s v="Vêtement"/>
    <s v="Chaussures de running"/>
    <s v="Asics"/>
  </r>
  <r>
    <x v="2"/>
    <n v="2"/>
    <s v="Chaussures de running Asics GT-2000"/>
    <n v="100"/>
    <n v="100"/>
    <n v="0"/>
    <n v="1"/>
    <n v="100"/>
    <x v="0"/>
    <m/>
    <x v="5"/>
    <s v="Vêtement"/>
    <s v="Chaussures de running"/>
    <s v="Asics"/>
  </r>
  <r>
    <x v="4"/>
    <n v="1"/>
    <s v="Chaussures de running Asics GT-2000"/>
    <n v="100"/>
    <n v="100"/>
    <n v="0"/>
    <n v="1"/>
    <n v="100"/>
    <x v="0"/>
    <m/>
    <x v="5"/>
    <s v="Vêtement"/>
    <s v="Chaussures de running"/>
    <s v="Asics"/>
  </r>
  <r>
    <x v="3"/>
    <n v="1"/>
    <s v="Chaussures de running Asics GT-2000"/>
    <n v="100"/>
    <n v="100"/>
    <n v="0"/>
    <n v="1"/>
    <n v="100"/>
    <x v="0"/>
    <m/>
    <x v="5"/>
    <s v="Vêtement"/>
    <s v="Chaussures de running"/>
    <s v="Asics"/>
  </r>
  <r>
    <x v="7"/>
    <n v="1"/>
    <s v="Chaussures de running Salomon F652"/>
    <n v="80"/>
    <n v="67"/>
    <n v="0.16250000000000001"/>
    <n v="1"/>
    <n v="67"/>
    <x v="1"/>
    <m/>
    <x v="5"/>
    <s v="Vêtement"/>
    <s v="Chaussures de running"/>
    <s v="Salomon"/>
  </r>
  <r>
    <x v="2"/>
    <n v="1"/>
    <s v="Maillot de foot Adidas Diables"/>
    <n v="80"/>
    <n v="80"/>
    <n v="0"/>
    <n v="1"/>
    <n v="80"/>
    <x v="1"/>
    <m/>
    <x v="0"/>
    <s v="Vêtement"/>
    <s v="Maillot de foot"/>
    <s v="Adidas"/>
  </r>
  <r>
    <x v="4"/>
    <n v="1"/>
    <s v="Maillot de foot Adidas Diables"/>
    <n v="80"/>
    <n v="80"/>
    <n v="0"/>
    <n v="1"/>
    <n v="80"/>
    <x v="0"/>
    <m/>
    <x v="0"/>
    <s v="Vêtement"/>
    <s v="Maillot de foot"/>
    <s v="Adidas"/>
  </r>
  <r>
    <x v="3"/>
    <n v="1"/>
    <s v="Maillot de foot Adidas Diables"/>
    <n v="80"/>
    <n v="80"/>
    <n v="0"/>
    <n v="1"/>
    <n v="80"/>
    <x v="0"/>
    <m/>
    <x v="0"/>
    <s v="Vêtement"/>
    <s v="Maillot de foot"/>
    <s v="Adidas"/>
  </r>
  <r>
    <x v="2"/>
    <n v="2"/>
    <s v="Maillot de foot Nike Tiempo"/>
    <n v="150"/>
    <n v="150"/>
    <n v="0"/>
    <n v="1"/>
    <n v="150"/>
    <x v="2"/>
    <m/>
    <x v="0"/>
    <s v="Vêtement"/>
    <s v="Maillot de foot"/>
    <s v="Nike"/>
  </r>
  <r>
    <x v="3"/>
    <n v="2"/>
    <s v="Maillot de foot Nike Tiempo"/>
    <n v="150"/>
    <n v="150"/>
    <n v="0"/>
    <n v="1"/>
    <n v="150"/>
    <x v="2"/>
    <m/>
    <x v="0"/>
    <s v="Vêtement"/>
    <s v="Maillot de foot"/>
    <s v="Nike"/>
  </r>
  <r>
    <x v="4"/>
    <n v="1"/>
    <s v="Maillot de foot Nike Tiempo"/>
    <n v="150"/>
    <n v="150"/>
    <n v="0"/>
    <n v="1"/>
    <n v="150"/>
    <x v="2"/>
    <m/>
    <x v="0"/>
    <s v="Vêtement"/>
    <s v="Maillot de foot"/>
    <s v="Nike"/>
  </r>
  <r>
    <x v="3"/>
    <n v="1"/>
    <s v="Maillot de foot Nike Tiempo"/>
    <n v="150"/>
    <n v="150"/>
    <n v="0"/>
    <n v="1"/>
    <n v="150"/>
    <x v="2"/>
    <m/>
    <x v="0"/>
    <s v="Vêtement"/>
    <s v="Maillot de foot"/>
    <s v="Nike"/>
  </r>
  <r>
    <x v="2"/>
    <n v="1"/>
    <s v="T-Shirt Oxbow ..."/>
    <n v="45"/>
    <n v="40"/>
    <n v="0.1111111111111111"/>
    <n v="1"/>
    <n v="40"/>
    <x v="2"/>
    <m/>
    <x v="1"/>
    <s v="Vêtement"/>
    <s v="T-Shirt"/>
    <s v="Oxbow"/>
  </r>
  <r>
    <x v="4"/>
    <n v="1"/>
    <s v="T-Shirt Oxbow ..."/>
    <n v="45"/>
    <n v="42"/>
    <n v="6.6666666666666666E-2"/>
    <n v="1"/>
    <n v="42"/>
    <x v="2"/>
    <m/>
    <x v="1"/>
    <s v="Vêtement"/>
    <s v="T-Shirt"/>
    <s v="Oxbow"/>
  </r>
  <r>
    <x v="3"/>
    <n v="1"/>
    <s v="T-Shirt Oxbow ..."/>
    <n v="45"/>
    <n v="42"/>
    <n v="6.6666666666666666E-2"/>
    <n v="1"/>
    <n v="42"/>
    <x v="2"/>
    <m/>
    <x v="1"/>
    <s v="Vêtement"/>
    <s v="T-Shirt"/>
    <s v="Oxbow"/>
  </r>
  <r>
    <x v="8"/>
    <m/>
    <m/>
    <m/>
    <m/>
    <m/>
    <m/>
    <m/>
    <x v="3"/>
    <m/>
    <x v="6"/>
    <m/>
    <m/>
    <m/>
  </r>
  <r>
    <x v="8"/>
    <m/>
    <m/>
    <m/>
    <m/>
    <m/>
    <m/>
    <m/>
    <x v="3"/>
    <m/>
    <x v="6"/>
    <m/>
    <m/>
    <m/>
  </r>
  <r>
    <x v="8"/>
    <m/>
    <m/>
    <m/>
    <m/>
    <m/>
    <m/>
    <m/>
    <x v="3"/>
    <m/>
    <x v="6"/>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97" applyNumberFormats="0" applyBorderFormats="0" applyFontFormats="0" applyPatternFormats="0" applyAlignmentFormats="0" applyWidthHeightFormats="1" dataCaption="Valeurs" showError="1" updatedVersion="6" minRefreshableVersion="3" showCalcMbrs="0" itemPrintTitles="1" createdVersion="3" indent="0" compact="0" compactData="0" gridDropZones="1" multipleFieldFilters="0" chartFormat="1">
  <location ref="A6:E16" firstHeaderRow="1" firstDataRow="2" firstDataCol="1" rowPageCount="1" colPageCount="1"/>
  <pivotFields count="14">
    <pivotField axis="axisRow" compact="0" outline="0" showAll="0" includeNewItemsInFilter="1">
      <items count="10">
        <item x="3"/>
        <item x="2"/>
        <item x="8"/>
        <item x="4"/>
        <item x="5"/>
        <item x="7"/>
        <item x="6"/>
        <item x="1"/>
        <item x="0"/>
        <item t="default"/>
      </items>
    </pivotField>
    <pivotField compact="0" outline="0" showAll="0"/>
    <pivotField compact="0" outline="0" showAll="0"/>
    <pivotField compact="0" outline="0" showAll="0"/>
    <pivotField compact="0" outline="0" showAll="0"/>
    <pivotField compact="0" outline="0" showAll="0" defaultSubtotal="0"/>
    <pivotField compact="0" outline="0" showAll="0"/>
    <pivotField dataField="1" compact="0" outline="0" showAll="0"/>
    <pivotField axis="axisCol" compact="0" outline="0" showAll="0" defaultSubtotal="0">
      <items count="4">
        <item x="0"/>
        <item x="1"/>
        <item x="2"/>
        <item h="1" x="3"/>
      </items>
    </pivotField>
    <pivotField compact="0" outline="0" showAll="0"/>
    <pivotField axis="axisPage" compact="0" outline="0" showAll="0">
      <items count="8">
        <item x="2"/>
        <item x="0"/>
        <item x="3"/>
        <item x="5"/>
        <item x="4"/>
        <item x="1"/>
        <item x="6"/>
        <item t="default"/>
      </items>
    </pivotField>
    <pivotField compact="0" outline="0" showAll="0"/>
    <pivotField compact="0" outline="0" showAll="0" defaultSubtotal="0"/>
    <pivotField compact="0" outline="0" showAll="0" defaultSubtotal="0"/>
  </pivotFields>
  <rowFields count="1">
    <field x="0"/>
  </rowFields>
  <rowItems count="9">
    <i>
      <x/>
    </i>
    <i>
      <x v="1"/>
    </i>
    <i>
      <x v="3"/>
    </i>
    <i>
      <x v="4"/>
    </i>
    <i>
      <x v="5"/>
    </i>
    <i>
      <x v="6"/>
    </i>
    <i>
      <x v="7"/>
    </i>
    <i>
      <x v="8"/>
    </i>
    <i t="grand">
      <x/>
    </i>
  </rowItems>
  <colFields count="1">
    <field x="8"/>
  </colFields>
  <colItems count="4">
    <i>
      <x/>
    </i>
    <i>
      <x v="1"/>
    </i>
    <i>
      <x v="2"/>
    </i>
    <i t="grand">
      <x/>
    </i>
  </colItems>
  <pageFields count="1">
    <pageField fld="10" hier="-1"/>
  </pageFields>
  <dataFields count="1">
    <dataField name="Montants" fld="7" baseField="0" baseItem="0" numFmtId="169"/>
  </dataFields>
  <formats count="13">
    <format dxfId="36">
      <pivotArea field="0" type="button" dataOnly="0" labelOnly="1" outline="0" axis="axisRow" fieldPosition="0"/>
    </format>
    <format dxfId="35">
      <pivotArea dataOnly="0" labelOnly="1" outline="0" fieldPosition="0">
        <references count="1">
          <reference field="10" count="0"/>
        </references>
      </pivotArea>
    </format>
    <format dxfId="34">
      <pivotArea dataOnly="0" labelOnly="1" grandCol="1" outline="0" fieldPosition="0"/>
    </format>
    <format dxfId="33">
      <pivotArea field="0" type="button" dataOnly="0" labelOnly="1" outline="0" axis="axisRow" fieldPosition="0"/>
    </format>
    <format dxfId="32">
      <pivotArea dataOnly="0" labelOnly="1" outline="0" fieldPosition="0">
        <references count="1">
          <reference field="10" count="0"/>
        </references>
      </pivotArea>
    </format>
    <format dxfId="31">
      <pivotArea dataOnly="0" labelOnly="1" grandCol="1" outline="0" fieldPosition="0"/>
    </format>
    <format dxfId="30">
      <pivotArea dataOnly="0" labelOnly="1" outline="0" fieldPosition="0">
        <references count="1">
          <reference field="10" count="0"/>
        </references>
      </pivotArea>
    </format>
    <format dxfId="29">
      <pivotArea dataOnly="0" labelOnly="1" grandCol="1" outline="0" fieldPosition="0"/>
    </format>
    <format dxfId="28">
      <pivotArea field="10" type="button" dataOnly="0" labelOnly="1" outline="0" axis="axisPage" fieldPosition="0"/>
    </format>
    <format dxfId="27">
      <pivotArea type="origin" dataOnly="0" labelOnly="1" outline="0" fieldPosition="0"/>
    </format>
    <format dxfId="26">
      <pivotArea field="0" type="button" dataOnly="0" labelOnly="1" outline="0" axis="axisRow" fieldPosition="0"/>
    </format>
    <format dxfId="25">
      <pivotArea dataOnly="0" labelOnly="1" outline="0" fieldPosition="0">
        <references count="1">
          <reference field="0" count="1">
            <x v="1"/>
          </reference>
        </references>
      </pivotArea>
    </format>
    <format dxfId="24">
      <pivotArea dataOnly="0" labelOnly="1" grandRow="1" outline="0" fieldPosition="0"/>
    </format>
  </formats>
  <chartFormats count="10">
    <chartFormat chart="0" format="0" series="1">
      <pivotArea type="data" outline="0" fieldPosition="0">
        <references count="2">
          <reference field="4294967294" count="1" selected="0">
            <x v="0"/>
          </reference>
          <reference field="10" count="1" selected="0">
            <x v="0"/>
          </reference>
        </references>
      </pivotArea>
    </chartFormat>
    <chartFormat chart="0" format="1" series="1">
      <pivotArea type="data" outline="0" fieldPosition="0">
        <references count="2">
          <reference field="4294967294" count="1" selected="0">
            <x v="0"/>
          </reference>
          <reference field="10" count="1" selected="0">
            <x v="1"/>
          </reference>
        </references>
      </pivotArea>
    </chartFormat>
    <chartFormat chart="0" format="2" series="1">
      <pivotArea type="data" outline="0" fieldPosition="0">
        <references count="2">
          <reference field="4294967294" count="1" selected="0">
            <x v="0"/>
          </reference>
          <reference field="10" count="1" selected="0">
            <x v="2"/>
          </reference>
        </references>
      </pivotArea>
    </chartFormat>
    <chartFormat chart="0" format="3" series="1">
      <pivotArea type="data" outline="0" fieldPosition="0">
        <references count="2">
          <reference field="4294967294" count="1" selected="0">
            <x v="0"/>
          </reference>
          <reference field="10" count="1" selected="0">
            <x v="3"/>
          </reference>
        </references>
      </pivotArea>
    </chartFormat>
    <chartFormat chart="0" format="5" series="1">
      <pivotArea type="data" outline="0" fieldPosition="0">
        <references count="2">
          <reference field="4294967294" count="1" selected="0">
            <x v="0"/>
          </reference>
          <reference field="10" count="1" selected="0">
            <x v="4"/>
          </reference>
        </references>
      </pivotArea>
    </chartFormat>
    <chartFormat chart="0" format="6" series="1">
      <pivotArea type="data" outline="0" fieldPosition="0">
        <references count="2">
          <reference field="4294967294" count="1" selected="0">
            <x v="0"/>
          </reference>
          <reference field="10" count="1" selected="0">
            <x v="5"/>
          </reference>
        </references>
      </pivotArea>
    </chartFormat>
    <chartFormat chart="0" format="10" series="1">
      <pivotArea type="data" outline="0" fieldPosition="0">
        <references count="2">
          <reference field="4294967294" count="1" selected="0">
            <x v="0"/>
          </reference>
          <reference field="8" count="1" selected="0">
            <x v="0"/>
          </reference>
        </references>
      </pivotArea>
    </chartFormat>
    <chartFormat chart="0" format="11" series="1">
      <pivotArea type="data" outline="0" fieldPosition="0">
        <references count="2">
          <reference field="4294967294" count="1" selected="0">
            <x v="0"/>
          </reference>
          <reference field="8" count="1" selected="0">
            <x v="1"/>
          </reference>
        </references>
      </pivotArea>
    </chartFormat>
    <chartFormat chart="0" format="12" series="1">
      <pivotArea type="data" outline="0" fieldPosition="0">
        <references count="2">
          <reference field="4294967294" count="1" selected="0">
            <x v="0"/>
          </reference>
          <reference field="8" count="1" selected="0">
            <x v="2"/>
          </reference>
        </references>
      </pivotArea>
    </chartFormat>
    <chartFormat chart="0" format="13" series="1">
      <pivotArea type="data" outline="0" fieldPosition="0">
        <references count="2">
          <reference field="4294967294" count="1" selected="0">
            <x v="0"/>
          </reference>
          <reference field="8" count="1" selected="0">
            <x v="3"/>
          </reference>
        </references>
      </pivotArea>
    </chartFormat>
  </chartFormat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B2"/>
  <sheetViews>
    <sheetView workbookViewId="0">
      <pane ySplit="2" topLeftCell="A27" activePane="bottomLeft" state="frozen"/>
      <selection pane="bottomLeft"/>
    </sheetView>
  </sheetViews>
  <sheetFormatPr baseColWidth="10" defaultColWidth="11.44140625" defaultRowHeight="14.4" x14ac:dyDescent="0.3"/>
  <cols>
    <col min="1" max="1" width="37" style="2" customWidth="1"/>
    <col min="2" max="2" width="119.5546875" style="2" customWidth="1"/>
    <col min="3" max="3" width="42.109375" style="2" customWidth="1"/>
    <col min="4" max="16384" width="11.44140625" style="2"/>
  </cols>
  <sheetData>
    <row r="1" spans="2:2" ht="86.25" customHeight="1" x14ac:dyDescent="0.9">
      <c r="B1" s="4" t="str">
        <f>Raison_Sociale&amp;" - "&amp;Titre&amp;" "&amp;Année_Réf</f>
        <v>Sport Plus - Registre des ventes 2016</v>
      </c>
    </row>
    <row r="2" spans="2:2" ht="402.75" customHeight="1" x14ac:dyDescent="0.3"/>
  </sheetData>
  <sheetProtection sheet="1" objects="1" scenarios="1" selectLockedCells="1" selectUnlockedCells="1"/>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59"/>
  <sheetViews>
    <sheetView workbookViewId="0">
      <pane ySplit="4" topLeftCell="A47" activePane="bottomLeft" state="frozen"/>
      <selection pane="bottomLeft" activeCell="A54" sqref="A54"/>
    </sheetView>
  </sheetViews>
  <sheetFormatPr baseColWidth="10" defaultColWidth="17.44140625" defaultRowHeight="13.8" x14ac:dyDescent="0.25"/>
  <cols>
    <col min="1" max="1" width="13.109375" style="60" customWidth="1"/>
    <col min="2" max="2" width="9" style="56" customWidth="1"/>
    <col min="3" max="3" width="47.6640625" style="52" customWidth="1"/>
    <col min="4" max="4" width="14.88671875" style="52" customWidth="1"/>
    <col min="5" max="5" width="14.88671875" style="57" customWidth="1"/>
    <col min="6" max="6" width="11" style="58" customWidth="1"/>
    <col min="7" max="7" width="13.33203125" style="59" customWidth="1"/>
    <col min="8" max="8" width="13.6640625" style="59" customWidth="1"/>
    <col min="9" max="9" width="21.5546875" style="52" customWidth="1"/>
    <col min="10" max="10" width="33.88671875" style="52" customWidth="1"/>
    <col min="11" max="14" width="13.33203125" style="57" customWidth="1"/>
    <col min="15" max="15" width="17.88671875" style="52" customWidth="1"/>
    <col min="16" max="16" width="41.109375" style="52" customWidth="1"/>
    <col min="17" max="16384" width="17.44140625" style="52"/>
  </cols>
  <sheetData>
    <row r="1" spans="1:14" ht="23.4" x14ac:dyDescent="0.45">
      <c r="A1" s="95" t="str">
        <f>Raison_Sociale&amp;" - "&amp;Titre&amp;" - Registre des ventes"</f>
        <v>Sport Plus - Registre des ventes - Registre des ventes</v>
      </c>
      <c r="B1" s="96"/>
      <c r="C1" s="97"/>
      <c r="D1" s="97"/>
      <c r="E1" s="98"/>
      <c r="F1" s="99"/>
      <c r="G1" s="100"/>
      <c r="H1" s="100"/>
      <c r="I1" s="97"/>
      <c r="J1" s="97"/>
      <c r="K1" s="98"/>
      <c r="L1" s="98"/>
      <c r="M1" s="98"/>
      <c r="N1" s="98"/>
    </row>
    <row r="2" spans="1:14" x14ac:dyDescent="0.25">
      <c r="A2" s="92"/>
      <c r="B2" s="93"/>
      <c r="C2" s="53">
        <f>SUBTOTAL(3,A4:A59)-1</f>
        <v>54</v>
      </c>
      <c r="D2" s="94"/>
      <c r="E2" s="62"/>
      <c r="F2" s="61">
        <f>SUBTOTAL(1,F4:F59)</f>
        <v>2.6481799123308558E-2</v>
      </c>
      <c r="G2" s="91"/>
      <c r="H2" s="62">
        <f>SUBTOTAL(9,H4:H59)</f>
        <v>6004</v>
      </c>
      <c r="I2" s="94"/>
      <c r="J2" s="94"/>
      <c r="K2" s="62"/>
      <c r="L2" s="62"/>
      <c r="M2" s="62"/>
      <c r="N2" s="62"/>
    </row>
    <row r="3" spans="1:14" ht="46.5" customHeight="1" x14ac:dyDescent="0.25">
      <c r="A3" s="101"/>
      <c r="B3" s="96"/>
      <c r="C3" s="97"/>
      <c r="D3" s="97"/>
      <c r="E3" s="98"/>
      <c r="F3" s="99"/>
      <c r="G3" s="100"/>
      <c r="H3" s="100"/>
      <c r="I3" s="97"/>
      <c r="J3" s="97"/>
      <c r="K3" s="98"/>
      <c r="L3" s="98"/>
      <c r="M3" s="98"/>
      <c r="N3" s="98"/>
    </row>
    <row r="4" spans="1:14" s="68" customFormat="1" ht="27.6" x14ac:dyDescent="0.3">
      <c r="A4" s="63" t="s">
        <v>49</v>
      </c>
      <c r="B4" s="64" t="s">
        <v>50</v>
      </c>
      <c r="C4" s="54" t="s">
        <v>51</v>
      </c>
      <c r="D4" s="65" t="s">
        <v>13</v>
      </c>
      <c r="E4" s="66" t="s">
        <v>52</v>
      </c>
      <c r="F4" s="65" t="s">
        <v>75</v>
      </c>
      <c r="G4" s="67" t="s">
        <v>53</v>
      </c>
      <c r="H4" s="65" t="s">
        <v>54</v>
      </c>
      <c r="I4" s="54" t="s">
        <v>84</v>
      </c>
      <c r="J4" s="54" t="s">
        <v>31</v>
      </c>
      <c r="K4" s="65" t="s">
        <v>15</v>
      </c>
      <c r="L4" s="65" t="s">
        <v>16</v>
      </c>
      <c r="M4" s="65" t="s">
        <v>11</v>
      </c>
      <c r="N4" s="65" t="s">
        <v>0</v>
      </c>
    </row>
    <row r="5" spans="1:14" x14ac:dyDescent="0.25">
      <c r="A5" s="69" t="s">
        <v>125</v>
      </c>
      <c r="B5" s="56">
        <v>1</v>
      </c>
      <c r="C5" s="52" t="s">
        <v>103</v>
      </c>
      <c r="D5" s="70">
        <v>60</v>
      </c>
      <c r="E5" s="57" t="s">
        <v>126</v>
      </c>
      <c r="F5" s="71">
        <f>IFERROR((D5-E5)/D5,"")</f>
        <v>0</v>
      </c>
      <c r="G5" s="72">
        <v>1</v>
      </c>
      <c r="H5" s="70">
        <f>E5*G5</f>
        <v>60</v>
      </c>
      <c r="I5" s="73" t="s">
        <v>80</v>
      </c>
      <c r="J5" s="73"/>
      <c r="K5" s="70" t="str">
        <f>IFERROR(VLOOKUP(C5,Articles,10,FALSE),"")</f>
        <v>Football</v>
      </c>
      <c r="L5" s="70" t="str">
        <f>IFERROR(VLOOKUP(C5,Articles,11,FALSE),"")</f>
        <v>Vêtement</v>
      </c>
      <c r="M5" s="70" t="str">
        <f>IFERROR(VLOOKUP(C5,Articles,2,FALSE),"")</f>
        <v>Chaussures de foot</v>
      </c>
      <c r="N5" s="70" t="str">
        <f>IFERROR(VLOOKUP(C5,Articles,3,FALSE),"")</f>
        <v>Adidas</v>
      </c>
    </row>
    <row r="6" spans="1:14" x14ac:dyDescent="0.25">
      <c r="A6" s="69" t="s">
        <v>77</v>
      </c>
      <c r="B6" s="56">
        <v>2</v>
      </c>
      <c r="C6" s="52" t="s">
        <v>115</v>
      </c>
      <c r="D6" s="70">
        <v>25</v>
      </c>
      <c r="E6" s="57">
        <v>25</v>
      </c>
      <c r="F6" s="71">
        <f>IFERROR((D6-E6)/D6,"")</f>
        <v>0</v>
      </c>
      <c r="G6" s="72">
        <v>5</v>
      </c>
      <c r="H6" s="70">
        <f>E6*G6</f>
        <v>125</v>
      </c>
      <c r="I6" s="73" t="s">
        <v>82</v>
      </c>
      <c r="J6" s="73"/>
      <c r="K6" s="70" t="str">
        <f>IFERROR(VLOOKUP(C6,Articles,10,FALSE),"")</f>
        <v>Cyclisme</v>
      </c>
      <c r="L6" s="70" t="str">
        <f>IFERROR(VLOOKUP(C6,Articles,11,FALSE),"")</f>
        <v>Prestation</v>
      </c>
      <c r="M6" s="70" t="str">
        <f>IFERROR(VLOOKUP(C6,Articles,2,FALSE),"")</f>
        <v>Réparation vélo</v>
      </c>
      <c r="N6" s="70" t="str">
        <f>IFERROR(VLOOKUP(C6,Articles,3,FALSE),"")</f>
        <v>…</v>
      </c>
    </row>
    <row r="7" spans="1:14" x14ac:dyDescent="0.25">
      <c r="A7" s="69" t="s">
        <v>77</v>
      </c>
      <c r="B7" s="56">
        <v>1</v>
      </c>
      <c r="C7" s="52" t="s">
        <v>115</v>
      </c>
      <c r="D7" s="70">
        <v>25</v>
      </c>
      <c r="E7" s="57">
        <v>25</v>
      </c>
      <c r="F7" s="71">
        <f>IFERROR((D7-E7)/D7,"")</f>
        <v>0</v>
      </c>
      <c r="G7" s="72">
        <v>1</v>
      </c>
      <c r="H7" s="70">
        <f>E7*G7</f>
        <v>25</v>
      </c>
      <c r="I7" s="73" t="s">
        <v>80</v>
      </c>
      <c r="J7" s="73"/>
      <c r="K7" s="70" t="str">
        <f>IFERROR(VLOOKUP(C7,Articles,10,FALSE),"")</f>
        <v>Cyclisme</v>
      </c>
      <c r="L7" s="70" t="str">
        <f>IFERROR(VLOOKUP(C7,Articles,11,FALSE),"")</f>
        <v>Prestation</v>
      </c>
      <c r="M7" s="70" t="str">
        <f>IFERROR(VLOOKUP(C7,Articles,2,FALSE),"")</f>
        <v>Réparation vélo</v>
      </c>
      <c r="N7" s="70" t="str">
        <f>IFERROR(VLOOKUP(C7,Articles,3,FALSE),"")</f>
        <v>…</v>
      </c>
    </row>
    <row r="8" spans="1:14" x14ac:dyDescent="0.25">
      <c r="A8" s="69" t="s">
        <v>77</v>
      </c>
      <c r="B8" s="56">
        <v>1</v>
      </c>
      <c r="C8" s="52" t="s">
        <v>104</v>
      </c>
      <c r="D8" s="70">
        <v>150</v>
      </c>
      <c r="E8" s="57">
        <v>120</v>
      </c>
      <c r="F8" s="71">
        <f>IFERROR((D8-E8)/D8,"")</f>
        <v>0.2</v>
      </c>
      <c r="G8" s="72">
        <v>1</v>
      </c>
      <c r="H8" s="70">
        <f>E8*G8</f>
        <v>120</v>
      </c>
      <c r="I8" s="73" t="s">
        <v>81</v>
      </c>
      <c r="J8" s="73"/>
      <c r="K8" s="70" t="str">
        <f>IFERROR(VLOOKUP(C8,Articles,10,FALSE),"")</f>
        <v>Football</v>
      </c>
      <c r="L8" s="70" t="str">
        <f>IFERROR(VLOOKUP(C8,Articles,11,FALSE),"")</f>
        <v>Vêtement</v>
      </c>
      <c r="M8" s="70" t="str">
        <f>IFERROR(VLOOKUP(C8,Articles,2,FALSE),"")</f>
        <v>Chaussures de foot</v>
      </c>
      <c r="N8" s="70" t="str">
        <f>IFERROR(VLOOKUP(C8,Articles,3,FALSE),"")</f>
        <v>Adidas</v>
      </c>
    </row>
    <row r="9" spans="1:14" x14ac:dyDescent="0.25">
      <c r="A9" s="69" t="s">
        <v>77</v>
      </c>
      <c r="B9" s="56">
        <v>1</v>
      </c>
      <c r="C9" s="52" t="s">
        <v>104</v>
      </c>
      <c r="D9" s="70">
        <v>150</v>
      </c>
      <c r="E9" s="57">
        <v>140</v>
      </c>
      <c r="F9" s="71">
        <f>IFERROR((D9-E9)/D9,"")</f>
        <v>6.6666666666666666E-2</v>
      </c>
      <c r="G9" s="72">
        <v>1</v>
      </c>
      <c r="H9" s="70">
        <f>E9*G9</f>
        <v>140</v>
      </c>
      <c r="I9" s="73" t="s">
        <v>80</v>
      </c>
      <c r="J9" s="73"/>
      <c r="K9" s="70" t="str">
        <f>IFERROR(VLOOKUP(C9,Articles,10,FALSE),"")</f>
        <v>Football</v>
      </c>
      <c r="L9" s="70" t="str">
        <f>IFERROR(VLOOKUP(C9,Articles,11,FALSE),"")</f>
        <v>Vêtement</v>
      </c>
      <c r="M9" s="70" t="str">
        <f>IFERROR(VLOOKUP(C9,Articles,2,FALSE),"")</f>
        <v>Chaussures de foot</v>
      </c>
      <c r="N9" s="70" t="str">
        <f>IFERROR(VLOOKUP(C9,Articles,3,FALSE),"")</f>
        <v>Adidas</v>
      </c>
    </row>
    <row r="10" spans="1:14" x14ac:dyDescent="0.25">
      <c r="A10" s="69" t="s">
        <v>77</v>
      </c>
      <c r="B10" s="56">
        <v>2</v>
      </c>
      <c r="C10" s="52" t="s">
        <v>101</v>
      </c>
      <c r="D10" s="70">
        <v>120</v>
      </c>
      <c r="E10" s="57">
        <v>110</v>
      </c>
      <c r="F10" s="71">
        <f>IFERROR((D10-E10)/D10,"")</f>
        <v>8.3333333333333329E-2</v>
      </c>
      <c r="G10" s="72">
        <v>1</v>
      </c>
      <c r="H10" s="70">
        <f>E10*G10</f>
        <v>110</v>
      </c>
      <c r="I10" s="73" t="s">
        <v>81</v>
      </c>
      <c r="J10" s="73"/>
      <c r="K10" s="70" t="str">
        <f>IFERROR(VLOOKUP(C10,Articles,10,FALSE),"")</f>
        <v>Football</v>
      </c>
      <c r="L10" s="70" t="str">
        <f>IFERROR(VLOOKUP(C10,Articles,11,FALSE),"")</f>
        <v>Vêtement</v>
      </c>
      <c r="M10" s="70" t="str">
        <f>IFERROR(VLOOKUP(C10,Articles,2,FALSE),"")</f>
        <v>Chaussures de foot</v>
      </c>
      <c r="N10" s="70" t="str">
        <f>IFERROR(VLOOKUP(C10,Articles,3,FALSE),"")</f>
        <v>Mizuno</v>
      </c>
    </row>
    <row r="11" spans="1:14" x14ac:dyDescent="0.25">
      <c r="A11" s="69" t="s">
        <v>77</v>
      </c>
      <c r="B11" s="56">
        <v>1</v>
      </c>
      <c r="C11" s="52" t="s">
        <v>107</v>
      </c>
      <c r="D11" s="70">
        <v>120</v>
      </c>
      <c r="E11" s="57">
        <v>120</v>
      </c>
      <c r="F11" s="71">
        <f>IFERROR((D11-E11)/D11,"")</f>
        <v>0</v>
      </c>
      <c r="G11" s="72">
        <v>1</v>
      </c>
      <c r="H11" s="70">
        <f>E11*G11</f>
        <v>120</v>
      </c>
      <c r="I11" s="73" t="s">
        <v>81</v>
      </c>
      <c r="J11" s="73"/>
      <c r="K11" s="70" t="str">
        <f>IFERROR(VLOOKUP(C11,Articles,10,FALSE),"")</f>
        <v>Running</v>
      </c>
      <c r="L11" s="70" t="str">
        <f>IFERROR(VLOOKUP(C11,Articles,11,FALSE),"")</f>
        <v>Vêtement</v>
      </c>
      <c r="M11" s="70" t="str">
        <f>IFERROR(VLOOKUP(C11,Articles,2,FALSE),"")</f>
        <v>Chaussures de running</v>
      </c>
      <c r="N11" s="70" t="str">
        <f>IFERROR(VLOOKUP(C11,Articles,3,FALSE),"")</f>
        <v>Asics</v>
      </c>
    </row>
    <row r="12" spans="1:14" x14ac:dyDescent="0.25">
      <c r="A12" s="69" t="s">
        <v>77</v>
      </c>
      <c r="B12" s="56">
        <v>1</v>
      </c>
      <c r="C12" s="52" t="s">
        <v>106</v>
      </c>
      <c r="D12" s="70">
        <v>100</v>
      </c>
      <c r="E12" s="57">
        <v>100</v>
      </c>
      <c r="F12" s="71">
        <f>IFERROR((D12-E12)/D12,"")</f>
        <v>0</v>
      </c>
      <c r="G12" s="72">
        <v>1</v>
      </c>
      <c r="H12" s="70">
        <f>E12*G12</f>
        <v>100</v>
      </c>
      <c r="I12" s="73" t="s">
        <v>80</v>
      </c>
      <c r="J12" s="73"/>
      <c r="K12" s="70" t="str">
        <f>IFERROR(VLOOKUP(C12,Articles,10,FALSE),"")</f>
        <v>Running</v>
      </c>
      <c r="L12" s="70" t="str">
        <f>IFERROR(VLOOKUP(C12,Articles,11,FALSE),"")</f>
        <v>Vêtement</v>
      </c>
      <c r="M12" s="70" t="str">
        <f>IFERROR(VLOOKUP(C12,Articles,2,FALSE),"")</f>
        <v>Chaussures de running</v>
      </c>
      <c r="N12" s="70" t="str">
        <f>IFERROR(VLOOKUP(C12,Articles,3,FALSE),"")</f>
        <v>Asics</v>
      </c>
    </row>
    <row r="13" spans="1:14" x14ac:dyDescent="0.25">
      <c r="A13" s="69" t="s">
        <v>77</v>
      </c>
      <c r="B13" s="56">
        <v>1</v>
      </c>
      <c r="C13" s="52" t="s">
        <v>111</v>
      </c>
      <c r="D13" s="70">
        <v>80</v>
      </c>
      <c r="E13" s="57">
        <v>80</v>
      </c>
      <c r="F13" s="71">
        <f>IFERROR((D13-E13)/D13,"")</f>
        <v>0</v>
      </c>
      <c r="G13" s="72">
        <v>1</v>
      </c>
      <c r="H13" s="70">
        <f>E13*G13</f>
        <v>80</v>
      </c>
      <c r="I13" s="73" t="s">
        <v>80</v>
      </c>
      <c r="J13" s="73"/>
      <c r="K13" s="70" t="str">
        <f>IFERROR(VLOOKUP(C13,Articles,10,FALSE),"")</f>
        <v>Football</v>
      </c>
      <c r="L13" s="70" t="str">
        <f>IFERROR(VLOOKUP(C13,Articles,11,FALSE),"")</f>
        <v>Vêtement</v>
      </c>
      <c r="M13" s="70" t="str">
        <f>IFERROR(VLOOKUP(C13,Articles,2,FALSE),"")</f>
        <v>Maillot de foot</v>
      </c>
      <c r="N13" s="70" t="str">
        <f>IFERROR(VLOOKUP(C13,Articles,3,FALSE),"")</f>
        <v>Adidas</v>
      </c>
    </row>
    <row r="14" spans="1:14" x14ac:dyDescent="0.25">
      <c r="A14" s="69" t="s">
        <v>77</v>
      </c>
      <c r="B14" s="56">
        <v>2</v>
      </c>
      <c r="C14" s="52" t="s">
        <v>112</v>
      </c>
      <c r="D14" s="70">
        <v>150</v>
      </c>
      <c r="E14" s="57">
        <v>150</v>
      </c>
      <c r="F14" s="71">
        <f>IFERROR((D14-E14)/D14,"")</f>
        <v>0</v>
      </c>
      <c r="G14" s="72">
        <v>1</v>
      </c>
      <c r="H14" s="70">
        <f>E14*G14</f>
        <v>150</v>
      </c>
      <c r="I14" s="73" t="s">
        <v>82</v>
      </c>
      <c r="J14" s="73"/>
      <c r="K14" s="70" t="str">
        <f>IFERROR(VLOOKUP(C14,Articles,10,FALSE),"")</f>
        <v>Football</v>
      </c>
      <c r="L14" s="70" t="str">
        <f>IFERROR(VLOOKUP(C14,Articles,11,FALSE),"")</f>
        <v>Vêtement</v>
      </c>
      <c r="M14" s="70" t="str">
        <f>IFERROR(VLOOKUP(C14,Articles,2,FALSE),"")</f>
        <v>Maillot de foot</v>
      </c>
      <c r="N14" s="70" t="str">
        <f>IFERROR(VLOOKUP(C14,Articles,3,FALSE),"")</f>
        <v>Nike</v>
      </c>
    </row>
    <row r="15" spans="1:14" x14ac:dyDescent="0.25">
      <c r="A15" s="69" t="s">
        <v>77</v>
      </c>
      <c r="B15" s="56">
        <v>1</v>
      </c>
      <c r="C15" s="52" t="s">
        <v>112</v>
      </c>
      <c r="D15" s="70">
        <v>150</v>
      </c>
      <c r="E15" s="57">
        <v>150</v>
      </c>
      <c r="F15" s="71">
        <f>IFERROR((D15-E15)/D15,"")</f>
        <v>0</v>
      </c>
      <c r="G15" s="72">
        <v>1</v>
      </c>
      <c r="H15" s="70">
        <f>E15*G15</f>
        <v>150</v>
      </c>
      <c r="I15" s="73" t="s">
        <v>82</v>
      </c>
      <c r="J15" s="73"/>
      <c r="K15" s="70" t="str">
        <f>IFERROR(VLOOKUP(C15,Articles,10,FALSE),"")</f>
        <v>Football</v>
      </c>
      <c r="L15" s="70" t="str">
        <f>IFERROR(VLOOKUP(C15,Articles,11,FALSE),"")</f>
        <v>Vêtement</v>
      </c>
      <c r="M15" s="70" t="str">
        <f>IFERROR(VLOOKUP(C15,Articles,2,FALSE),"")</f>
        <v>Maillot de foot</v>
      </c>
      <c r="N15" s="70" t="str">
        <f>IFERROR(VLOOKUP(C15,Articles,3,FALSE),"")</f>
        <v>Nike</v>
      </c>
    </row>
    <row r="16" spans="1:14" x14ac:dyDescent="0.25">
      <c r="A16" s="69" t="s">
        <v>77</v>
      </c>
      <c r="B16" s="56">
        <v>1</v>
      </c>
      <c r="C16" s="52" t="s">
        <v>116</v>
      </c>
      <c r="D16" s="70">
        <v>45</v>
      </c>
      <c r="E16" s="57">
        <v>42</v>
      </c>
      <c r="F16" s="71">
        <f>IFERROR((D16-E16)/D16,"")</f>
        <v>6.6666666666666666E-2</v>
      </c>
      <c r="G16" s="72">
        <v>1</v>
      </c>
      <c r="H16" s="70">
        <f>E16*G16</f>
        <v>42</v>
      </c>
      <c r="I16" s="73" t="s">
        <v>82</v>
      </c>
      <c r="J16" s="73"/>
      <c r="K16" s="70" t="str">
        <f>IFERROR(VLOOKUP(C16,Articles,10,FALSE),"")</f>
        <v>Toutes catégories</v>
      </c>
      <c r="L16" s="70" t="str">
        <f>IFERROR(VLOOKUP(C16,Articles,11,FALSE),"")</f>
        <v>Vêtement</v>
      </c>
      <c r="M16" s="70" t="str">
        <f>IFERROR(VLOOKUP(C16,Articles,2,FALSE),"")</f>
        <v>T-Shirt</v>
      </c>
      <c r="N16" s="70" t="str">
        <f>IFERROR(VLOOKUP(C16,Articles,3,FALSE),"")</f>
        <v>Oxbow</v>
      </c>
    </row>
    <row r="17" spans="1:14" x14ac:dyDescent="0.25">
      <c r="A17" s="69" t="s">
        <v>78</v>
      </c>
      <c r="B17" s="56">
        <v>1</v>
      </c>
      <c r="C17" s="52" t="s">
        <v>115</v>
      </c>
      <c r="D17" s="70">
        <v>25</v>
      </c>
      <c r="E17" s="57">
        <v>25</v>
      </c>
      <c r="F17" s="71">
        <f>IFERROR((D17-E17)/D17,"")</f>
        <v>0</v>
      </c>
      <c r="G17" s="72">
        <v>3</v>
      </c>
      <c r="H17" s="70">
        <f>E17*G17</f>
        <v>75</v>
      </c>
      <c r="I17" s="73" t="s">
        <v>82</v>
      </c>
      <c r="J17" s="73"/>
      <c r="K17" s="70" t="str">
        <f>IFERROR(VLOOKUP(C17,Articles,10,FALSE),"")</f>
        <v>Cyclisme</v>
      </c>
      <c r="L17" s="70" t="str">
        <f>IFERROR(VLOOKUP(C17,Articles,11,FALSE),"")</f>
        <v>Prestation</v>
      </c>
      <c r="M17" s="70" t="str">
        <f>IFERROR(VLOOKUP(C17,Articles,2,FALSE),"")</f>
        <v>Réparation vélo</v>
      </c>
      <c r="N17" s="70" t="str">
        <f>IFERROR(VLOOKUP(C17,Articles,3,FALSE),"")</f>
        <v>…</v>
      </c>
    </row>
    <row r="18" spans="1:14" x14ac:dyDescent="0.25">
      <c r="A18" s="69" t="s">
        <v>78</v>
      </c>
      <c r="B18" s="56">
        <v>1</v>
      </c>
      <c r="C18" s="52" t="s">
        <v>102</v>
      </c>
      <c r="D18" s="70">
        <v>25</v>
      </c>
      <c r="E18" s="57">
        <v>20</v>
      </c>
      <c r="F18" s="71">
        <f>IFERROR((D18-E18)/D18,"")</f>
        <v>0.2</v>
      </c>
      <c r="G18" s="72">
        <v>1</v>
      </c>
      <c r="H18" s="70">
        <f>E18*G18</f>
        <v>20</v>
      </c>
      <c r="I18" s="73" t="s">
        <v>82</v>
      </c>
      <c r="J18" s="73"/>
      <c r="K18" s="70" t="str">
        <f>IFERROR(VLOOKUP(C18,Articles,10,FALSE),"")</f>
        <v>Football</v>
      </c>
      <c r="L18" s="70" t="str">
        <f>IFERROR(VLOOKUP(C18,Articles,11,FALSE),"")</f>
        <v>Equipement</v>
      </c>
      <c r="M18" s="70" t="str">
        <f>IFERROR(VLOOKUP(C18,Articles,2,FALSE),"")</f>
        <v>Ballon de foot</v>
      </c>
      <c r="N18" s="70" t="str">
        <f>IFERROR(VLOOKUP(C18,Articles,3,FALSE),"")</f>
        <v>Adidas</v>
      </c>
    </row>
    <row r="19" spans="1:14" x14ac:dyDescent="0.25">
      <c r="A19" s="69" t="s">
        <v>78</v>
      </c>
      <c r="B19" s="56">
        <v>1</v>
      </c>
      <c r="C19" s="52" t="s">
        <v>109</v>
      </c>
      <c r="D19" s="70">
        <v>25</v>
      </c>
      <c r="E19" s="57">
        <v>25</v>
      </c>
      <c r="F19" s="71">
        <f>IFERROR((D19-E19)/D19,"")</f>
        <v>0</v>
      </c>
      <c r="G19" s="72">
        <v>1</v>
      </c>
      <c r="H19" s="70">
        <f>E19*G19</f>
        <v>25</v>
      </c>
      <c r="I19" s="73" t="s">
        <v>81</v>
      </c>
      <c r="J19" s="73"/>
      <c r="K19" s="70" t="str">
        <f>IFERROR(VLOOKUP(C19,Articles,10,FALSE),"")</f>
        <v>Grimpe et rando</v>
      </c>
      <c r="L19" s="70" t="str">
        <f>IFERROR(VLOOKUP(C19,Articles,11,FALSE),"")</f>
        <v>Equipement</v>
      </c>
      <c r="M19" s="70" t="str">
        <f>IFERROR(VLOOKUP(C19,Articles,2,FALSE),"")</f>
        <v>Cordage</v>
      </c>
      <c r="N19" s="70" t="str">
        <f>IFERROR(VLOOKUP(C19,Articles,3,FALSE),"")</f>
        <v>…</v>
      </c>
    </row>
    <row r="20" spans="1:14" x14ac:dyDescent="0.25">
      <c r="A20" s="69" t="s">
        <v>78</v>
      </c>
      <c r="B20" s="56">
        <v>1</v>
      </c>
      <c r="C20" s="52" t="s">
        <v>110</v>
      </c>
      <c r="D20" s="70">
        <v>5</v>
      </c>
      <c r="E20" s="57">
        <v>5</v>
      </c>
      <c r="F20" s="71">
        <f>IFERROR((D20-E20)/D20,"")</f>
        <v>0</v>
      </c>
      <c r="G20" s="72">
        <v>1</v>
      </c>
      <c r="H20" s="70">
        <f>E20*G20</f>
        <v>5</v>
      </c>
      <c r="I20" s="73" t="s">
        <v>82</v>
      </c>
      <c r="J20" s="73"/>
      <c r="K20" s="70" t="str">
        <f>IFERROR(VLOOKUP(C20,Articles,10,FALSE),"")</f>
        <v>Grimpe et rando</v>
      </c>
      <c r="L20" s="70" t="str">
        <f>IFERROR(VLOOKUP(C20,Articles,11,FALSE),"")</f>
        <v>Equipement</v>
      </c>
      <c r="M20" s="70" t="str">
        <f>IFERROR(VLOOKUP(C20,Articles,2,FALSE),"")</f>
        <v>Gourde</v>
      </c>
      <c r="N20" s="70" t="str">
        <f>IFERROR(VLOOKUP(C20,Articles,3,FALSE),"")</f>
        <v>…</v>
      </c>
    </row>
    <row r="21" spans="1:14" x14ac:dyDescent="0.25">
      <c r="A21" s="69" t="s">
        <v>78</v>
      </c>
      <c r="B21" s="56">
        <v>1</v>
      </c>
      <c r="C21" s="52" t="s">
        <v>114</v>
      </c>
      <c r="D21" s="70">
        <v>80</v>
      </c>
      <c r="E21" s="57">
        <v>75</v>
      </c>
      <c r="F21" s="71">
        <f>IFERROR((D21-E21)/D21,"")</f>
        <v>6.25E-2</v>
      </c>
      <c r="G21" s="72">
        <v>1</v>
      </c>
      <c r="H21" s="70">
        <f>E21*G21</f>
        <v>75</v>
      </c>
      <c r="I21" s="73" t="s">
        <v>81</v>
      </c>
      <c r="J21" s="73"/>
      <c r="K21" s="70" t="str">
        <f>IFERROR(VLOOKUP(C21,Articles,10,FALSE),"")</f>
        <v>Tennis</v>
      </c>
      <c r="L21" s="70" t="str">
        <f>IFERROR(VLOOKUP(C21,Articles,11,FALSE),"")</f>
        <v>Equipement</v>
      </c>
      <c r="M21" s="70" t="str">
        <f>IFERROR(VLOOKUP(C21,Articles,2,FALSE),"")</f>
        <v>Raquette de tennis</v>
      </c>
      <c r="N21" s="70" t="str">
        <f>IFERROR(VLOOKUP(C21,Articles,3,FALSE),"")</f>
        <v>Babolat</v>
      </c>
    </row>
    <row r="22" spans="1:14" x14ac:dyDescent="0.25">
      <c r="A22" s="69" t="s">
        <v>78</v>
      </c>
      <c r="B22" s="56">
        <v>2</v>
      </c>
      <c r="C22" s="52" t="s">
        <v>117</v>
      </c>
      <c r="D22" s="70">
        <v>250</v>
      </c>
      <c r="E22" s="57">
        <v>250</v>
      </c>
      <c r="F22" s="71">
        <f>IFERROR((D22-E22)/D22,"")</f>
        <v>0</v>
      </c>
      <c r="G22" s="72">
        <v>1</v>
      </c>
      <c r="H22" s="70">
        <f>E22*G22</f>
        <v>250</v>
      </c>
      <c r="I22" s="73" t="s">
        <v>80</v>
      </c>
      <c r="J22" s="73"/>
      <c r="K22" s="70" t="str">
        <f>IFERROR(VLOOKUP(C22,Articles,10,FALSE),"")</f>
        <v>Cyclisme</v>
      </c>
      <c r="L22" s="70" t="str">
        <f>IFERROR(VLOOKUP(C22,Articles,11,FALSE),"")</f>
        <v>Equipement</v>
      </c>
      <c r="M22" s="70" t="str">
        <f>IFERROR(VLOOKUP(C22,Articles,2,FALSE),"")</f>
        <v>Vélo</v>
      </c>
      <c r="N22" s="70" t="str">
        <f>IFERROR(VLOOKUP(C22,Articles,3,FALSE),"")</f>
        <v>Orbea</v>
      </c>
    </row>
    <row r="23" spans="1:14" x14ac:dyDescent="0.25">
      <c r="A23" s="69" t="s">
        <v>78</v>
      </c>
      <c r="B23" s="56">
        <v>2</v>
      </c>
      <c r="C23" s="52" t="s">
        <v>115</v>
      </c>
      <c r="D23" s="70">
        <v>25</v>
      </c>
      <c r="E23" s="57">
        <v>25</v>
      </c>
      <c r="F23" s="71">
        <f>IFERROR((D23-E23)/D23,"")</f>
        <v>0</v>
      </c>
      <c r="G23" s="72">
        <v>1</v>
      </c>
      <c r="H23" s="70">
        <f>E23*G23</f>
        <v>25</v>
      </c>
      <c r="I23" s="73" t="s">
        <v>82</v>
      </c>
      <c r="J23" s="73"/>
      <c r="K23" s="70" t="str">
        <f>IFERROR(VLOOKUP(C23,Articles,10,FALSE),"")</f>
        <v>Cyclisme</v>
      </c>
      <c r="L23" s="70" t="str">
        <f>IFERROR(VLOOKUP(C23,Articles,11,FALSE),"")</f>
        <v>Prestation</v>
      </c>
      <c r="M23" s="70" t="str">
        <f>IFERROR(VLOOKUP(C23,Articles,2,FALSE),"")</f>
        <v>Réparation vélo</v>
      </c>
      <c r="N23" s="70" t="str">
        <f>IFERROR(VLOOKUP(C23,Articles,3,FALSE),"")</f>
        <v>…</v>
      </c>
    </row>
    <row r="24" spans="1:14" x14ac:dyDescent="0.25">
      <c r="A24" s="69" t="s">
        <v>78</v>
      </c>
      <c r="B24" s="56">
        <v>1</v>
      </c>
      <c r="C24" s="52" t="s">
        <v>105</v>
      </c>
      <c r="D24" s="70">
        <v>220</v>
      </c>
      <c r="E24" s="57">
        <v>220</v>
      </c>
      <c r="F24" s="71">
        <f>IFERROR((D24-E24)/D24,"")</f>
        <v>0</v>
      </c>
      <c r="G24" s="72">
        <v>1</v>
      </c>
      <c r="H24" s="70">
        <f>E24*G24</f>
        <v>220</v>
      </c>
      <c r="I24" s="73" t="s">
        <v>80</v>
      </c>
      <c r="J24" s="73"/>
      <c r="K24" s="70" t="str">
        <f>IFERROR(VLOOKUP(C24,Articles,10,FALSE),"")</f>
        <v>Football</v>
      </c>
      <c r="L24" s="70" t="str">
        <f>IFERROR(VLOOKUP(C24,Articles,11,FALSE),"")</f>
        <v>Vêtement</v>
      </c>
      <c r="M24" s="70" t="str">
        <f>IFERROR(VLOOKUP(C24,Articles,2,FALSE),"")</f>
        <v>Chaussures de foot</v>
      </c>
      <c r="N24" s="70" t="str">
        <f>IFERROR(VLOOKUP(C24,Articles,3,FALSE),"")</f>
        <v>Adidas</v>
      </c>
    </row>
    <row r="25" spans="1:14" x14ac:dyDescent="0.25">
      <c r="A25" s="69" t="s">
        <v>78</v>
      </c>
      <c r="B25" s="56">
        <v>1</v>
      </c>
      <c r="C25" s="52" t="s">
        <v>104</v>
      </c>
      <c r="D25" s="70">
        <v>150</v>
      </c>
      <c r="E25" s="57">
        <v>150</v>
      </c>
      <c r="F25" s="71">
        <f>IFERROR((D25-E25)/D25,"")</f>
        <v>0</v>
      </c>
      <c r="G25" s="72">
        <v>1</v>
      </c>
      <c r="H25" s="70">
        <f>E25*G25</f>
        <v>150</v>
      </c>
      <c r="I25" s="73" t="s">
        <v>81</v>
      </c>
      <c r="J25" s="73"/>
      <c r="K25" s="70" t="str">
        <f>IFERROR(VLOOKUP(C25,Articles,10,FALSE),"")</f>
        <v>Football</v>
      </c>
      <c r="L25" s="70" t="str">
        <f>IFERROR(VLOOKUP(C25,Articles,11,FALSE),"")</f>
        <v>Vêtement</v>
      </c>
      <c r="M25" s="70" t="str">
        <f>IFERROR(VLOOKUP(C25,Articles,2,FALSE),"")</f>
        <v>Chaussures de foot</v>
      </c>
      <c r="N25" s="70" t="str">
        <f>IFERROR(VLOOKUP(C25,Articles,3,FALSE),"")</f>
        <v>Adidas</v>
      </c>
    </row>
    <row r="26" spans="1:14" x14ac:dyDescent="0.25">
      <c r="A26" s="69" t="s">
        <v>78</v>
      </c>
      <c r="B26" s="56">
        <v>2</v>
      </c>
      <c r="C26" s="52" t="s">
        <v>101</v>
      </c>
      <c r="D26" s="70">
        <v>120</v>
      </c>
      <c r="E26" s="57">
        <v>110</v>
      </c>
      <c r="F26" s="71">
        <f>IFERROR((D26-E26)/D26,"")</f>
        <v>8.3333333333333329E-2</v>
      </c>
      <c r="G26" s="72">
        <v>1</v>
      </c>
      <c r="H26" s="70">
        <f>E26*G26</f>
        <v>110</v>
      </c>
      <c r="I26" s="73" t="s">
        <v>81</v>
      </c>
      <c r="J26" s="73"/>
      <c r="K26" s="70" t="str">
        <f>IFERROR(VLOOKUP(C26,Articles,10,FALSE),"")</f>
        <v>Football</v>
      </c>
      <c r="L26" s="70" t="str">
        <f>IFERROR(VLOOKUP(C26,Articles,11,FALSE),"")</f>
        <v>Vêtement</v>
      </c>
      <c r="M26" s="70" t="str">
        <f>IFERROR(VLOOKUP(C26,Articles,2,FALSE),"")</f>
        <v>Chaussures de foot</v>
      </c>
      <c r="N26" s="70" t="str">
        <f>IFERROR(VLOOKUP(C26,Articles,3,FALSE),"")</f>
        <v>Mizuno</v>
      </c>
    </row>
    <row r="27" spans="1:14" x14ac:dyDescent="0.25">
      <c r="A27" s="69" t="s">
        <v>78</v>
      </c>
      <c r="B27" s="56">
        <v>2</v>
      </c>
      <c r="C27" s="52" t="s">
        <v>107</v>
      </c>
      <c r="D27" s="70">
        <v>120</v>
      </c>
      <c r="E27" s="57">
        <v>120</v>
      </c>
      <c r="F27" s="71">
        <f>IFERROR((D27-E27)/D27,"")</f>
        <v>0</v>
      </c>
      <c r="G27" s="72">
        <v>1</v>
      </c>
      <c r="H27" s="70">
        <f>E27*G27</f>
        <v>120</v>
      </c>
      <c r="I27" s="73" t="s">
        <v>81</v>
      </c>
      <c r="J27" s="73"/>
      <c r="K27" s="70" t="str">
        <f>IFERROR(VLOOKUP(C27,Articles,10,FALSE),"")</f>
        <v>Running</v>
      </c>
      <c r="L27" s="70" t="str">
        <f>IFERROR(VLOOKUP(C27,Articles,11,FALSE),"")</f>
        <v>Vêtement</v>
      </c>
      <c r="M27" s="70" t="str">
        <f>IFERROR(VLOOKUP(C27,Articles,2,FALSE),"")</f>
        <v>Chaussures de running</v>
      </c>
      <c r="N27" s="70" t="str">
        <f>IFERROR(VLOOKUP(C27,Articles,3,FALSE),"")</f>
        <v>Asics</v>
      </c>
    </row>
    <row r="28" spans="1:14" x14ac:dyDescent="0.25">
      <c r="A28" s="69" t="s">
        <v>78</v>
      </c>
      <c r="B28" s="56">
        <v>1</v>
      </c>
      <c r="C28" s="52" t="s">
        <v>106</v>
      </c>
      <c r="D28" s="70">
        <v>100</v>
      </c>
      <c r="E28" s="57">
        <v>100</v>
      </c>
      <c r="F28" s="71">
        <f>IFERROR((D28-E28)/D28,"")</f>
        <v>0</v>
      </c>
      <c r="G28" s="72">
        <v>1</v>
      </c>
      <c r="H28" s="70">
        <f>E28*G28</f>
        <v>100</v>
      </c>
      <c r="I28" s="73" t="s">
        <v>80</v>
      </c>
      <c r="J28" s="73"/>
      <c r="K28" s="70" t="str">
        <f>IFERROR(VLOOKUP(C28,Articles,10,FALSE),"")</f>
        <v>Running</v>
      </c>
      <c r="L28" s="70" t="str">
        <f>IFERROR(VLOOKUP(C28,Articles,11,FALSE),"")</f>
        <v>Vêtement</v>
      </c>
      <c r="M28" s="70" t="str">
        <f>IFERROR(VLOOKUP(C28,Articles,2,FALSE),"")</f>
        <v>Chaussures de running</v>
      </c>
      <c r="N28" s="70" t="str">
        <f>IFERROR(VLOOKUP(C28,Articles,3,FALSE),"")</f>
        <v>Asics</v>
      </c>
    </row>
    <row r="29" spans="1:14" x14ac:dyDescent="0.25">
      <c r="A29" s="69" t="s">
        <v>78</v>
      </c>
      <c r="B29" s="56">
        <v>1</v>
      </c>
      <c r="C29" s="52" t="s">
        <v>111</v>
      </c>
      <c r="D29" s="70">
        <v>80</v>
      </c>
      <c r="E29" s="57">
        <v>80</v>
      </c>
      <c r="F29" s="71">
        <f>IFERROR((D29-E29)/D29,"")</f>
        <v>0</v>
      </c>
      <c r="G29" s="72">
        <v>1</v>
      </c>
      <c r="H29" s="70">
        <f>E29*G29</f>
        <v>80</v>
      </c>
      <c r="I29" s="73" t="s">
        <v>80</v>
      </c>
      <c r="J29" s="73"/>
      <c r="K29" s="70" t="str">
        <f>IFERROR(VLOOKUP(C29,Articles,10,FALSE),"")</f>
        <v>Football</v>
      </c>
      <c r="L29" s="70" t="str">
        <f>IFERROR(VLOOKUP(C29,Articles,11,FALSE),"")</f>
        <v>Vêtement</v>
      </c>
      <c r="M29" s="70" t="str">
        <f>IFERROR(VLOOKUP(C29,Articles,2,FALSE),"")</f>
        <v>Maillot de foot</v>
      </c>
      <c r="N29" s="70" t="str">
        <f>IFERROR(VLOOKUP(C29,Articles,3,FALSE),"")</f>
        <v>Adidas</v>
      </c>
    </row>
    <row r="30" spans="1:14" x14ac:dyDescent="0.25">
      <c r="A30" s="69" t="s">
        <v>78</v>
      </c>
      <c r="B30" s="56">
        <v>1</v>
      </c>
      <c r="C30" s="52" t="s">
        <v>112</v>
      </c>
      <c r="D30" s="70">
        <v>150</v>
      </c>
      <c r="E30" s="57">
        <v>150</v>
      </c>
      <c r="F30" s="71">
        <f>IFERROR((D30-E30)/D30,"")</f>
        <v>0</v>
      </c>
      <c r="G30" s="72">
        <v>1</v>
      </c>
      <c r="H30" s="70">
        <f>E30*G30</f>
        <v>150</v>
      </c>
      <c r="I30" s="73" t="s">
        <v>82</v>
      </c>
      <c r="J30" s="73"/>
      <c r="K30" s="70" t="str">
        <f>IFERROR(VLOOKUP(C30,Articles,10,FALSE),"")</f>
        <v>Football</v>
      </c>
      <c r="L30" s="70" t="str">
        <f>IFERROR(VLOOKUP(C30,Articles,11,FALSE),"")</f>
        <v>Vêtement</v>
      </c>
      <c r="M30" s="70" t="str">
        <f>IFERROR(VLOOKUP(C30,Articles,2,FALSE),"")</f>
        <v>Maillot de foot</v>
      </c>
      <c r="N30" s="70" t="str">
        <f>IFERROR(VLOOKUP(C30,Articles,3,FALSE),"")</f>
        <v>Nike</v>
      </c>
    </row>
    <row r="31" spans="1:14" x14ac:dyDescent="0.25">
      <c r="A31" s="69" t="s">
        <v>78</v>
      </c>
      <c r="B31" s="56">
        <v>1</v>
      </c>
      <c r="C31" s="52" t="s">
        <v>116</v>
      </c>
      <c r="D31" s="70">
        <v>45</v>
      </c>
      <c r="E31" s="57">
        <v>42</v>
      </c>
      <c r="F31" s="71">
        <f>IFERROR((D31-E31)/D31,"")</f>
        <v>6.6666666666666666E-2</v>
      </c>
      <c r="G31" s="72">
        <v>1</v>
      </c>
      <c r="H31" s="70">
        <f>E31*G31</f>
        <v>42</v>
      </c>
      <c r="I31" s="73" t="s">
        <v>82</v>
      </c>
      <c r="J31" s="73"/>
      <c r="K31" s="70" t="str">
        <f>IFERROR(VLOOKUP(C31,Articles,10,FALSE),"")</f>
        <v>Toutes catégories</v>
      </c>
      <c r="L31" s="70" t="str">
        <f>IFERROR(VLOOKUP(C31,Articles,11,FALSE),"")</f>
        <v>Vêtement</v>
      </c>
      <c r="M31" s="70" t="str">
        <f>IFERROR(VLOOKUP(C31,Articles,2,FALSE),"")</f>
        <v>T-Shirt</v>
      </c>
      <c r="N31" s="70" t="str">
        <f>IFERROR(VLOOKUP(C31,Articles,3,FALSE),"")</f>
        <v>Oxbow</v>
      </c>
    </row>
    <row r="32" spans="1:14" x14ac:dyDescent="0.25">
      <c r="A32" s="69" t="s">
        <v>76</v>
      </c>
      <c r="B32" s="56">
        <v>2</v>
      </c>
      <c r="C32" s="52" t="s">
        <v>101</v>
      </c>
      <c r="D32" s="70">
        <v>120</v>
      </c>
      <c r="E32" s="57">
        <v>120</v>
      </c>
      <c r="F32" s="71">
        <f>IFERROR((D32-E32)/D32,"")</f>
        <v>0</v>
      </c>
      <c r="G32" s="72">
        <v>10</v>
      </c>
      <c r="H32" s="70">
        <f>E32*G32</f>
        <v>1200</v>
      </c>
      <c r="I32" s="73" t="s">
        <v>81</v>
      </c>
      <c r="J32" s="73"/>
      <c r="K32" s="70" t="str">
        <f>IFERROR(VLOOKUP(C32,Articles,10,FALSE),"")</f>
        <v>Football</v>
      </c>
      <c r="L32" s="70" t="str">
        <f>IFERROR(VLOOKUP(C32,Articles,11,FALSE),"")</f>
        <v>Vêtement</v>
      </c>
      <c r="M32" s="70" t="str">
        <f>IFERROR(VLOOKUP(C32,Articles,2,FALSE),"")</f>
        <v>Chaussures de foot</v>
      </c>
      <c r="N32" s="70" t="str">
        <f>IFERROR(VLOOKUP(C32,Articles,3,FALSE),"")</f>
        <v>Mizuno</v>
      </c>
    </row>
    <row r="33" spans="1:14" x14ac:dyDescent="0.25">
      <c r="A33" s="69" t="s">
        <v>76</v>
      </c>
      <c r="B33" s="56">
        <v>1</v>
      </c>
      <c r="C33" s="52" t="s">
        <v>102</v>
      </c>
      <c r="D33" s="70">
        <v>25</v>
      </c>
      <c r="E33" s="57">
        <v>25</v>
      </c>
      <c r="F33" s="71">
        <f>IFERROR((D33-E33)/D33,"")</f>
        <v>0</v>
      </c>
      <c r="G33" s="72">
        <v>1</v>
      </c>
      <c r="H33" s="70">
        <f>E33*G33</f>
        <v>25</v>
      </c>
      <c r="I33" s="73" t="s">
        <v>81</v>
      </c>
      <c r="J33" s="73"/>
      <c r="K33" s="70" t="str">
        <f>IFERROR(VLOOKUP(C33,Articles,10,FALSE),"")</f>
        <v>Football</v>
      </c>
      <c r="L33" s="70" t="str">
        <f>IFERROR(VLOOKUP(C33,Articles,11,FALSE),"")</f>
        <v>Equipement</v>
      </c>
      <c r="M33" s="70" t="str">
        <f>IFERROR(VLOOKUP(C33,Articles,2,FALSE),"")</f>
        <v>Ballon de foot</v>
      </c>
      <c r="N33" s="70" t="str">
        <f>IFERROR(VLOOKUP(C33,Articles,3,FALSE),"")</f>
        <v>Adidas</v>
      </c>
    </row>
    <row r="34" spans="1:14" x14ac:dyDescent="0.25">
      <c r="A34" s="69" t="s">
        <v>76</v>
      </c>
      <c r="B34" s="56">
        <v>1</v>
      </c>
      <c r="C34" s="52" t="s">
        <v>109</v>
      </c>
      <c r="D34" s="70">
        <v>25</v>
      </c>
      <c r="E34" s="57">
        <v>25</v>
      </c>
      <c r="F34" s="71">
        <f>IFERROR((D34-E34)/D34,"")</f>
        <v>0</v>
      </c>
      <c r="G34" s="72">
        <v>1</v>
      </c>
      <c r="H34" s="70">
        <f>E34*G34</f>
        <v>25</v>
      </c>
      <c r="I34" s="73" t="s">
        <v>82</v>
      </c>
      <c r="J34" s="73"/>
      <c r="K34" s="70" t="str">
        <f>IFERROR(VLOOKUP(C34,Articles,10,FALSE),"")</f>
        <v>Grimpe et rando</v>
      </c>
      <c r="L34" s="70" t="str">
        <f>IFERROR(VLOOKUP(C34,Articles,11,FALSE),"")</f>
        <v>Equipement</v>
      </c>
      <c r="M34" s="70" t="str">
        <f>IFERROR(VLOOKUP(C34,Articles,2,FALSE),"")</f>
        <v>Cordage</v>
      </c>
      <c r="N34" s="70" t="str">
        <f>IFERROR(VLOOKUP(C34,Articles,3,FALSE),"")</f>
        <v>…</v>
      </c>
    </row>
    <row r="35" spans="1:14" x14ac:dyDescent="0.25">
      <c r="A35" s="69" t="s">
        <v>76</v>
      </c>
      <c r="B35" s="56">
        <v>1</v>
      </c>
      <c r="C35" s="52" t="s">
        <v>110</v>
      </c>
      <c r="D35" s="70">
        <v>5</v>
      </c>
      <c r="E35" s="57">
        <v>5</v>
      </c>
      <c r="F35" s="71">
        <f>IFERROR((D35-E35)/D35,"")</f>
        <v>0</v>
      </c>
      <c r="G35" s="72">
        <v>1</v>
      </c>
      <c r="H35" s="70">
        <f>E35*G35</f>
        <v>5</v>
      </c>
      <c r="I35" s="73" t="s">
        <v>82</v>
      </c>
      <c r="J35" s="73"/>
      <c r="K35" s="70" t="str">
        <f>IFERROR(VLOOKUP(C35,Articles,10,FALSE),"")</f>
        <v>Grimpe et rando</v>
      </c>
      <c r="L35" s="70" t="str">
        <f>IFERROR(VLOOKUP(C35,Articles,11,FALSE),"")</f>
        <v>Equipement</v>
      </c>
      <c r="M35" s="70" t="str">
        <f>IFERROR(VLOOKUP(C35,Articles,2,FALSE),"")</f>
        <v>Gourde</v>
      </c>
      <c r="N35" s="70" t="str">
        <f>IFERROR(VLOOKUP(C35,Articles,3,FALSE),"")</f>
        <v>…</v>
      </c>
    </row>
    <row r="36" spans="1:14" x14ac:dyDescent="0.25">
      <c r="A36" s="69" t="s">
        <v>76</v>
      </c>
      <c r="B36" s="56">
        <v>1</v>
      </c>
      <c r="C36" s="52" t="s">
        <v>110</v>
      </c>
      <c r="D36" s="70">
        <v>5</v>
      </c>
      <c r="E36" s="57">
        <v>5</v>
      </c>
      <c r="F36" s="71">
        <f>IFERROR((D36-E36)/D36,"")</f>
        <v>0</v>
      </c>
      <c r="G36" s="72">
        <v>1</v>
      </c>
      <c r="H36" s="70">
        <f>E36*G36</f>
        <v>5</v>
      </c>
      <c r="I36" s="73" t="s">
        <v>80</v>
      </c>
      <c r="J36" s="73"/>
      <c r="K36" s="70" t="str">
        <f>IFERROR(VLOOKUP(C36,Articles,10,FALSE),"")</f>
        <v>Grimpe et rando</v>
      </c>
      <c r="L36" s="70" t="str">
        <f>IFERROR(VLOOKUP(C36,Articles,11,FALSE),"")</f>
        <v>Equipement</v>
      </c>
      <c r="M36" s="70" t="str">
        <f>IFERROR(VLOOKUP(C36,Articles,2,FALSE),"")</f>
        <v>Gourde</v>
      </c>
      <c r="N36" s="70" t="str">
        <f>IFERROR(VLOOKUP(C36,Articles,3,FALSE),"")</f>
        <v>…</v>
      </c>
    </row>
    <row r="37" spans="1:14" x14ac:dyDescent="0.25">
      <c r="A37" s="69" t="s">
        <v>76</v>
      </c>
      <c r="B37" s="56">
        <v>1</v>
      </c>
      <c r="C37" s="52" t="s">
        <v>114</v>
      </c>
      <c r="D37" s="70">
        <v>80</v>
      </c>
      <c r="E37" s="57">
        <v>75</v>
      </c>
      <c r="F37" s="71">
        <f>IFERROR((D37-E37)/D37,"")</f>
        <v>6.25E-2</v>
      </c>
      <c r="G37" s="72">
        <v>1</v>
      </c>
      <c r="H37" s="70">
        <f>E37*G37</f>
        <v>75</v>
      </c>
      <c r="I37" s="73" t="s">
        <v>81</v>
      </c>
      <c r="J37" s="73"/>
      <c r="K37" s="70" t="str">
        <f>IFERROR(VLOOKUP(C37,Articles,10,FALSE),"")</f>
        <v>Tennis</v>
      </c>
      <c r="L37" s="70" t="str">
        <f>IFERROR(VLOOKUP(C37,Articles,11,FALSE),"")</f>
        <v>Equipement</v>
      </c>
      <c r="M37" s="70" t="str">
        <f>IFERROR(VLOOKUP(C37,Articles,2,FALSE),"")</f>
        <v>Raquette de tennis</v>
      </c>
      <c r="N37" s="70" t="str">
        <f>IFERROR(VLOOKUP(C37,Articles,3,FALSE),"")</f>
        <v>Babolat</v>
      </c>
    </row>
    <row r="38" spans="1:14" x14ac:dyDescent="0.25">
      <c r="A38" s="69" t="s">
        <v>76</v>
      </c>
      <c r="B38" s="56">
        <v>1</v>
      </c>
      <c r="C38" s="52" t="s">
        <v>114</v>
      </c>
      <c r="D38" s="70">
        <v>80</v>
      </c>
      <c r="E38" s="57">
        <v>75</v>
      </c>
      <c r="F38" s="71">
        <f>IFERROR((D38-E38)/D38,"")</f>
        <v>6.25E-2</v>
      </c>
      <c r="G38" s="72">
        <v>1</v>
      </c>
      <c r="H38" s="70">
        <f>E38*G38</f>
        <v>75</v>
      </c>
      <c r="I38" s="73" t="s">
        <v>82</v>
      </c>
      <c r="J38" s="73"/>
      <c r="K38" s="70" t="str">
        <f>IFERROR(VLOOKUP(C38,Articles,10,FALSE),"")</f>
        <v>Tennis</v>
      </c>
      <c r="L38" s="70" t="str">
        <f>IFERROR(VLOOKUP(C38,Articles,11,FALSE),"")</f>
        <v>Equipement</v>
      </c>
      <c r="M38" s="70" t="str">
        <f>IFERROR(VLOOKUP(C38,Articles,2,FALSE),"")</f>
        <v>Raquette de tennis</v>
      </c>
      <c r="N38" s="70" t="str">
        <f>IFERROR(VLOOKUP(C38,Articles,3,FALSE),"")</f>
        <v>Babolat</v>
      </c>
    </row>
    <row r="39" spans="1:14" x14ac:dyDescent="0.25">
      <c r="A39" s="69" t="s">
        <v>76</v>
      </c>
      <c r="B39" s="56">
        <v>2</v>
      </c>
      <c r="C39" s="52" t="s">
        <v>117</v>
      </c>
      <c r="D39" s="70">
        <v>250</v>
      </c>
      <c r="E39" s="57">
        <v>250</v>
      </c>
      <c r="F39" s="71">
        <f>IFERROR((D39-E39)/D39,"")</f>
        <v>0</v>
      </c>
      <c r="G39" s="72">
        <v>1</v>
      </c>
      <c r="H39" s="70">
        <f>E39*G39</f>
        <v>250</v>
      </c>
      <c r="I39" s="73" t="s">
        <v>80</v>
      </c>
      <c r="J39" s="73"/>
      <c r="K39" s="70" t="str">
        <f>IFERROR(VLOOKUP(C39,Articles,10,FALSE),"")</f>
        <v>Cyclisme</v>
      </c>
      <c r="L39" s="70" t="str">
        <f>IFERROR(VLOOKUP(C39,Articles,11,FALSE),"")</f>
        <v>Equipement</v>
      </c>
      <c r="M39" s="70" t="str">
        <f>IFERROR(VLOOKUP(C39,Articles,2,FALSE),"")</f>
        <v>Vélo</v>
      </c>
      <c r="N39" s="70" t="str">
        <f>IFERROR(VLOOKUP(C39,Articles,3,FALSE),"")</f>
        <v>Orbea</v>
      </c>
    </row>
    <row r="40" spans="1:14" x14ac:dyDescent="0.25">
      <c r="A40" s="69" t="s">
        <v>76</v>
      </c>
      <c r="B40" s="56">
        <v>1</v>
      </c>
      <c r="C40" s="52" t="s">
        <v>117</v>
      </c>
      <c r="D40" s="70">
        <v>250</v>
      </c>
      <c r="E40" s="57">
        <v>250</v>
      </c>
      <c r="F40" s="71">
        <f>IFERROR((D40-E40)/D40,"")</f>
        <v>0</v>
      </c>
      <c r="G40" s="72">
        <v>1</v>
      </c>
      <c r="H40" s="70">
        <f>E40*G40</f>
        <v>250</v>
      </c>
      <c r="I40" s="73" t="s">
        <v>80</v>
      </c>
      <c r="J40" s="73"/>
      <c r="K40" s="70" t="str">
        <f>IFERROR(VLOOKUP(C40,Articles,10,FALSE),"")</f>
        <v>Cyclisme</v>
      </c>
      <c r="L40" s="70" t="str">
        <f>IFERROR(VLOOKUP(C40,Articles,11,FALSE),"")</f>
        <v>Equipement</v>
      </c>
      <c r="M40" s="70" t="str">
        <f>IFERROR(VLOOKUP(C40,Articles,2,FALSE),"")</f>
        <v>Vélo</v>
      </c>
      <c r="N40" s="70" t="str">
        <f>IFERROR(VLOOKUP(C40,Articles,3,FALSE),"")</f>
        <v>Orbea</v>
      </c>
    </row>
    <row r="41" spans="1:14" x14ac:dyDescent="0.25">
      <c r="A41" s="69" t="s">
        <v>76</v>
      </c>
      <c r="B41" s="56">
        <v>1</v>
      </c>
      <c r="C41" s="52" t="s">
        <v>113</v>
      </c>
      <c r="D41" s="70">
        <v>15</v>
      </c>
      <c r="E41" s="57">
        <v>15</v>
      </c>
      <c r="F41" s="71">
        <f>IFERROR((D41-E41)/D41,"")</f>
        <v>0</v>
      </c>
      <c r="G41" s="72">
        <v>1</v>
      </c>
      <c r="H41" s="70">
        <f>E41*G41</f>
        <v>15</v>
      </c>
      <c r="I41" s="73" t="s">
        <v>81</v>
      </c>
      <c r="J41" s="73"/>
      <c r="K41" s="70" t="str">
        <f>IFERROR(VLOOKUP(C41,Articles,10,FALSE),"")</f>
        <v>Toutes catégories</v>
      </c>
      <c r="L41" s="70" t="str">
        <f>IFERROR(VLOOKUP(C41,Articles,11,FALSE),"")</f>
        <v>Prestation</v>
      </c>
      <c r="M41" s="70" t="str">
        <f>IFERROR(VLOOKUP(C41,Articles,2,FALSE),"")</f>
        <v>Main d'œuvre</v>
      </c>
      <c r="N41" s="70" t="str">
        <f>IFERROR(VLOOKUP(C41,Articles,3,FALSE),"")</f>
        <v>…</v>
      </c>
    </row>
    <row r="42" spans="1:14" x14ac:dyDescent="0.25">
      <c r="A42" s="69" t="s">
        <v>76</v>
      </c>
      <c r="B42" s="56">
        <v>2</v>
      </c>
      <c r="C42" s="52" t="s">
        <v>115</v>
      </c>
      <c r="D42" s="70">
        <v>25</v>
      </c>
      <c r="E42" s="57">
        <v>25</v>
      </c>
      <c r="F42" s="71">
        <f>IFERROR((D42-E42)/D42,"")</f>
        <v>0</v>
      </c>
      <c r="G42" s="72">
        <v>1</v>
      </c>
      <c r="H42" s="70">
        <f>E42*G42</f>
        <v>25</v>
      </c>
      <c r="I42" s="73" t="s">
        <v>80</v>
      </c>
      <c r="J42" s="73"/>
      <c r="K42" s="70" t="str">
        <f>IFERROR(VLOOKUP(C42,Articles,10,FALSE),"")</f>
        <v>Cyclisme</v>
      </c>
      <c r="L42" s="70" t="str">
        <f>IFERROR(VLOOKUP(C42,Articles,11,FALSE),"")</f>
        <v>Prestation</v>
      </c>
      <c r="M42" s="70" t="str">
        <f>IFERROR(VLOOKUP(C42,Articles,2,FALSE),"")</f>
        <v>Réparation vélo</v>
      </c>
      <c r="N42" s="70" t="str">
        <f>IFERROR(VLOOKUP(C42,Articles,3,FALSE),"")</f>
        <v>…</v>
      </c>
    </row>
    <row r="43" spans="1:14" x14ac:dyDescent="0.25">
      <c r="A43" s="69" t="s">
        <v>76</v>
      </c>
      <c r="B43" s="56">
        <v>2</v>
      </c>
      <c r="C43" s="52" t="s">
        <v>115</v>
      </c>
      <c r="D43" s="70">
        <v>25</v>
      </c>
      <c r="E43" s="57">
        <v>25</v>
      </c>
      <c r="F43" s="71">
        <f>IFERROR((D43-E43)/D43,"")</f>
        <v>0</v>
      </c>
      <c r="G43" s="72">
        <v>1</v>
      </c>
      <c r="H43" s="70">
        <f>E43*G43</f>
        <v>25</v>
      </c>
      <c r="I43" s="73" t="s">
        <v>80</v>
      </c>
      <c r="J43" s="73"/>
      <c r="K43" s="70" t="str">
        <f>IFERROR(VLOOKUP(C43,Articles,10,FALSE),"")</f>
        <v>Cyclisme</v>
      </c>
      <c r="L43" s="70" t="str">
        <f>IFERROR(VLOOKUP(C43,Articles,11,FALSE),"")</f>
        <v>Prestation</v>
      </c>
      <c r="M43" s="70" t="str">
        <f>IFERROR(VLOOKUP(C43,Articles,2,FALSE),"")</f>
        <v>Réparation vélo</v>
      </c>
      <c r="N43" s="70" t="str">
        <f>IFERROR(VLOOKUP(C43,Articles,3,FALSE),"")</f>
        <v>…</v>
      </c>
    </row>
    <row r="44" spans="1:14" x14ac:dyDescent="0.25">
      <c r="A44" s="69" t="s">
        <v>76</v>
      </c>
      <c r="B44" s="56">
        <v>1</v>
      </c>
      <c r="C44" s="52" t="s">
        <v>105</v>
      </c>
      <c r="D44" s="70">
        <v>220</v>
      </c>
      <c r="E44" s="57">
        <v>218</v>
      </c>
      <c r="F44" s="71">
        <f>IFERROR((D44-E44)/D44,"")</f>
        <v>9.0909090909090905E-3</v>
      </c>
      <c r="G44" s="72">
        <v>1</v>
      </c>
      <c r="H44" s="70">
        <f>E44*G44</f>
        <v>218</v>
      </c>
      <c r="I44" s="73" t="s">
        <v>82</v>
      </c>
      <c r="J44" s="73"/>
      <c r="K44" s="70" t="str">
        <f>IFERROR(VLOOKUP(C44,Articles,10,FALSE),"")</f>
        <v>Football</v>
      </c>
      <c r="L44" s="70" t="str">
        <f>IFERROR(VLOOKUP(C44,Articles,11,FALSE),"")</f>
        <v>Vêtement</v>
      </c>
      <c r="M44" s="70" t="str">
        <f>IFERROR(VLOOKUP(C44,Articles,2,FALSE),"")</f>
        <v>Chaussures de foot</v>
      </c>
      <c r="N44" s="70" t="str">
        <f>IFERROR(VLOOKUP(C44,Articles,3,FALSE),"")</f>
        <v>Adidas</v>
      </c>
    </row>
    <row r="45" spans="1:14" x14ac:dyDescent="0.25">
      <c r="A45" s="69" t="s">
        <v>76</v>
      </c>
      <c r="B45" s="56">
        <v>1</v>
      </c>
      <c r="C45" s="52" t="s">
        <v>104</v>
      </c>
      <c r="D45" s="70">
        <v>150</v>
      </c>
      <c r="E45" s="57">
        <v>150</v>
      </c>
      <c r="F45" s="71">
        <f>IFERROR((D45-E45)/D45,"")</f>
        <v>0</v>
      </c>
      <c r="G45" s="72">
        <v>1</v>
      </c>
      <c r="H45" s="70">
        <f>E45*G45</f>
        <v>150</v>
      </c>
      <c r="I45" s="73" t="s">
        <v>80</v>
      </c>
      <c r="J45" s="73"/>
      <c r="K45" s="70" t="str">
        <f>IFERROR(VLOOKUP(C45,Articles,10,FALSE),"")</f>
        <v>Football</v>
      </c>
      <c r="L45" s="70" t="str">
        <f>IFERROR(VLOOKUP(C45,Articles,11,FALSE),"")</f>
        <v>Vêtement</v>
      </c>
      <c r="M45" s="70" t="str">
        <f>IFERROR(VLOOKUP(C45,Articles,2,FALSE),"")</f>
        <v>Chaussures de foot</v>
      </c>
      <c r="N45" s="70" t="str">
        <f>IFERROR(VLOOKUP(C45,Articles,3,FALSE),"")</f>
        <v>Adidas</v>
      </c>
    </row>
    <row r="46" spans="1:14" x14ac:dyDescent="0.25">
      <c r="A46" s="69" t="s">
        <v>76</v>
      </c>
      <c r="B46" s="56">
        <v>1</v>
      </c>
      <c r="C46" s="52" t="s">
        <v>104</v>
      </c>
      <c r="D46" s="70">
        <v>150</v>
      </c>
      <c r="E46" s="57">
        <v>150</v>
      </c>
      <c r="F46" s="71">
        <f>IFERROR((D46-E46)/D46,"")</f>
        <v>0</v>
      </c>
      <c r="G46" s="72">
        <v>1</v>
      </c>
      <c r="H46" s="70">
        <f>E46*G46</f>
        <v>150</v>
      </c>
      <c r="I46" s="73" t="s">
        <v>81</v>
      </c>
      <c r="J46" s="73"/>
      <c r="K46" s="70" t="str">
        <f>IFERROR(VLOOKUP(C46,Articles,10,FALSE),"")</f>
        <v>Football</v>
      </c>
      <c r="L46" s="70" t="str">
        <f>IFERROR(VLOOKUP(C46,Articles,11,FALSE),"")</f>
        <v>Vêtement</v>
      </c>
      <c r="M46" s="70" t="str">
        <f>IFERROR(VLOOKUP(C46,Articles,2,FALSE),"")</f>
        <v>Chaussures de foot</v>
      </c>
      <c r="N46" s="70" t="str">
        <f>IFERROR(VLOOKUP(C46,Articles,3,FALSE),"")</f>
        <v>Adidas</v>
      </c>
    </row>
    <row r="47" spans="1:14" x14ac:dyDescent="0.25">
      <c r="A47" s="69" t="s">
        <v>76</v>
      </c>
      <c r="B47" s="56">
        <v>2</v>
      </c>
      <c r="C47" s="52" t="s">
        <v>103</v>
      </c>
      <c r="D47" s="70">
        <v>60</v>
      </c>
      <c r="E47" s="57">
        <v>55</v>
      </c>
      <c r="F47" s="71">
        <f>IFERROR((D47-E47)/D47,"")</f>
        <v>8.3333333333333329E-2</v>
      </c>
      <c r="G47" s="72">
        <v>1</v>
      </c>
      <c r="H47" s="70">
        <f>E47*G47</f>
        <v>55</v>
      </c>
      <c r="I47" s="73" t="s">
        <v>82</v>
      </c>
      <c r="J47" s="73"/>
      <c r="K47" s="70" t="str">
        <f>IFERROR(VLOOKUP(C47,Articles,10,FALSE),"")</f>
        <v>Football</v>
      </c>
      <c r="L47" s="70" t="str">
        <f>IFERROR(VLOOKUP(C47,Articles,11,FALSE),"")</f>
        <v>Vêtement</v>
      </c>
      <c r="M47" s="70" t="str">
        <f>IFERROR(VLOOKUP(C47,Articles,2,FALSE),"")</f>
        <v>Chaussures de foot</v>
      </c>
      <c r="N47" s="70" t="str">
        <f>IFERROR(VLOOKUP(C47,Articles,3,FALSE),"")</f>
        <v>Adidas</v>
      </c>
    </row>
    <row r="48" spans="1:14" x14ac:dyDescent="0.25">
      <c r="A48" s="69" t="s">
        <v>76</v>
      </c>
      <c r="B48" s="56">
        <v>1</v>
      </c>
      <c r="C48" s="52" t="s">
        <v>101</v>
      </c>
      <c r="D48" s="70">
        <v>120</v>
      </c>
      <c r="E48" s="57">
        <v>110</v>
      </c>
      <c r="F48" s="71">
        <f>IFERROR((D48-E48)/D48,"")</f>
        <v>8.3333333333333329E-2</v>
      </c>
      <c r="G48" s="72">
        <v>1</v>
      </c>
      <c r="H48" s="70">
        <f>E48*G48</f>
        <v>110</v>
      </c>
      <c r="I48" s="73" t="s">
        <v>81</v>
      </c>
      <c r="J48" s="73"/>
      <c r="K48" s="70" t="str">
        <f>IFERROR(VLOOKUP(C48,Articles,10,FALSE),"")</f>
        <v>Football</v>
      </c>
      <c r="L48" s="70" t="str">
        <f>IFERROR(VLOOKUP(C48,Articles,11,FALSE),"")</f>
        <v>Vêtement</v>
      </c>
      <c r="M48" s="70" t="str">
        <f>IFERROR(VLOOKUP(C48,Articles,2,FALSE),"")</f>
        <v>Chaussures de foot</v>
      </c>
      <c r="N48" s="70" t="str">
        <f>IFERROR(VLOOKUP(C48,Articles,3,FALSE),"")</f>
        <v>Mizuno</v>
      </c>
    </row>
    <row r="49" spans="1:14" x14ac:dyDescent="0.25">
      <c r="A49" s="69" t="s">
        <v>76</v>
      </c>
      <c r="B49" s="56">
        <v>2</v>
      </c>
      <c r="C49" s="52" t="s">
        <v>107</v>
      </c>
      <c r="D49" s="70">
        <v>120</v>
      </c>
      <c r="E49" s="57">
        <v>120</v>
      </c>
      <c r="F49" s="71">
        <f>IFERROR((D49-E49)/D49,"")</f>
        <v>0</v>
      </c>
      <c r="G49" s="72">
        <v>1</v>
      </c>
      <c r="H49" s="70">
        <f>E49*G49</f>
        <v>120</v>
      </c>
      <c r="I49" s="73" t="s">
        <v>82</v>
      </c>
      <c r="J49" s="73"/>
      <c r="K49" s="70" t="str">
        <f>IFERROR(VLOOKUP(C49,Articles,10,FALSE),"")</f>
        <v>Running</v>
      </c>
      <c r="L49" s="70" t="str">
        <f>IFERROR(VLOOKUP(C49,Articles,11,FALSE),"")</f>
        <v>Vêtement</v>
      </c>
      <c r="M49" s="70" t="str">
        <f>IFERROR(VLOOKUP(C49,Articles,2,FALSE),"")</f>
        <v>Chaussures de running</v>
      </c>
      <c r="N49" s="70" t="str">
        <f>IFERROR(VLOOKUP(C49,Articles,3,FALSE),"")</f>
        <v>Asics</v>
      </c>
    </row>
    <row r="50" spans="1:14" x14ac:dyDescent="0.25">
      <c r="A50" s="69" t="s">
        <v>76</v>
      </c>
      <c r="B50" s="56">
        <v>2</v>
      </c>
      <c r="C50" s="52" t="s">
        <v>106</v>
      </c>
      <c r="D50" s="70">
        <v>100</v>
      </c>
      <c r="E50" s="57">
        <v>100</v>
      </c>
      <c r="F50" s="71">
        <f>IFERROR((D50-E50)/D50,"")</f>
        <v>0</v>
      </c>
      <c r="G50" s="72">
        <v>1</v>
      </c>
      <c r="H50" s="70">
        <f>E50*G50</f>
        <v>100</v>
      </c>
      <c r="I50" s="73" t="s">
        <v>80</v>
      </c>
      <c r="J50" s="73"/>
      <c r="K50" s="70" t="str">
        <f>IFERROR(VLOOKUP(C50,Articles,10,FALSE),"")</f>
        <v>Running</v>
      </c>
      <c r="L50" s="70" t="str">
        <f>IFERROR(VLOOKUP(C50,Articles,11,FALSE),"")</f>
        <v>Vêtement</v>
      </c>
      <c r="M50" s="70" t="str">
        <f>IFERROR(VLOOKUP(C50,Articles,2,FALSE),"")</f>
        <v>Chaussures de running</v>
      </c>
      <c r="N50" s="70" t="str">
        <f>IFERROR(VLOOKUP(C50,Articles,3,FALSE),"")</f>
        <v>Asics</v>
      </c>
    </row>
    <row r="51" spans="1:14" x14ac:dyDescent="0.25">
      <c r="A51" s="69" t="s">
        <v>76</v>
      </c>
      <c r="B51" s="56">
        <v>1</v>
      </c>
      <c r="C51" s="52" t="s">
        <v>111</v>
      </c>
      <c r="D51" s="70">
        <v>80</v>
      </c>
      <c r="E51" s="57">
        <v>80</v>
      </c>
      <c r="F51" s="71">
        <f>IFERROR((D51-E51)/D51,"")</f>
        <v>0</v>
      </c>
      <c r="G51" s="72">
        <v>1</v>
      </c>
      <c r="H51" s="70">
        <f>E51*G51</f>
        <v>80</v>
      </c>
      <c r="I51" s="73" t="s">
        <v>81</v>
      </c>
      <c r="J51" s="73"/>
      <c r="K51" s="70" t="str">
        <f>IFERROR(VLOOKUP(C51,Articles,10,FALSE),"")</f>
        <v>Football</v>
      </c>
      <c r="L51" s="70" t="str">
        <f>IFERROR(VLOOKUP(C51,Articles,11,FALSE),"")</f>
        <v>Vêtement</v>
      </c>
      <c r="M51" s="70" t="str">
        <f>IFERROR(VLOOKUP(C51,Articles,2,FALSE),"")</f>
        <v>Maillot de foot</v>
      </c>
      <c r="N51" s="70" t="str">
        <f>IFERROR(VLOOKUP(C51,Articles,3,FALSE),"")</f>
        <v>Adidas</v>
      </c>
    </row>
    <row r="52" spans="1:14" x14ac:dyDescent="0.25">
      <c r="A52" s="69" t="s">
        <v>76</v>
      </c>
      <c r="B52" s="56">
        <v>2</v>
      </c>
      <c r="C52" s="52" t="s">
        <v>112</v>
      </c>
      <c r="D52" s="70">
        <v>150</v>
      </c>
      <c r="E52" s="57">
        <v>150</v>
      </c>
      <c r="F52" s="71">
        <f>IFERROR((D52-E52)/D52,"")</f>
        <v>0</v>
      </c>
      <c r="G52" s="72">
        <v>1</v>
      </c>
      <c r="H52" s="70">
        <f>E52*G52</f>
        <v>150</v>
      </c>
      <c r="I52" s="73" t="s">
        <v>82</v>
      </c>
      <c r="J52" s="73"/>
      <c r="K52" s="70" t="str">
        <f>IFERROR(VLOOKUP(C52,Articles,10,FALSE),"")</f>
        <v>Football</v>
      </c>
      <c r="L52" s="70" t="str">
        <f>IFERROR(VLOOKUP(C52,Articles,11,FALSE),"")</f>
        <v>Vêtement</v>
      </c>
      <c r="M52" s="70" t="str">
        <f>IFERROR(VLOOKUP(C52,Articles,2,FALSE),"")</f>
        <v>Maillot de foot</v>
      </c>
      <c r="N52" s="70" t="str">
        <f>IFERROR(VLOOKUP(C52,Articles,3,FALSE),"")</f>
        <v>Nike</v>
      </c>
    </row>
    <row r="53" spans="1:14" x14ac:dyDescent="0.25">
      <c r="A53" s="69" t="s">
        <v>76</v>
      </c>
      <c r="B53" s="56">
        <v>1</v>
      </c>
      <c r="C53" s="52" t="s">
        <v>116</v>
      </c>
      <c r="D53" s="70">
        <v>45</v>
      </c>
      <c r="E53" s="57">
        <v>40</v>
      </c>
      <c r="F53" s="71">
        <f>IFERROR((D53-E53)/D53,"")</f>
        <v>0.1111111111111111</v>
      </c>
      <c r="G53" s="72">
        <v>1</v>
      </c>
      <c r="H53" s="70">
        <f>E53*G53</f>
        <v>40</v>
      </c>
      <c r="I53" s="73" t="s">
        <v>82</v>
      </c>
      <c r="J53" s="73"/>
      <c r="K53" s="70" t="str">
        <f>IFERROR(VLOOKUP(C53,Articles,10,FALSE),"")</f>
        <v>Toutes catégories</v>
      </c>
      <c r="L53" s="70" t="str">
        <f>IFERROR(VLOOKUP(C53,Articles,11,FALSE),"")</f>
        <v>Vêtement</v>
      </c>
      <c r="M53" s="70" t="str">
        <f>IFERROR(VLOOKUP(C53,Articles,2,FALSE),"")</f>
        <v>T-Shirt</v>
      </c>
      <c r="N53" s="70" t="str">
        <f>IFERROR(VLOOKUP(C53,Articles,3,FALSE),"")</f>
        <v>Oxbow</v>
      </c>
    </row>
    <row r="54" spans="1:14" x14ac:dyDescent="0.25">
      <c r="A54" s="69" t="s">
        <v>121</v>
      </c>
      <c r="B54" s="56">
        <v>1</v>
      </c>
      <c r="C54" s="52" t="s">
        <v>102</v>
      </c>
      <c r="D54" s="70">
        <v>25</v>
      </c>
      <c r="E54" s="57">
        <v>25</v>
      </c>
      <c r="F54" s="71">
        <f>IFERROR((D54-E54)/D54,"")</f>
        <v>0</v>
      </c>
      <c r="G54" s="72">
        <v>1</v>
      </c>
      <c r="H54" s="70">
        <f>E54*G54</f>
        <v>25</v>
      </c>
      <c r="I54" s="73" t="s">
        <v>81</v>
      </c>
      <c r="J54" s="73"/>
      <c r="K54" s="70" t="str">
        <f>IFERROR(VLOOKUP(C54,Articles,10,FALSE),"")</f>
        <v>Football</v>
      </c>
      <c r="L54" s="70" t="str">
        <f>IFERROR(VLOOKUP(C54,Articles,11,FALSE),"")</f>
        <v>Equipement</v>
      </c>
      <c r="M54" s="70" t="str">
        <f>IFERROR(VLOOKUP(C54,Articles,2,FALSE),"")</f>
        <v>Ballon de foot</v>
      </c>
      <c r="N54" s="70" t="str">
        <f>IFERROR(VLOOKUP(C54,Articles,3,FALSE),"")</f>
        <v>Adidas</v>
      </c>
    </row>
    <row r="55" spans="1:14" x14ac:dyDescent="0.25">
      <c r="A55" s="69" t="s">
        <v>92</v>
      </c>
      <c r="B55" s="56">
        <v>1</v>
      </c>
      <c r="C55" s="52" t="s">
        <v>108</v>
      </c>
      <c r="D55" s="70">
        <v>80</v>
      </c>
      <c r="E55" s="57">
        <v>67</v>
      </c>
      <c r="F55" s="71">
        <f>IFERROR((D55-E55)/D55,"")</f>
        <v>0.16250000000000001</v>
      </c>
      <c r="G55" s="72">
        <v>1</v>
      </c>
      <c r="H55" s="70">
        <f>E55*G55</f>
        <v>67</v>
      </c>
      <c r="I55" s="73" t="s">
        <v>81</v>
      </c>
      <c r="J55" s="73"/>
      <c r="K55" s="70" t="str">
        <f>IFERROR(VLOOKUP(C55,Articles,10,FALSE),"")</f>
        <v>Running</v>
      </c>
      <c r="L55" s="70" t="str">
        <f>IFERROR(VLOOKUP(C55,Articles,11,FALSE),"")</f>
        <v>Vêtement</v>
      </c>
      <c r="M55" s="70" t="str">
        <f>IFERROR(VLOOKUP(C55,Articles,2,FALSE),"")</f>
        <v>Chaussures de running</v>
      </c>
      <c r="N55" s="70" t="str">
        <f>IFERROR(VLOOKUP(C55,Articles,3,FALSE),"")</f>
        <v>Salomon</v>
      </c>
    </row>
    <row r="56" spans="1:14" x14ac:dyDescent="0.25">
      <c r="A56" s="69" t="s">
        <v>118</v>
      </c>
      <c r="B56" s="56">
        <v>1</v>
      </c>
      <c r="C56" s="52" t="s">
        <v>102</v>
      </c>
      <c r="D56" s="70">
        <v>25</v>
      </c>
      <c r="E56" s="57">
        <v>25</v>
      </c>
      <c r="F56" s="71">
        <f>IFERROR((D56-E56)/D56,"")</f>
        <v>0</v>
      </c>
      <c r="G56" s="72">
        <v>1</v>
      </c>
      <c r="H56" s="70">
        <f>E56*G56</f>
        <v>25</v>
      </c>
      <c r="I56" s="73" t="s">
        <v>80</v>
      </c>
      <c r="J56" s="73"/>
      <c r="K56" s="70" t="str">
        <f>IFERROR(VLOOKUP(C56,Articles,10,FALSE),"")</f>
        <v>Football</v>
      </c>
      <c r="L56" s="70" t="str">
        <f>IFERROR(VLOOKUP(C56,Articles,11,FALSE),"")</f>
        <v>Equipement</v>
      </c>
      <c r="M56" s="70" t="str">
        <f>IFERROR(VLOOKUP(C56,Articles,2,FALSE),"")</f>
        <v>Ballon de foot</v>
      </c>
      <c r="N56" s="70" t="str">
        <f>IFERROR(VLOOKUP(C56,Articles,3,FALSE),"")</f>
        <v>Adidas</v>
      </c>
    </row>
    <row r="57" spans="1:14" x14ac:dyDescent="0.25">
      <c r="A57" s="69" t="s">
        <v>123</v>
      </c>
      <c r="B57" s="56">
        <v>1</v>
      </c>
      <c r="C57" s="52" t="s">
        <v>124</v>
      </c>
      <c r="D57" s="70">
        <v>0</v>
      </c>
      <c r="E57" s="57">
        <v>10</v>
      </c>
      <c r="F57" s="71" t="str">
        <f>IFERROR((D57-E57)/D57,"")</f>
        <v/>
      </c>
      <c r="G57" s="72">
        <v>1</v>
      </c>
      <c r="H57" s="70">
        <f>E57*G57</f>
        <v>10</v>
      </c>
      <c r="I57" s="73" t="s">
        <v>80</v>
      </c>
      <c r="J57" s="73"/>
      <c r="K57" s="70" t="str">
        <f>IFERROR(VLOOKUP(C57,Articles,10,FALSE),"")</f>
        <v>Toutes catégories</v>
      </c>
      <c r="L57" s="70" t="str">
        <f>IFERROR(VLOOKUP(C57,Articles,11,FALSE),"")</f>
        <v>Prestation</v>
      </c>
      <c r="M57" s="70" t="str">
        <f>IFERROR(VLOOKUP(C57,Articles,2,FALSE),"")</f>
        <v>Réparation toute nature</v>
      </c>
      <c r="N57" s="70" t="str">
        <f>IFERROR(VLOOKUP(C57,Articles,3,FALSE),"")</f>
        <v>…</v>
      </c>
    </row>
    <row r="58" spans="1:14" x14ac:dyDescent="0.25">
      <c r="A58" s="69" t="s">
        <v>125</v>
      </c>
      <c r="B58" s="56">
        <v>1</v>
      </c>
      <c r="C58" s="52" t="s">
        <v>103</v>
      </c>
      <c r="D58" s="70">
        <v>60</v>
      </c>
      <c r="E58" s="57" t="s">
        <v>126</v>
      </c>
      <c r="F58" s="71">
        <f>IFERROR((D58-E58)/D58,"")</f>
        <v>0</v>
      </c>
      <c r="G58" s="72">
        <v>1</v>
      </c>
      <c r="H58" s="70">
        <f>E58*G58</f>
        <v>60</v>
      </c>
      <c r="I58" s="73" t="s">
        <v>80</v>
      </c>
      <c r="J58" s="73"/>
      <c r="K58" s="70" t="str">
        <f>IFERROR(VLOOKUP(C58,Articles,10,FALSE),"")</f>
        <v>Football</v>
      </c>
      <c r="L58" s="70" t="str">
        <f>IFERROR(VLOOKUP(C58,Articles,11,FALSE),"")</f>
        <v>Vêtement</v>
      </c>
      <c r="M58" s="70" t="str">
        <f>IFERROR(VLOOKUP(C58,Articles,2,FALSE),"")</f>
        <v>Chaussures de foot</v>
      </c>
      <c r="N58" s="70" t="str">
        <f>IFERROR(VLOOKUP(C58,Articles,3,FALSE),"")</f>
        <v>Adidas</v>
      </c>
    </row>
    <row r="59" spans="1:14" x14ac:dyDescent="0.25">
      <c r="A59" s="74"/>
      <c r="B59" s="75"/>
      <c r="C59" s="55"/>
      <c r="D59" s="62"/>
      <c r="E59" s="76"/>
      <c r="F59" s="77"/>
      <c r="G59" s="78"/>
      <c r="H59" s="62"/>
      <c r="I59" s="55"/>
      <c r="J59" s="55"/>
      <c r="K59" s="62"/>
      <c r="L59" s="62"/>
      <c r="M59" s="62"/>
      <c r="N59" s="62"/>
    </row>
  </sheetData>
  <sheetProtection sheet="1" objects="1" scenarios="1" sort="0" autoFilter="0" pivotTables="0"/>
  <autoFilter ref="A4:N58">
    <sortState ref="A5:N57">
      <sortCondition ref="A4:A57"/>
    </sortState>
  </autoFilter>
  <sortState ref="A5:N56">
    <sortCondition descending="1" ref="C5"/>
  </sortState>
  <conditionalFormatting sqref="C9:C58">
    <cfRule type="expression" dxfId="23" priority="9">
      <formula>ISERROR(VLOOKUP(C9,Liste_Articles,1,FALSE))</formula>
    </cfRule>
  </conditionalFormatting>
  <conditionalFormatting sqref="C8">
    <cfRule type="expression" dxfId="22" priority="7">
      <formula>ISERROR(VLOOKUP(C8,Liste_Articles,1,FALSE))</formula>
    </cfRule>
  </conditionalFormatting>
  <conditionalFormatting sqref="C7">
    <cfRule type="expression" dxfId="21" priority="4">
      <formula>ISERROR(VLOOKUP(C7,Liste_Articles,1,FALSE))</formula>
    </cfRule>
  </conditionalFormatting>
  <conditionalFormatting sqref="C6">
    <cfRule type="expression" dxfId="20" priority="2">
      <formula>ISERROR(VLOOKUP(C6,Liste_Articles,1,FALSE))</formula>
    </cfRule>
  </conditionalFormatting>
  <conditionalFormatting sqref="C5">
    <cfRule type="expression" dxfId="0" priority="1">
      <formula>ISERROR(VLOOKUP(C5,Liste_Articles,1,FALSE))</formula>
    </cfRule>
  </conditionalFormatting>
  <dataValidations count="2">
    <dataValidation type="list" allowBlank="1" showInputMessage="1" showErrorMessage="1" errorTitle="Choisir dans la liste" error="Choisir dans la liste !" sqref="C4:C59">
      <formula1>Liste_Articles</formula1>
    </dataValidation>
    <dataValidation type="list" allowBlank="1" showInputMessage="1" showErrorMessage="1" errorTitle="Chsoir dans la liste" error="Chsoir dans la liste !" sqref="I4:I59">
      <formula1>Modes_Règlement</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K26"/>
  <sheetViews>
    <sheetView workbookViewId="0">
      <pane ySplit="4" topLeftCell="A5" activePane="bottomLeft" state="frozen"/>
      <selection pane="bottomLeft" activeCell="D17" sqref="D17"/>
    </sheetView>
  </sheetViews>
  <sheetFormatPr baseColWidth="10" defaultColWidth="17.44140625" defaultRowHeight="14.4" x14ac:dyDescent="0.3"/>
  <cols>
    <col min="1" max="1" width="0.44140625" style="82" customWidth="1"/>
    <col min="2" max="2" width="35.33203125" style="25" customWidth="1"/>
    <col min="3" max="3" width="19.44140625" style="25" customWidth="1"/>
    <col min="4" max="4" width="17.44140625" style="25"/>
    <col min="5" max="5" width="13.33203125" style="26" customWidth="1"/>
    <col min="6" max="6" width="13.33203125" style="27" customWidth="1"/>
    <col min="7" max="7" width="13.33203125" style="26" customWidth="1"/>
    <col min="8" max="8" width="13.33203125" style="38" customWidth="1"/>
    <col min="9" max="9" width="37.109375" style="25" customWidth="1"/>
    <col min="10" max="10" width="25.109375" style="25" customWidth="1"/>
    <col min="11" max="11" width="17.88671875" style="25" customWidth="1"/>
    <col min="12" max="16384" width="17.44140625" style="25"/>
  </cols>
  <sheetData>
    <row r="1" spans="1:11" ht="23.4" x14ac:dyDescent="0.45">
      <c r="B1" s="102" t="str">
        <f>Raison_Sociale&amp;" - "&amp;Titre&amp;" - Inventaire des articles"</f>
        <v>Sport Plus - Registre des ventes - Inventaire des articles</v>
      </c>
      <c r="C1" s="103"/>
      <c r="D1" s="103"/>
      <c r="E1" s="104"/>
      <c r="F1" s="105"/>
      <c r="G1" s="104"/>
      <c r="H1" s="106"/>
      <c r="I1" s="103"/>
      <c r="J1" s="103"/>
      <c r="K1" s="103"/>
    </row>
    <row r="2" spans="1:11" x14ac:dyDescent="0.3">
      <c r="B2" s="46"/>
      <c r="C2" s="46"/>
      <c r="D2" s="46"/>
      <c r="E2" s="39">
        <f>SUBTOTAL(3,A4:A26)-1</f>
        <v>21</v>
      </c>
      <c r="F2" s="40">
        <f>SUBTOTAL(9,F4:F26)</f>
        <v>69</v>
      </c>
      <c r="G2" s="29">
        <f>SUBTOTAL(9,G4:G26)</f>
        <v>6004</v>
      </c>
      <c r="H2" s="28">
        <f>SUBTOTAL(9,H4:H26)</f>
        <v>0.50463804713804716</v>
      </c>
      <c r="I2" s="46"/>
      <c r="J2" s="46"/>
      <c r="K2" s="46"/>
    </row>
    <row r="3" spans="1:11" ht="42" customHeight="1" x14ac:dyDescent="0.3">
      <c r="B3" s="103"/>
      <c r="C3" s="103"/>
      <c r="D3" s="103"/>
      <c r="E3" s="104"/>
      <c r="F3" s="105"/>
      <c r="G3" s="104"/>
      <c r="H3" s="106"/>
      <c r="I3" s="103"/>
      <c r="J3" s="103"/>
      <c r="K3" s="103"/>
    </row>
    <row r="4" spans="1:11" s="33" customFormat="1" ht="35.25" customHeight="1" x14ac:dyDescent="0.3">
      <c r="A4" s="83" t="s">
        <v>14</v>
      </c>
      <c r="B4" s="30" t="s">
        <v>11</v>
      </c>
      <c r="C4" s="30" t="s">
        <v>0</v>
      </c>
      <c r="D4" s="30" t="s">
        <v>12</v>
      </c>
      <c r="E4" s="32" t="s">
        <v>13</v>
      </c>
      <c r="F4" s="42" t="s">
        <v>56</v>
      </c>
      <c r="G4" s="31" t="s">
        <v>47</v>
      </c>
      <c r="H4" s="43" t="s">
        <v>48</v>
      </c>
      <c r="I4" s="30" t="s">
        <v>31</v>
      </c>
      <c r="J4" s="41" t="s">
        <v>15</v>
      </c>
      <c r="K4" s="41" t="s">
        <v>16</v>
      </c>
    </row>
    <row r="5" spans="1:11" x14ac:dyDescent="0.3">
      <c r="A5" s="84" t="str">
        <f t="shared" ref="A5:A25" si="0">B5&amp;" "&amp;C5&amp;" "&amp;D5</f>
        <v>Chaussures de running essai sdfs&lt; dfsdf s&lt;df s&lt;</v>
      </c>
      <c r="B5" s="25" t="s">
        <v>64</v>
      </c>
      <c r="C5" s="25" t="s">
        <v>89</v>
      </c>
      <c r="D5" s="25" t="s">
        <v>122</v>
      </c>
      <c r="E5" s="26">
        <v>0</v>
      </c>
      <c r="F5" s="44">
        <f>SUMIF(Ventes!C:C,A:A,Ventes!G:G)</f>
        <v>0</v>
      </c>
      <c r="G5" s="34">
        <f>SUMIF(Ventes!C:C,A:A,Ventes!H:H)</f>
        <v>0</v>
      </c>
      <c r="H5" s="35" t="str">
        <f>IFERROR(AVERAGEIF(Ventes!C:C,A:A,Ventes!F:F),"")</f>
        <v/>
      </c>
      <c r="I5" s="3"/>
      <c r="J5" s="45" t="str">
        <f t="shared" ref="J5:J25" si="1">IFERROR(VLOOKUP(B5,Natures,3,FALSE),"")</f>
        <v>Running</v>
      </c>
      <c r="K5" s="45" t="str">
        <f t="shared" ref="K5:K25" si="2">IFERROR(VLOOKUP(B5,Natures,2,FALSE),"")</f>
        <v>Vêtement</v>
      </c>
    </row>
    <row r="6" spans="1:11" x14ac:dyDescent="0.3">
      <c r="A6" s="84" t="str">
        <f t="shared" si="0"/>
        <v>Ballon de foot Adidas F50</v>
      </c>
      <c r="B6" s="25" t="s">
        <v>60</v>
      </c>
      <c r="C6" s="25" t="s">
        <v>1</v>
      </c>
      <c r="D6" s="25" t="s">
        <v>24</v>
      </c>
      <c r="E6" s="26">
        <v>25</v>
      </c>
      <c r="F6" s="44">
        <f>SUMIF(Ventes!C:C,A:A,Ventes!G:G)</f>
        <v>4</v>
      </c>
      <c r="G6" s="34">
        <f>SUMIF(Ventes!C:C,A:A,Ventes!H:H)</f>
        <v>95</v>
      </c>
      <c r="H6" s="35">
        <f>IFERROR(AVERAGEIF(Ventes!C:C,A:A,Ventes!F:F),"")</f>
        <v>0.05</v>
      </c>
      <c r="I6" s="3"/>
      <c r="J6" s="45" t="str">
        <f t="shared" si="1"/>
        <v>Football</v>
      </c>
      <c r="K6" s="45" t="str">
        <f t="shared" si="2"/>
        <v>Equipement</v>
      </c>
    </row>
    <row r="7" spans="1:11" x14ac:dyDescent="0.3">
      <c r="A7" s="84" t="str">
        <f t="shared" si="0"/>
        <v>Chaussures de foot Adidas F10</v>
      </c>
      <c r="B7" s="25" t="s">
        <v>61</v>
      </c>
      <c r="C7" s="25" t="s">
        <v>1</v>
      </c>
      <c r="D7" s="25" t="s">
        <v>2</v>
      </c>
      <c r="E7" s="26">
        <v>60</v>
      </c>
      <c r="F7" s="44">
        <f>SUMIF(Ventes!C:C,A:A,Ventes!G:G)</f>
        <v>3</v>
      </c>
      <c r="G7" s="34">
        <f>SUMIF(Ventes!C:C,A:A,Ventes!H:H)</f>
        <v>175</v>
      </c>
      <c r="H7" s="35">
        <f>IFERROR(AVERAGEIF(Ventes!C:C,A:A,Ventes!F:F),"")</f>
        <v>2.7777777777777776E-2</v>
      </c>
      <c r="I7" s="3"/>
      <c r="J7" s="45" t="str">
        <f t="shared" si="1"/>
        <v>Football</v>
      </c>
      <c r="K7" s="45" t="str">
        <f t="shared" si="2"/>
        <v>Vêtement</v>
      </c>
    </row>
    <row r="8" spans="1:11" x14ac:dyDescent="0.3">
      <c r="A8" s="84" t="str">
        <f t="shared" si="0"/>
        <v>Chaussures de foot Adidas Predator</v>
      </c>
      <c r="B8" s="25" t="s">
        <v>61</v>
      </c>
      <c r="C8" s="25" t="s">
        <v>1</v>
      </c>
      <c r="D8" s="25" t="s">
        <v>25</v>
      </c>
      <c r="E8" s="26">
        <v>220</v>
      </c>
      <c r="F8" s="44">
        <f>SUMIF(Ventes!C:C,A:A,Ventes!G:G)</f>
        <v>2</v>
      </c>
      <c r="G8" s="34">
        <f>SUMIF(Ventes!C:C,A:A,Ventes!H:H)</f>
        <v>438</v>
      </c>
      <c r="H8" s="35">
        <f>IFERROR(AVERAGEIF(Ventes!C:C,A:A,Ventes!F:F),"")</f>
        <v>4.5454545454545452E-3</v>
      </c>
      <c r="I8" s="3"/>
      <c r="J8" s="45" t="str">
        <f t="shared" si="1"/>
        <v>Football</v>
      </c>
      <c r="K8" s="45" t="str">
        <f t="shared" si="2"/>
        <v>Vêtement</v>
      </c>
    </row>
    <row r="9" spans="1:11" x14ac:dyDescent="0.3">
      <c r="A9" s="84" t="str">
        <f t="shared" si="0"/>
        <v>Chaussures de foot Mizuno Wave Sayonara</v>
      </c>
      <c r="B9" s="25" t="s">
        <v>61</v>
      </c>
      <c r="C9" s="25" t="s">
        <v>18</v>
      </c>
      <c r="D9" s="25" t="s">
        <v>26</v>
      </c>
      <c r="E9" s="26">
        <v>120</v>
      </c>
      <c r="F9" s="44">
        <f>SUMIF(Ventes!C:C,A:A,Ventes!G:G)</f>
        <v>13</v>
      </c>
      <c r="G9" s="34">
        <f>SUMIF(Ventes!C:C,A:A,Ventes!H:H)</f>
        <v>1530</v>
      </c>
      <c r="H9" s="35">
        <f>IFERROR(AVERAGEIF(Ventes!C:C,A:A,Ventes!F:F),"")</f>
        <v>6.25E-2</v>
      </c>
      <c r="I9" s="3"/>
      <c r="J9" s="45" t="str">
        <f t="shared" si="1"/>
        <v>Football</v>
      </c>
      <c r="K9" s="45" t="str">
        <f t="shared" si="2"/>
        <v>Vêtement</v>
      </c>
    </row>
    <row r="10" spans="1:11" x14ac:dyDescent="0.3">
      <c r="A10" s="84" t="str">
        <f t="shared" si="0"/>
        <v>Chaussures de foot Adidas Magista</v>
      </c>
      <c r="B10" s="25" t="s">
        <v>61</v>
      </c>
      <c r="C10" s="25" t="s">
        <v>1</v>
      </c>
      <c r="D10" s="25" t="s">
        <v>27</v>
      </c>
      <c r="E10" s="26">
        <v>150</v>
      </c>
      <c r="F10" s="44">
        <f>SUMIF(Ventes!C:C,A:A,Ventes!G:G)</f>
        <v>5</v>
      </c>
      <c r="G10" s="34">
        <f>SUMIF(Ventes!C:C,A:A,Ventes!H:H)</f>
        <v>710</v>
      </c>
      <c r="H10" s="35">
        <f>IFERROR(AVERAGEIF(Ventes!C:C,A:A,Ventes!F:F),"")</f>
        <v>5.333333333333333E-2</v>
      </c>
      <c r="I10" s="3"/>
      <c r="J10" s="45" t="str">
        <f t="shared" si="1"/>
        <v>Football</v>
      </c>
      <c r="K10" s="45" t="str">
        <f t="shared" si="2"/>
        <v>Vêtement</v>
      </c>
    </row>
    <row r="11" spans="1:11" x14ac:dyDescent="0.3">
      <c r="A11" s="84" t="str">
        <f t="shared" si="0"/>
        <v>Chaussures de running Mizuno wt8998</v>
      </c>
      <c r="B11" s="25" t="s">
        <v>64</v>
      </c>
      <c r="C11" s="25" t="s">
        <v>18</v>
      </c>
      <c r="D11" s="25" t="s">
        <v>99</v>
      </c>
      <c r="E11" s="26">
        <v>75</v>
      </c>
      <c r="F11" s="44">
        <f>SUMIF(Ventes!C:C,A:A,Ventes!G:G)</f>
        <v>0</v>
      </c>
      <c r="G11" s="34">
        <f>SUMIF(Ventes!C:C,A:A,Ventes!H:H)</f>
        <v>0</v>
      </c>
      <c r="H11" s="35" t="str">
        <f>IFERROR(AVERAGEIF(Ventes!C:C,A:A,Ventes!F:F),"")</f>
        <v/>
      </c>
      <c r="I11" s="3"/>
      <c r="J11" s="45" t="str">
        <f t="shared" si="1"/>
        <v>Running</v>
      </c>
      <c r="K11" s="45" t="str">
        <f t="shared" si="2"/>
        <v>Vêtement</v>
      </c>
    </row>
    <row r="12" spans="1:11" x14ac:dyDescent="0.3">
      <c r="A12" s="84" t="str">
        <f t="shared" si="0"/>
        <v>Chaussures de running Salomon f653</v>
      </c>
      <c r="B12" s="25" t="s">
        <v>64</v>
      </c>
      <c r="C12" s="25" t="s">
        <v>90</v>
      </c>
      <c r="D12" s="25" t="s">
        <v>98</v>
      </c>
      <c r="E12" s="26">
        <v>80</v>
      </c>
      <c r="F12" s="44">
        <f>SUMIF(Ventes!C:C,A:A,Ventes!G:G)</f>
        <v>0</v>
      </c>
      <c r="G12" s="34">
        <f>SUMIF(Ventes!C:C,A:A,Ventes!H:H)</f>
        <v>0</v>
      </c>
      <c r="H12" s="35" t="str">
        <f>IFERROR(AVERAGEIF(Ventes!C:C,A:A,Ventes!F:F),"")</f>
        <v/>
      </c>
      <c r="I12" s="3"/>
      <c r="J12" s="45" t="str">
        <f t="shared" si="1"/>
        <v>Running</v>
      </c>
      <c r="K12" s="45" t="str">
        <f t="shared" si="2"/>
        <v>Vêtement</v>
      </c>
    </row>
    <row r="13" spans="1:11" x14ac:dyDescent="0.3">
      <c r="A13" s="84" t="str">
        <f t="shared" si="0"/>
        <v>Chaussures de running Salomon F652</v>
      </c>
      <c r="B13" s="25" t="s">
        <v>64</v>
      </c>
      <c r="C13" s="25" t="s">
        <v>90</v>
      </c>
      <c r="D13" s="25" t="s">
        <v>91</v>
      </c>
      <c r="E13" s="26">
        <v>80</v>
      </c>
      <c r="F13" s="44">
        <f>SUMIF(Ventes!C:C,A:A,Ventes!G:G)</f>
        <v>1</v>
      </c>
      <c r="G13" s="34">
        <f>SUMIF(Ventes!C:C,A:A,Ventes!H:H)</f>
        <v>67</v>
      </c>
      <c r="H13" s="35">
        <f>IFERROR(AVERAGEIF(Ventes!C:C,A:A,Ventes!F:F),"")</f>
        <v>0.16250000000000001</v>
      </c>
      <c r="I13" s="3"/>
      <c r="J13" s="45" t="str">
        <f t="shared" si="1"/>
        <v>Running</v>
      </c>
      <c r="K13" s="45" t="str">
        <f t="shared" si="2"/>
        <v>Vêtement</v>
      </c>
    </row>
    <row r="14" spans="1:11" x14ac:dyDescent="0.3">
      <c r="A14" s="84" t="str">
        <f t="shared" si="0"/>
        <v>Chaussures de running Asics Mercurial</v>
      </c>
      <c r="B14" s="25" t="s">
        <v>64</v>
      </c>
      <c r="C14" s="25" t="s">
        <v>17</v>
      </c>
      <c r="D14" s="25" t="s">
        <v>6</v>
      </c>
      <c r="E14" s="26">
        <v>120</v>
      </c>
      <c r="F14" s="44">
        <f>SUMIF(Ventes!C:C,A:A,Ventes!G:G)</f>
        <v>3</v>
      </c>
      <c r="G14" s="34">
        <f>SUMIF(Ventes!C:C,A:A,Ventes!H:H)</f>
        <v>360</v>
      </c>
      <c r="H14" s="35">
        <f>IFERROR(AVERAGEIF(Ventes!C:C,A:A,Ventes!F:F),"")</f>
        <v>0</v>
      </c>
      <c r="I14" s="3"/>
      <c r="J14" s="45" t="str">
        <f t="shared" si="1"/>
        <v>Running</v>
      </c>
      <c r="K14" s="45" t="str">
        <f t="shared" si="2"/>
        <v>Vêtement</v>
      </c>
    </row>
    <row r="15" spans="1:11" x14ac:dyDescent="0.3">
      <c r="A15" s="84" t="str">
        <f t="shared" si="0"/>
        <v>Chaussures de running Asics GT-2000</v>
      </c>
      <c r="B15" s="25" t="s">
        <v>64</v>
      </c>
      <c r="C15" s="25" t="s">
        <v>17</v>
      </c>
      <c r="D15" s="25" t="s">
        <v>10</v>
      </c>
      <c r="E15" s="26">
        <v>100</v>
      </c>
      <c r="F15" s="44">
        <f>SUMIF(Ventes!C:C,A:A,Ventes!G:G)</f>
        <v>3</v>
      </c>
      <c r="G15" s="34">
        <f>SUMIF(Ventes!C:C,A:A,Ventes!H:H)</f>
        <v>300</v>
      </c>
      <c r="H15" s="35">
        <f>IFERROR(AVERAGEIF(Ventes!C:C,A:A,Ventes!F:F),"")</f>
        <v>0</v>
      </c>
      <c r="I15" s="3"/>
      <c r="J15" s="45" t="str">
        <f t="shared" si="1"/>
        <v>Running</v>
      </c>
      <c r="K15" s="45" t="str">
        <f t="shared" si="2"/>
        <v>Vêtement</v>
      </c>
    </row>
    <row r="16" spans="1:11" x14ac:dyDescent="0.3">
      <c r="A16" s="84" t="str">
        <f t="shared" si="0"/>
        <v>Cordage … 12 mètres</v>
      </c>
      <c r="B16" s="25" t="s">
        <v>39</v>
      </c>
      <c r="C16" s="25" t="s">
        <v>74</v>
      </c>
      <c r="D16" s="25" t="s">
        <v>86</v>
      </c>
      <c r="E16" s="26">
        <v>25</v>
      </c>
      <c r="F16" s="44">
        <f>SUMIF(Ventes!C:C,A:A,Ventes!G:G)</f>
        <v>2</v>
      </c>
      <c r="G16" s="34">
        <f>SUMIF(Ventes!C:C,A:A,Ventes!H:H)</f>
        <v>50</v>
      </c>
      <c r="H16" s="35">
        <f>IFERROR(AVERAGEIF(Ventes!C:C,A:A,Ventes!F:F),"")</f>
        <v>0</v>
      </c>
      <c r="I16" s="3"/>
      <c r="J16" s="45" t="str">
        <f t="shared" si="1"/>
        <v>Grimpe et rando</v>
      </c>
      <c r="K16" s="45" t="str">
        <f t="shared" si="2"/>
        <v>Equipement</v>
      </c>
    </row>
    <row r="17" spans="1:11" x14ac:dyDescent="0.3">
      <c r="A17" s="84" t="str">
        <f t="shared" si="0"/>
        <v>Gourde … 1 litre</v>
      </c>
      <c r="B17" s="25" t="s">
        <v>8</v>
      </c>
      <c r="C17" s="25" t="s">
        <v>74</v>
      </c>
      <c r="D17" s="25" t="s">
        <v>87</v>
      </c>
      <c r="E17" s="26">
        <v>5</v>
      </c>
      <c r="F17" s="44">
        <f>SUMIF(Ventes!C:C,A:A,Ventes!G:G)</f>
        <v>3</v>
      </c>
      <c r="G17" s="34">
        <f>SUMIF(Ventes!C:C,A:A,Ventes!H:H)</f>
        <v>15</v>
      </c>
      <c r="H17" s="35">
        <f>IFERROR(AVERAGEIF(Ventes!C:C,A:A,Ventes!F:F),"")</f>
        <v>0</v>
      </c>
      <c r="I17" s="3"/>
      <c r="J17" s="45" t="str">
        <f t="shared" si="1"/>
        <v>Grimpe et rando</v>
      </c>
      <c r="K17" s="45" t="str">
        <f t="shared" si="2"/>
        <v>Equipement</v>
      </c>
    </row>
    <row r="18" spans="1:11" x14ac:dyDescent="0.3">
      <c r="A18" s="84" t="str">
        <f t="shared" si="0"/>
        <v>Maillot de foot Adidas Diables</v>
      </c>
      <c r="B18" s="25" t="s">
        <v>62</v>
      </c>
      <c r="C18" s="25" t="s">
        <v>1</v>
      </c>
      <c r="D18" s="25" t="s">
        <v>29</v>
      </c>
      <c r="E18" s="26">
        <v>80</v>
      </c>
      <c r="F18" s="44">
        <f>SUMIF(Ventes!C:C,A:A,Ventes!G:G)</f>
        <v>3</v>
      </c>
      <c r="G18" s="34">
        <f>SUMIF(Ventes!C:C,A:A,Ventes!H:H)</f>
        <v>240</v>
      </c>
      <c r="H18" s="35">
        <f>IFERROR(AVERAGEIF(Ventes!C:C,A:A,Ventes!F:F),"")</f>
        <v>0</v>
      </c>
      <c r="I18" s="3"/>
      <c r="J18" s="45" t="str">
        <f t="shared" si="1"/>
        <v>Football</v>
      </c>
      <c r="K18" s="45" t="str">
        <f t="shared" si="2"/>
        <v>Vêtement</v>
      </c>
    </row>
    <row r="19" spans="1:11" x14ac:dyDescent="0.3">
      <c r="A19" s="84" t="str">
        <f t="shared" si="0"/>
        <v>Maillot de foot Nike Tiempo</v>
      </c>
      <c r="B19" s="25" t="s">
        <v>62</v>
      </c>
      <c r="C19" s="25" t="s">
        <v>5</v>
      </c>
      <c r="D19" s="25" t="s">
        <v>28</v>
      </c>
      <c r="E19" s="26">
        <v>150</v>
      </c>
      <c r="F19" s="44">
        <f>SUMIF(Ventes!C:C,A:A,Ventes!G:G)</f>
        <v>4</v>
      </c>
      <c r="G19" s="34">
        <f>SUMIF(Ventes!C:C,A:A,Ventes!H:H)</f>
        <v>600</v>
      </c>
      <c r="H19" s="35">
        <f>IFERROR(AVERAGEIF(Ventes!C:C,A:A,Ventes!F:F),"")</f>
        <v>0</v>
      </c>
      <c r="I19" s="3"/>
      <c r="J19" s="45" t="str">
        <f t="shared" si="1"/>
        <v>Football</v>
      </c>
      <c r="K19" s="45" t="str">
        <f t="shared" si="2"/>
        <v>Vêtement</v>
      </c>
    </row>
    <row r="20" spans="1:11" x14ac:dyDescent="0.3">
      <c r="A20" s="84" t="str">
        <f t="shared" si="0"/>
        <v>Main d'œuvre … ...</v>
      </c>
      <c r="B20" s="25" t="s">
        <v>7</v>
      </c>
      <c r="C20" s="25" t="s">
        <v>74</v>
      </c>
      <c r="D20" s="25" t="s">
        <v>85</v>
      </c>
      <c r="E20" s="26">
        <v>15</v>
      </c>
      <c r="F20" s="44">
        <f>SUMIF(Ventes!C:C,A:A,Ventes!G:G)</f>
        <v>1</v>
      </c>
      <c r="G20" s="34">
        <f>SUMIF(Ventes!C:C,A:A,Ventes!H:H)</f>
        <v>15</v>
      </c>
      <c r="H20" s="35">
        <f>IFERROR(AVERAGEIF(Ventes!C:C,A:A,Ventes!F:F),"")</f>
        <v>0</v>
      </c>
      <c r="I20" s="3"/>
      <c r="J20" s="45" t="str">
        <f t="shared" si="1"/>
        <v>Toutes catégories</v>
      </c>
      <c r="K20" s="45" t="str">
        <f t="shared" si="2"/>
        <v>Prestation</v>
      </c>
    </row>
    <row r="21" spans="1:11" x14ac:dyDescent="0.3">
      <c r="A21" s="84" t="str">
        <f t="shared" si="0"/>
        <v>Raquette de tennis Babolat ...</v>
      </c>
      <c r="B21" s="25" t="s">
        <v>63</v>
      </c>
      <c r="C21" s="25" t="s">
        <v>19</v>
      </c>
      <c r="D21" s="25" t="s">
        <v>85</v>
      </c>
      <c r="E21" s="26">
        <v>80</v>
      </c>
      <c r="F21" s="44">
        <f>SUMIF(Ventes!C:C,A:A,Ventes!G:G)</f>
        <v>3</v>
      </c>
      <c r="G21" s="34">
        <f>SUMIF(Ventes!C:C,A:A,Ventes!H:H)</f>
        <v>225</v>
      </c>
      <c r="H21" s="35">
        <f>IFERROR(AVERAGEIF(Ventes!C:C,A:A,Ventes!F:F),"")</f>
        <v>6.25E-2</v>
      </c>
      <c r="I21" s="3"/>
      <c r="J21" s="45" t="str">
        <f t="shared" si="1"/>
        <v>Tennis</v>
      </c>
      <c r="K21" s="45" t="str">
        <f t="shared" si="2"/>
        <v>Equipement</v>
      </c>
    </row>
    <row r="22" spans="1:11" x14ac:dyDescent="0.3">
      <c r="A22" s="84" t="str">
        <f t="shared" si="0"/>
        <v>Réparation toute nature … ...</v>
      </c>
      <c r="B22" s="25" t="s">
        <v>100</v>
      </c>
      <c r="C22" s="25" t="s">
        <v>74</v>
      </c>
      <c r="D22" s="25" t="s">
        <v>85</v>
      </c>
      <c r="E22" s="26">
        <v>0</v>
      </c>
      <c r="F22" s="44">
        <f>SUMIF(Ventes!C:C,A:A,Ventes!G:G)</f>
        <v>1</v>
      </c>
      <c r="G22" s="34">
        <f>SUMIF(Ventes!C:C,A:A,Ventes!H:H)</f>
        <v>10</v>
      </c>
      <c r="H22" s="35" t="str">
        <f>IFERROR(AVERAGEIF(Ventes!C:C,A:A,Ventes!F:F),"")</f>
        <v/>
      </c>
      <c r="I22" s="3"/>
      <c r="J22" s="45" t="str">
        <f t="shared" si="1"/>
        <v>Toutes catégories</v>
      </c>
      <c r="K22" s="45" t="str">
        <f t="shared" si="2"/>
        <v>Prestation</v>
      </c>
    </row>
    <row r="23" spans="1:11" x14ac:dyDescent="0.3">
      <c r="A23" s="84" t="str">
        <f t="shared" si="0"/>
        <v>Réparation vélo … ...</v>
      </c>
      <c r="B23" s="25" t="s">
        <v>45</v>
      </c>
      <c r="C23" s="25" t="s">
        <v>74</v>
      </c>
      <c r="D23" s="25" t="s">
        <v>85</v>
      </c>
      <c r="E23" s="26">
        <v>25</v>
      </c>
      <c r="F23" s="44">
        <f>SUMIF(Ventes!C:C,A:A,Ventes!G:G)</f>
        <v>12</v>
      </c>
      <c r="G23" s="34">
        <f>SUMIF(Ventes!C:C,A:A,Ventes!H:H)</f>
        <v>300</v>
      </c>
      <c r="H23" s="35">
        <f>IFERROR(AVERAGEIF(Ventes!C:C,A:A,Ventes!F:F),"")</f>
        <v>0</v>
      </c>
      <c r="I23" s="3"/>
      <c r="J23" s="45" t="str">
        <f t="shared" si="1"/>
        <v>Cyclisme</v>
      </c>
      <c r="K23" s="45" t="str">
        <f t="shared" si="2"/>
        <v>Prestation</v>
      </c>
    </row>
    <row r="24" spans="1:11" x14ac:dyDescent="0.3">
      <c r="A24" s="84" t="str">
        <f t="shared" si="0"/>
        <v>T-Shirt Oxbow ...</v>
      </c>
      <c r="B24" s="25" t="s">
        <v>3</v>
      </c>
      <c r="C24" s="25" t="s">
        <v>4</v>
      </c>
      <c r="D24" s="25" t="s">
        <v>85</v>
      </c>
      <c r="E24" s="26">
        <v>45</v>
      </c>
      <c r="F24" s="44">
        <f>SUMIF(Ventes!C:C,A:A,Ventes!G:G)</f>
        <v>3</v>
      </c>
      <c r="G24" s="34">
        <f>SUMIF(Ventes!C:C,A:A,Ventes!H:H)</f>
        <v>124</v>
      </c>
      <c r="H24" s="35">
        <f>IFERROR(AVERAGEIF(Ventes!C:C,A:A,Ventes!F:F),"")</f>
        <v>8.1481481481481474E-2</v>
      </c>
      <c r="I24" s="3"/>
      <c r="J24" s="45" t="str">
        <f t="shared" si="1"/>
        <v>Toutes catégories</v>
      </c>
      <c r="K24" s="45" t="str">
        <f t="shared" si="2"/>
        <v>Vêtement</v>
      </c>
    </row>
    <row r="25" spans="1:11" x14ac:dyDescent="0.3">
      <c r="A25" s="84" t="str">
        <f t="shared" si="0"/>
        <v>Vélo Orbea Kids</v>
      </c>
      <c r="B25" s="25" t="s">
        <v>46</v>
      </c>
      <c r="C25" s="25" t="s">
        <v>20</v>
      </c>
      <c r="D25" s="25" t="s">
        <v>30</v>
      </c>
      <c r="E25" s="26">
        <v>250</v>
      </c>
      <c r="F25" s="44">
        <f>SUMIF(Ventes!C:C,A:A,Ventes!G:G)</f>
        <v>3</v>
      </c>
      <c r="G25" s="34">
        <f>SUMIF(Ventes!C:C,A:A,Ventes!H:H)</f>
        <v>750</v>
      </c>
      <c r="H25" s="35">
        <f>IFERROR(AVERAGEIF(Ventes!C:C,A:A,Ventes!F:F),"")</f>
        <v>0</v>
      </c>
      <c r="I25" s="3"/>
      <c r="J25" s="45" t="str">
        <f t="shared" si="1"/>
        <v>Cyclisme</v>
      </c>
      <c r="K25" s="45" t="str">
        <f t="shared" si="2"/>
        <v>Equipement</v>
      </c>
    </row>
    <row r="26" spans="1:11" x14ac:dyDescent="0.3">
      <c r="A26" s="85"/>
      <c r="B26" s="36"/>
      <c r="C26" s="36"/>
      <c r="D26" s="36"/>
      <c r="E26" s="37"/>
      <c r="F26" s="40"/>
      <c r="G26" s="29"/>
      <c r="H26" s="28"/>
      <c r="I26" s="36"/>
      <c r="J26" s="46"/>
      <c r="K26" s="46"/>
    </row>
  </sheetData>
  <sheetProtection sheet="1" objects="1" scenarios="1" sort="0" autoFilter="0" pivotTables="0"/>
  <autoFilter ref="A4:K25"/>
  <sortState ref="A5:K25">
    <sortCondition ref="B8"/>
  </sortState>
  <conditionalFormatting sqref="B7:B25">
    <cfRule type="expression" dxfId="18" priority="20">
      <formula>ISERROR(VLOOKUP(B7,Liste_Natures,1,FALSE))</formula>
    </cfRule>
  </conditionalFormatting>
  <conditionalFormatting sqref="C7:C25">
    <cfRule type="expression" dxfId="17" priority="19">
      <formula>ISERROR(VLOOKUP(C7,Liste_Marques,1,FALSE))</formula>
    </cfRule>
  </conditionalFormatting>
  <conditionalFormatting sqref="B6">
    <cfRule type="expression" dxfId="16" priority="8">
      <formula>ISERROR(VLOOKUP(B6,Liste_Natures,1,FALSE))</formula>
    </cfRule>
  </conditionalFormatting>
  <conditionalFormatting sqref="C6">
    <cfRule type="expression" dxfId="15" priority="7">
      <formula>ISERROR(VLOOKUP(C6,Liste_Marques,1,FALSE))</formula>
    </cfRule>
  </conditionalFormatting>
  <conditionalFormatting sqref="B5">
    <cfRule type="expression" dxfId="14" priority="2">
      <formula>ISERROR(VLOOKUP(B5,Liste_Natures,1,FALSE))</formula>
    </cfRule>
  </conditionalFormatting>
  <conditionalFormatting sqref="C5">
    <cfRule type="expression" dxfId="13" priority="1">
      <formula>ISERROR(VLOOKUP(C5,Liste_Marques,1,FALSE))</formula>
    </cfRule>
  </conditionalFormatting>
  <dataValidations count="2">
    <dataValidation type="list" allowBlank="1" showInputMessage="1" showErrorMessage="1" errorTitle="Choisir dans la liste" error="Choisir dans la liste !" sqref="C4:C26">
      <formula1>Liste_Marques</formula1>
    </dataValidation>
    <dataValidation type="list" allowBlank="1" showInputMessage="1" showErrorMessage="1" errorTitle="Choisir dans la liste" error="Choisir dans la liste !" sqref="B4:B26">
      <formula1>Liste_Natures</formula1>
    </dataValidation>
  </dataValidations>
  <pageMargins left="0.7" right="0.7" top="0.75" bottom="0.75" header="0.3" footer="0.3"/>
  <pageSetup paperSize="9" orientation="portrait" verticalDpi="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19"/>
  <sheetViews>
    <sheetView workbookViewId="0">
      <pane ySplit="4" topLeftCell="A5" activePane="bottomLeft" state="frozen"/>
      <selection activeCell="A2" sqref="A2"/>
      <selection pane="bottomLeft" activeCell="B26" sqref="B26"/>
    </sheetView>
  </sheetViews>
  <sheetFormatPr baseColWidth="10" defaultColWidth="17.44140625" defaultRowHeight="14.4" x14ac:dyDescent="0.3"/>
  <cols>
    <col min="1" max="1" width="26.5546875" style="25" customWidth="1"/>
    <col min="2" max="3" width="27.88671875" style="25" customWidth="1"/>
    <col min="4" max="4" width="14.5546875" style="87" customWidth="1"/>
    <col min="5" max="5" width="14.5546875" style="25" customWidth="1"/>
    <col min="6" max="6" width="16.44140625" style="25" customWidth="1"/>
    <col min="7" max="7" width="15" style="38" customWidth="1"/>
    <col min="8" max="8" width="58.33203125" style="26" customWidth="1"/>
    <col min="9" max="9" width="25.109375" style="25" customWidth="1"/>
    <col min="10" max="10" width="17.88671875" style="25" customWidth="1"/>
    <col min="11" max="11" width="41.109375" style="25" customWidth="1"/>
    <col min="12" max="16384" width="17.44140625" style="25"/>
  </cols>
  <sheetData>
    <row r="1" spans="1:8" ht="23.4" x14ac:dyDescent="0.45">
      <c r="A1" s="102" t="str">
        <f>Raison_Sociale&amp;" - "&amp;Titre&amp;" - Natures d'articles"</f>
        <v>Sport Plus - Registre des ventes - Natures d'articles</v>
      </c>
      <c r="B1" s="102"/>
      <c r="C1" s="102"/>
      <c r="D1" s="107"/>
      <c r="E1" s="103"/>
      <c r="F1" s="103"/>
      <c r="G1" s="106"/>
      <c r="H1" s="104"/>
    </row>
    <row r="2" spans="1:8" x14ac:dyDescent="0.3">
      <c r="A2" s="46"/>
      <c r="B2" s="46"/>
      <c r="C2" s="46"/>
      <c r="D2" s="88">
        <f>SUBTOTAL(9,D4:D19)</f>
        <v>21</v>
      </c>
      <c r="E2" s="47">
        <f>SUBTOTAL(9,E4:E19)</f>
        <v>69</v>
      </c>
      <c r="F2" s="29">
        <f>SUBTOTAL(9,F4:F19)</f>
        <v>6004</v>
      </c>
      <c r="G2" s="28">
        <f>SUBTOTAL(1,G4:G19)</f>
        <v>2.3700205518387338E-2</v>
      </c>
      <c r="H2" s="29"/>
    </row>
    <row r="3" spans="1:8" ht="42" customHeight="1" x14ac:dyDescent="0.3">
      <c r="A3" s="103"/>
      <c r="B3" s="103"/>
      <c r="C3" s="103"/>
      <c r="D3" s="107"/>
      <c r="E3" s="103"/>
      <c r="F3" s="103"/>
      <c r="G3" s="106"/>
      <c r="H3" s="104"/>
    </row>
    <row r="4" spans="1:8" s="33" customFormat="1" ht="30.75" customHeight="1" x14ac:dyDescent="0.3">
      <c r="A4" s="48" t="s">
        <v>55</v>
      </c>
      <c r="B4" s="48" t="s">
        <v>16</v>
      </c>
      <c r="C4" s="48" t="s">
        <v>15</v>
      </c>
      <c r="D4" s="89" t="s">
        <v>88</v>
      </c>
      <c r="E4" s="42" t="s">
        <v>56</v>
      </c>
      <c r="F4" s="31" t="s">
        <v>47</v>
      </c>
      <c r="G4" s="43" t="s">
        <v>48</v>
      </c>
      <c r="H4" s="30" t="s">
        <v>31</v>
      </c>
    </row>
    <row r="5" spans="1:8" x14ac:dyDescent="0.3">
      <c r="A5" s="25" t="s">
        <v>100</v>
      </c>
      <c r="B5" s="25" t="s">
        <v>22</v>
      </c>
      <c r="C5" s="25" t="s">
        <v>41</v>
      </c>
      <c r="D5" s="90">
        <f>COUNTIF(Articles!B:B,A:A)</f>
        <v>1</v>
      </c>
      <c r="E5" s="49">
        <f>SUMIF(Ventes!M:M,A:A,Ventes!G:G)</f>
        <v>1</v>
      </c>
      <c r="F5" s="34">
        <f>SUMIF(Ventes!M:M,A:A,Ventes!H:H)</f>
        <v>10</v>
      </c>
      <c r="G5" s="35" t="str">
        <f>IFERROR(AVERAGEIF(Ventes!M:M,A:A,Ventes!F:F),"")</f>
        <v/>
      </c>
      <c r="H5" s="3"/>
    </row>
    <row r="6" spans="1:8" x14ac:dyDescent="0.3">
      <c r="A6" s="25" t="s">
        <v>60</v>
      </c>
      <c r="B6" s="25" t="s">
        <v>23</v>
      </c>
      <c r="C6" s="25" t="s">
        <v>37</v>
      </c>
      <c r="D6" s="90">
        <f>COUNTIF(Articles!B:B,A:A)</f>
        <v>1</v>
      </c>
      <c r="E6" s="49">
        <f>SUMIF(Ventes!M:M,A:A,Ventes!G:G)</f>
        <v>4</v>
      </c>
      <c r="F6" s="34">
        <f>SUMIF(Ventes!M:M,A:A,Ventes!H:H)</f>
        <v>95</v>
      </c>
      <c r="G6" s="35">
        <f>IFERROR(AVERAGEIF(Ventes!M:M,A:A,Ventes!F:F),"")</f>
        <v>0.05</v>
      </c>
      <c r="H6" s="3"/>
    </row>
    <row r="7" spans="1:8" x14ac:dyDescent="0.3">
      <c r="A7" s="25" t="s">
        <v>61</v>
      </c>
      <c r="B7" s="25" t="s">
        <v>21</v>
      </c>
      <c r="C7" s="25" t="s">
        <v>37</v>
      </c>
      <c r="D7" s="90">
        <f>COUNTIF(Articles!B:B,A:A)</f>
        <v>4</v>
      </c>
      <c r="E7" s="49">
        <f>SUMIF(Ventes!M:M,A:A,Ventes!G:G)</f>
        <v>23</v>
      </c>
      <c r="F7" s="34">
        <f>SUMIF(Ventes!M:M,A:A,Ventes!H:H)</f>
        <v>2853</v>
      </c>
      <c r="G7" s="35">
        <f>IFERROR(AVERAGEIF(Ventes!M:M,A:A,Ventes!F:F),"")</f>
        <v>4.3506493506493507E-2</v>
      </c>
      <c r="H7" s="3"/>
    </row>
    <row r="8" spans="1:8" x14ac:dyDescent="0.3">
      <c r="A8" s="25" t="s">
        <v>64</v>
      </c>
      <c r="B8" s="25" t="s">
        <v>21</v>
      </c>
      <c r="C8" s="25" t="s">
        <v>38</v>
      </c>
      <c r="D8" s="90">
        <f>COUNTIF(Articles!B:B,A:A)</f>
        <v>6</v>
      </c>
      <c r="E8" s="49">
        <f>SUMIF(Ventes!M:M,A:A,Ventes!G:G)</f>
        <v>7</v>
      </c>
      <c r="F8" s="34">
        <f>SUMIF(Ventes!M:M,A:A,Ventes!H:H)</f>
        <v>727</v>
      </c>
      <c r="G8" s="35">
        <f>IFERROR(AVERAGEIF(Ventes!M:M,A:A,Ventes!F:F),"")</f>
        <v>2.3214285714285715E-2</v>
      </c>
      <c r="H8" s="3"/>
    </row>
    <row r="9" spans="1:8" x14ac:dyDescent="0.3">
      <c r="A9" s="25" t="s">
        <v>39</v>
      </c>
      <c r="B9" s="25" t="s">
        <v>23</v>
      </c>
      <c r="C9" s="25" t="s">
        <v>40</v>
      </c>
      <c r="D9" s="90">
        <f>COUNTIF(Articles!B:B,A:A)</f>
        <v>1</v>
      </c>
      <c r="E9" s="49">
        <f>SUMIF(Ventes!M:M,A:A,Ventes!G:G)</f>
        <v>2</v>
      </c>
      <c r="F9" s="34">
        <f>SUMIF(Ventes!M:M,A:A,Ventes!H:H)</f>
        <v>50</v>
      </c>
      <c r="G9" s="35">
        <f>IFERROR(AVERAGEIF(Ventes!M:M,A:A,Ventes!F:F),"")</f>
        <v>0</v>
      </c>
      <c r="H9" s="3"/>
    </row>
    <row r="10" spans="1:8" x14ac:dyDescent="0.3">
      <c r="A10" s="25" t="s">
        <v>8</v>
      </c>
      <c r="B10" s="25" t="s">
        <v>23</v>
      </c>
      <c r="C10" s="25" t="s">
        <v>40</v>
      </c>
      <c r="D10" s="90">
        <f>COUNTIF(Articles!B:B,A:A)</f>
        <v>1</v>
      </c>
      <c r="E10" s="49">
        <f>SUMIF(Ventes!M:M,A:A,Ventes!G:G)</f>
        <v>3</v>
      </c>
      <c r="F10" s="34">
        <f>SUMIF(Ventes!M:M,A:A,Ventes!H:H)</f>
        <v>15</v>
      </c>
      <c r="G10" s="35">
        <f>IFERROR(AVERAGEIF(Ventes!M:M,A:A,Ventes!F:F),"")</f>
        <v>0</v>
      </c>
      <c r="H10" s="3"/>
    </row>
    <row r="11" spans="1:8" x14ac:dyDescent="0.3">
      <c r="A11" s="25" t="s">
        <v>96</v>
      </c>
      <c r="B11" s="25" t="s">
        <v>21</v>
      </c>
      <c r="C11" s="25" t="s">
        <v>97</v>
      </c>
      <c r="D11" s="90">
        <f>COUNTIF(Articles!B:B,A:A)</f>
        <v>0</v>
      </c>
      <c r="E11" s="49">
        <f>SUMIF(Ventes!M:M,A:A,Ventes!G:G)</f>
        <v>0</v>
      </c>
      <c r="F11" s="34">
        <f>SUMIF(Ventes!M:M,A:A,Ventes!H:H)</f>
        <v>0</v>
      </c>
      <c r="G11" s="35" t="str">
        <f>IFERROR(AVERAGEIF(Ventes!M:M,A:A,Ventes!F:F),"")</f>
        <v/>
      </c>
      <c r="H11" s="3"/>
    </row>
    <row r="12" spans="1:8" x14ac:dyDescent="0.3">
      <c r="A12" s="25" t="s">
        <v>94</v>
      </c>
      <c r="B12" s="25" t="s">
        <v>21</v>
      </c>
      <c r="C12" s="25" t="s">
        <v>95</v>
      </c>
      <c r="D12" s="90">
        <f>COUNTIF(Articles!B:B,A:A)</f>
        <v>0</v>
      </c>
      <c r="E12" s="49">
        <f>SUMIF(Ventes!M:M,A:A,Ventes!G:G)</f>
        <v>0</v>
      </c>
      <c r="F12" s="34">
        <f>SUMIF(Ventes!M:M,A:A,Ventes!H:H)</f>
        <v>0</v>
      </c>
      <c r="G12" s="35" t="str">
        <f>IFERROR(AVERAGEIF(Ventes!M:M,A:A,Ventes!F:F),"")</f>
        <v/>
      </c>
      <c r="H12" s="3"/>
    </row>
    <row r="13" spans="1:8" x14ac:dyDescent="0.3">
      <c r="A13" s="25" t="s">
        <v>62</v>
      </c>
      <c r="B13" s="25" t="s">
        <v>21</v>
      </c>
      <c r="C13" s="25" t="s">
        <v>37</v>
      </c>
      <c r="D13" s="90">
        <f>COUNTIF(Articles!B:B,A:A)</f>
        <v>2</v>
      </c>
      <c r="E13" s="49">
        <f>SUMIF(Ventes!M:M,A:A,Ventes!G:G)</f>
        <v>7</v>
      </c>
      <c r="F13" s="34">
        <f>SUMIF(Ventes!M:M,A:A,Ventes!H:H)</f>
        <v>840</v>
      </c>
      <c r="G13" s="35">
        <f>IFERROR(AVERAGEIF(Ventes!M:M,A:A,Ventes!F:F),"")</f>
        <v>0</v>
      </c>
      <c r="H13" s="3"/>
    </row>
    <row r="14" spans="1:8" x14ac:dyDescent="0.3">
      <c r="A14" s="25" t="s">
        <v>7</v>
      </c>
      <c r="B14" s="25" t="s">
        <v>22</v>
      </c>
      <c r="C14" s="25" t="s">
        <v>41</v>
      </c>
      <c r="D14" s="90">
        <f>COUNTIF(Articles!B:B,A:A)</f>
        <v>1</v>
      </c>
      <c r="E14" s="49">
        <f>SUMIF(Ventes!M:M,A:A,Ventes!G:G)</f>
        <v>1</v>
      </c>
      <c r="F14" s="34">
        <f>SUMIF(Ventes!M:M,A:A,Ventes!H:H)</f>
        <v>15</v>
      </c>
      <c r="G14" s="35">
        <f>IFERROR(AVERAGEIF(Ventes!M:M,A:A,Ventes!F:F),"")</f>
        <v>0</v>
      </c>
      <c r="H14" s="3"/>
    </row>
    <row r="15" spans="1:8" x14ac:dyDescent="0.3">
      <c r="A15" s="25" t="s">
        <v>63</v>
      </c>
      <c r="B15" s="25" t="s">
        <v>23</v>
      </c>
      <c r="C15" s="25" t="s">
        <v>42</v>
      </c>
      <c r="D15" s="90">
        <f>COUNTIF(Articles!B:B,A:A)</f>
        <v>1</v>
      </c>
      <c r="E15" s="49">
        <f>SUMIF(Ventes!M:M,A:A,Ventes!G:G)</f>
        <v>3</v>
      </c>
      <c r="F15" s="34">
        <f>SUMIF(Ventes!M:M,A:A,Ventes!H:H)</f>
        <v>225</v>
      </c>
      <c r="G15" s="35">
        <f>IFERROR(AVERAGEIF(Ventes!M:M,A:A,Ventes!F:F),"")</f>
        <v>6.25E-2</v>
      </c>
      <c r="H15" s="3"/>
    </row>
    <row r="16" spans="1:8" x14ac:dyDescent="0.3">
      <c r="A16" s="25" t="s">
        <v>45</v>
      </c>
      <c r="B16" s="25" t="s">
        <v>22</v>
      </c>
      <c r="C16" s="25" t="s">
        <v>43</v>
      </c>
      <c r="D16" s="90">
        <f>COUNTIF(Articles!B:B,A:A)</f>
        <v>1</v>
      </c>
      <c r="E16" s="49">
        <f>SUMIF(Ventes!M:M,A:A,Ventes!G:G)</f>
        <v>12</v>
      </c>
      <c r="F16" s="34">
        <f>SUMIF(Ventes!M:M,A:A,Ventes!H:H)</f>
        <v>300</v>
      </c>
      <c r="G16" s="35">
        <f>IFERROR(AVERAGEIF(Ventes!M:M,A:A,Ventes!F:F),"")</f>
        <v>0</v>
      </c>
      <c r="H16" s="3"/>
    </row>
    <row r="17" spans="1:8" x14ac:dyDescent="0.3">
      <c r="A17" s="25" t="s">
        <v>3</v>
      </c>
      <c r="B17" s="25" t="s">
        <v>21</v>
      </c>
      <c r="C17" s="25" t="s">
        <v>41</v>
      </c>
      <c r="D17" s="90">
        <f>COUNTIF(Articles!B:B,A:A)</f>
        <v>1</v>
      </c>
      <c r="E17" s="49">
        <f>SUMIF(Ventes!M:M,A:A,Ventes!G:G)</f>
        <v>3</v>
      </c>
      <c r="F17" s="34">
        <f>SUMIF(Ventes!M:M,A:A,Ventes!H:H)</f>
        <v>124</v>
      </c>
      <c r="G17" s="35">
        <f>IFERROR(AVERAGEIF(Ventes!M:M,A:A,Ventes!F:F),"")</f>
        <v>8.1481481481481474E-2</v>
      </c>
      <c r="H17" s="3"/>
    </row>
    <row r="18" spans="1:8" x14ac:dyDescent="0.3">
      <c r="A18" s="25" t="s">
        <v>46</v>
      </c>
      <c r="B18" s="25" t="s">
        <v>23</v>
      </c>
      <c r="C18" s="25" t="s">
        <v>43</v>
      </c>
      <c r="D18" s="90">
        <f>COUNTIF(Articles!B:B,A:A)</f>
        <v>1</v>
      </c>
      <c r="E18" s="49">
        <f>SUMIF(Ventes!M:M,A:A,Ventes!G:G)</f>
        <v>3</v>
      </c>
      <c r="F18" s="34">
        <f>SUMIF(Ventes!M:M,A:A,Ventes!H:H)</f>
        <v>750</v>
      </c>
      <c r="G18" s="35">
        <f>IFERROR(AVERAGEIF(Ventes!M:M,A:A,Ventes!F:F),"")</f>
        <v>0</v>
      </c>
      <c r="H18" s="3"/>
    </row>
    <row r="19" spans="1:8" x14ac:dyDescent="0.3">
      <c r="A19" s="50"/>
      <c r="B19" s="50"/>
      <c r="C19" s="50"/>
      <c r="D19" s="88"/>
      <c r="E19" s="40"/>
      <c r="F19" s="29"/>
      <c r="G19" s="28"/>
      <c r="H19" s="36"/>
    </row>
  </sheetData>
  <sheetProtection sheet="1" objects="1" scenarios="1" sort="0" autoFilter="0" pivotTables="0"/>
  <autoFilter ref="A4:H18"/>
  <sortState ref="A5:H18">
    <sortCondition ref="A11"/>
  </sortState>
  <conditionalFormatting sqref="B8:B18">
    <cfRule type="expression" dxfId="12" priority="8">
      <formula>ISERROR(VLOOKUP(B8,Liste_Types,1,FALSE))</formula>
    </cfRule>
  </conditionalFormatting>
  <conditionalFormatting sqref="C8:C18">
    <cfRule type="expression" dxfId="11" priority="7">
      <formula>ISERROR(VLOOKUP(C8,Liste_Catégories,1,FALSE))</formula>
    </cfRule>
  </conditionalFormatting>
  <conditionalFormatting sqref="B7">
    <cfRule type="expression" dxfId="10" priority="6">
      <formula>ISERROR(VLOOKUP(B7,Liste_Types,1,FALSE))</formula>
    </cfRule>
  </conditionalFormatting>
  <conditionalFormatting sqref="C7">
    <cfRule type="expression" dxfId="9" priority="5">
      <formula>ISERROR(VLOOKUP(C7,Liste_Catégories,1,FALSE))</formula>
    </cfRule>
  </conditionalFormatting>
  <conditionalFormatting sqref="B6">
    <cfRule type="expression" dxfId="8" priority="4">
      <formula>ISERROR(VLOOKUP(B6,Liste_Types,1,FALSE))</formula>
    </cfRule>
  </conditionalFormatting>
  <conditionalFormatting sqref="C6">
    <cfRule type="expression" dxfId="7" priority="3">
      <formula>ISERROR(VLOOKUP(C6,Liste_Catégories,1,FALSE))</formula>
    </cfRule>
  </conditionalFormatting>
  <conditionalFormatting sqref="B5">
    <cfRule type="expression" dxfId="6" priority="2">
      <formula>ISERROR(VLOOKUP(B5,Liste_Types,1,FALSE))</formula>
    </cfRule>
  </conditionalFormatting>
  <conditionalFormatting sqref="C5">
    <cfRule type="expression" dxfId="5" priority="1">
      <formula>ISERROR(VLOOKUP(C5,Liste_Catégories,1,FALSE))</formula>
    </cfRule>
  </conditionalFormatting>
  <dataValidations count="2">
    <dataValidation type="list" allowBlank="1" showInputMessage="1" showErrorMessage="1" errorTitle="Choisir dans la liste" error="Choisir dans la liste !" sqref="B4:B19">
      <formula1>Liste_Types</formula1>
    </dataValidation>
    <dataValidation type="list" allowBlank="1" showInputMessage="1" showErrorMessage="1" errorTitle="Choisir dans la liste" error="Choisir dans la liste !" sqref="C4:C19">
      <formula1>Liste_Catégories</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F13"/>
  <sheetViews>
    <sheetView workbookViewId="0">
      <pane ySplit="4" topLeftCell="A5" activePane="bottomLeft" state="frozen"/>
      <selection activeCell="A2" sqref="A2"/>
      <selection pane="bottomLeft" activeCell="B11" sqref="B11"/>
    </sheetView>
  </sheetViews>
  <sheetFormatPr baseColWidth="10" defaultColWidth="17.44140625" defaultRowHeight="14.4" x14ac:dyDescent="0.3"/>
  <cols>
    <col min="1" max="1" width="39.44140625" style="25" customWidth="1"/>
    <col min="2" max="2" width="14.5546875" style="87" customWidth="1"/>
    <col min="3" max="3" width="14.5546875" style="25" customWidth="1"/>
    <col min="4" max="4" width="16.44140625" style="25" customWidth="1"/>
    <col min="5" max="5" width="15" style="38" customWidth="1"/>
    <col min="6" max="6" width="58.33203125" style="26" customWidth="1"/>
    <col min="7" max="7" width="25.109375" style="25" customWidth="1"/>
    <col min="8" max="8" width="17.88671875" style="25" customWidth="1"/>
    <col min="9" max="9" width="41.109375" style="25" customWidth="1"/>
    <col min="10" max="16384" width="17.44140625" style="25"/>
  </cols>
  <sheetData>
    <row r="1" spans="1:6" ht="23.4" x14ac:dyDescent="0.45">
      <c r="A1" s="102" t="str">
        <f>Raison_Sociale&amp;" - "&amp;Titre&amp;" - Catégories d'articles"</f>
        <v>Sport Plus - Registre des ventes - Catégories d'articles</v>
      </c>
      <c r="B1" s="107"/>
      <c r="C1" s="103"/>
      <c r="D1" s="103"/>
      <c r="E1" s="106"/>
      <c r="F1" s="104"/>
    </row>
    <row r="2" spans="1:6" x14ac:dyDescent="0.3">
      <c r="A2" s="46"/>
      <c r="B2" s="88">
        <f>SUBTOTAL(9,B4:B13)</f>
        <v>21</v>
      </c>
      <c r="C2" s="47">
        <f>SUBTOTAL(9,C4:C13)</f>
        <v>69</v>
      </c>
      <c r="D2" s="29">
        <f t="shared" ref="D2" si="0">SUBTOTAL(9,D4:D13)</f>
        <v>6004</v>
      </c>
      <c r="E2" s="28">
        <f>SUBTOTAL(1,E4:E13)</f>
        <v>2.9864838864838868E-2</v>
      </c>
      <c r="F2" s="29"/>
    </row>
    <row r="3" spans="1:6" ht="42" customHeight="1" x14ac:dyDescent="0.3">
      <c r="A3" s="103"/>
      <c r="B3" s="107"/>
      <c r="C3" s="103"/>
      <c r="D3" s="103"/>
      <c r="E3" s="106"/>
      <c r="F3" s="104"/>
    </row>
    <row r="4" spans="1:6" s="33" customFormat="1" ht="30.75" customHeight="1" x14ac:dyDescent="0.3">
      <c r="A4" s="48" t="s">
        <v>55</v>
      </c>
      <c r="B4" s="89" t="s">
        <v>88</v>
      </c>
      <c r="C4" s="42" t="s">
        <v>56</v>
      </c>
      <c r="D4" s="31" t="s">
        <v>47</v>
      </c>
      <c r="E4" s="43" t="s">
        <v>48</v>
      </c>
      <c r="F4" s="30" t="s">
        <v>31</v>
      </c>
    </row>
    <row r="5" spans="1:6" x14ac:dyDescent="0.3">
      <c r="A5" s="25" t="s">
        <v>95</v>
      </c>
      <c r="B5" s="90">
        <f>COUNTIF(Articles!J:J,A:A)</f>
        <v>0</v>
      </c>
      <c r="C5" s="49">
        <f>SUMIF(Ventes!K:K,A:A,Ventes!G:G)</f>
        <v>0</v>
      </c>
      <c r="D5" s="34">
        <f>SUMIF(Ventes!K:K,A:A,Ventes!H:H)</f>
        <v>0</v>
      </c>
      <c r="E5" s="35" t="str">
        <f>IFERROR(AVERAGEIF(Ventes!K:K,A:A,Ventes!F:F),"")</f>
        <v/>
      </c>
      <c r="F5" s="3"/>
    </row>
    <row r="6" spans="1:6" x14ac:dyDescent="0.3">
      <c r="A6" s="25" t="s">
        <v>43</v>
      </c>
      <c r="B6" s="90">
        <f>COUNTIF(Articles!J:J,A:A)</f>
        <v>2</v>
      </c>
      <c r="C6" s="49">
        <f>SUMIF(Ventes!K:K,A:A,Ventes!G:G)</f>
        <v>15</v>
      </c>
      <c r="D6" s="34">
        <f>SUMIF(Ventes!K:K,A:A,Ventes!H:H)</f>
        <v>1050</v>
      </c>
      <c r="E6" s="35">
        <f>IFERROR(AVERAGEIF(Ventes!K:K,A:A,Ventes!F:F),"")</f>
        <v>0</v>
      </c>
      <c r="F6" s="3"/>
    </row>
    <row r="7" spans="1:6" x14ac:dyDescent="0.3">
      <c r="A7" s="25" t="s">
        <v>37</v>
      </c>
      <c r="B7" s="90">
        <f>COUNTIF(Articles!J:J,A:A)</f>
        <v>7</v>
      </c>
      <c r="C7" s="49">
        <f>SUMIF(Ventes!K:K,A:A,Ventes!G:G)</f>
        <v>34</v>
      </c>
      <c r="D7" s="34">
        <f>SUMIF(Ventes!K:K,A:A,Ventes!H:H)</f>
        <v>3788</v>
      </c>
      <c r="E7" s="35">
        <f>IFERROR(AVERAGEIF(Ventes!K:K,A:A,Ventes!F:F),"")</f>
        <v>3.2363636363636365E-2</v>
      </c>
      <c r="F7" s="3"/>
    </row>
    <row r="8" spans="1:6" x14ac:dyDescent="0.3">
      <c r="A8" s="25" t="s">
        <v>40</v>
      </c>
      <c r="B8" s="90">
        <f>COUNTIF(Articles!J:J,A:A)</f>
        <v>2</v>
      </c>
      <c r="C8" s="49">
        <f>SUMIF(Ventes!K:K,A:A,Ventes!G:G)</f>
        <v>5</v>
      </c>
      <c r="D8" s="34">
        <f>SUMIF(Ventes!K:K,A:A,Ventes!H:H)</f>
        <v>65</v>
      </c>
      <c r="E8" s="35">
        <f>IFERROR(AVERAGEIF(Ventes!K:K,A:A,Ventes!F:F),"")</f>
        <v>0</v>
      </c>
      <c r="F8" s="3"/>
    </row>
    <row r="9" spans="1:6" x14ac:dyDescent="0.3">
      <c r="A9" s="25" t="s">
        <v>38</v>
      </c>
      <c r="B9" s="90">
        <f>COUNTIF(Articles!J:J,A:A)</f>
        <v>6</v>
      </c>
      <c r="C9" s="49">
        <f>SUMIF(Ventes!K:K,A:A,Ventes!G:G)</f>
        <v>7</v>
      </c>
      <c r="D9" s="34">
        <f>SUMIF(Ventes!K:K,A:A,Ventes!H:H)</f>
        <v>727</v>
      </c>
      <c r="E9" s="35">
        <f>IFERROR(AVERAGEIF(Ventes!K:K,A:A,Ventes!F:F),"")</f>
        <v>2.3214285714285715E-2</v>
      </c>
      <c r="F9" s="3"/>
    </row>
    <row r="10" spans="1:6" x14ac:dyDescent="0.3">
      <c r="A10" s="25" t="s">
        <v>44</v>
      </c>
      <c r="B10" s="90">
        <f>COUNTIF(Articles!J:J,A:A)</f>
        <v>0</v>
      </c>
      <c r="C10" s="49">
        <f>SUMIF(Ventes!K:K,A:A,Ventes!G:G)</f>
        <v>0</v>
      </c>
      <c r="D10" s="34">
        <f>SUMIF(Ventes!K:K,A:A,Ventes!H:H)</f>
        <v>0</v>
      </c>
      <c r="E10" s="35" t="str">
        <f>IFERROR(AVERAGEIF(Ventes!K:K,A:A,Ventes!F:F),"")</f>
        <v/>
      </c>
      <c r="F10" s="3"/>
    </row>
    <row r="11" spans="1:6" x14ac:dyDescent="0.3">
      <c r="A11" s="25" t="s">
        <v>42</v>
      </c>
      <c r="B11" s="90">
        <f>COUNTIF(Articles!J:J,A:A)</f>
        <v>1</v>
      </c>
      <c r="C11" s="49">
        <f>SUMIF(Ventes!K:K,A:A,Ventes!G:G)</f>
        <v>3</v>
      </c>
      <c r="D11" s="34">
        <f>SUMIF(Ventes!K:K,A:A,Ventes!H:H)</f>
        <v>225</v>
      </c>
      <c r="E11" s="35">
        <f>IFERROR(AVERAGEIF(Ventes!K:K,A:A,Ventes!F:F),"")</f>
        <v>6.25E-2</v>
      </c>
      <c r="F11" s="3"/>
    </row>
    <row r="12" spans="1:6" x14ac:dyDescent="0.3">
      <c r="A12" s="25" t="s">
        <v>41</v>
      </c>
      <c r="B12" s="90">
        <f>COUNTIF(Articles!J:J,A:A)</f>
        <v>3</v>
      </c>
      <c r="C12" s="49">
        <f>SUMIF(Ventes!K:K,A:A,Ventes!G:G)</f>
        <v>5</v>
      </c>
      <c r="D12" s="34">
        <f>SUMIF(Ventes!K:K,A:A,Ventes!H:H)</f>
        <v>149</v>
      </c>
      <c r="E12" s="35">
        <f>IFERROR(AVERAGEIF(Ventes!K:K,A:A,Ventes!F:F),"")</f>
        <v>6.1111111111111109E-2</v>
      </c>
      <c r="F12" s="3"/>
    </row>
    <row r="13" spans="1:6" x14ac:dyDescent="0.3">
      <c r="A13" s="50"/>
      <c r="B13" s="88"/>
      <c r="C13" s="40"/>
      <c r="D13" s="29"/>
      <c r="E13" s="28"/>
      <c r="F13" s="36"/>
    </row>
  </sheetData>
  <sheetProtection sheet="1" objects="1" scenarios="1" sort="0" autoFilter="0" pivotTables="0"/>
  <autoFilter ref="A4:F12"/>
  <sortState ref="A5:F14">
    <sortCondition ref="A8"/>
  </sortState>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F8"/>
  <sheetViews>
    <sheetView workbookViewId="0">
      <pane ySplit="4" topLeftCell="A5" activePane="bottomLeft" state="frozen"/>
      <selection activeCell="A2" sqref="A2"/>
      <selection pane="bottomLeft" activeCell="A6" sqref="A6"/>
    </sheetView>
  </sheetViews>
  <sheetFormatPr baseColWidth="10" defaultColWidth="17.44140625" defaultRowHeight="14.4" x14ac:dyDescent="0.3"/>
  <cols>
    <col min="1" max="1" width="39.44140625" style="25" customWidth="1"/>
    <col min="2" max="2" width="14.5546875" style="87" customWidth="1"/>
    <col min="3" max="3" width="14.5546875" style="25" customWidth="1"/>
    <col min="4" max="4" width="16.44140625" style="25" customWidth="1"/>
    <col min="5" max="5" width="15" style="38" customWidth="1"/>
    <col min="6" max="6" width="58.33203125" style="26" customWidth="1"/>
    <col min="7" max="7" width="25.109375" style="25" customWidth="1"/>
    <col min="8" max="8" width="17.88671875" style="25" customWidth="1"/>
    <col min="9" max="9" width="41.109375" style="25" customWidth="1"/>
    <col min="10" max="16384" width="17.44140625" style="25"/>
  </cols>
  <sheetData>
    <row r="1" spans="1:6" ht="23.4" x14ac:dyDescent="0.45">
      <c r="A1" s="102" t="str">
        <f>Raison_Sociale&amp;" - "&amp;Titre&amp;" - Types d'articles"</f>
        <v>Sport Plus - Registre des ventes - Types d'articles</v>
      </c>
      <c r="B1" s="107"/>
      <c r="C1" s="103"/>
      <c r="D1" s="103"/>
      <c r="E1" s="106"/>
      <c r="F1" s="104"/>
    </row>
    <row r="2" spans="1:6" x14ac:dyDescent="0.3">
      <c r="A2" s="46"/>
      <c r="B2" s="88">
        <f>SUBTOTAL(9,B4:B8)</f>
        <v>21</v>
      </c>
      <c r="C2" s="47">
        <f>SUBTOTAL(9,C4:C8)</f>
        <v>69</v>
      </c>
      <c r="D2" s="29">
        <f>SUBTOTAL(9,D4:D8)</f>
        <v>6004</v>
      </c>
      <c r="E2" s="28">
        <f>SUBTOTAL(1,E4:E8)</f>
        <v>1.9536222439448248E-2</v>
      </c>
      <c r="F2" s="29"/>
    </row>
    <row r="3" spans="1:6" ht="42" customHeight="1" x14ac:dyDescent="0.3">
      <c r="A3" s="103"/>
      <c r="B3" s="107"/>
      <c r="C3" s="103"/>
      <c r="D3" s="103"/>
      <c r="E3" s="106"/>
      <c r="F3" s="104"/>
    </row>
    <row r="4" spans="1:6" s="33" customFormat="1" ht="30.75" customHeight="1" x14ac:dyDescent="0.3">
      <c r="A4" s="48" t="s">
        <v>55</v>
      </c>
      <c r="B4" s="89" t="s">
        <v>88</v>
      </c>
      <c r="C4" s="42" t="s">
        <v>56</v>
      </c>
      <c r="D4" s="31" t="s">
        <v>47</v>
      </c>
      <c r="E4" s="43" t="s">
        <v>48</v>
      </c>
      <c r="F4" s="30" t="s">
        <v>31</v>
      </c>
    </row>
    <row r="5" spans="1:6" x14ac:dyDescent="0.3">
      <c r="A5" s="25" t="s">
        <v>23</v>
      </c>
      <c r="B5" s="90">
        <f>COUNTIF(Articles!K:K,A:A)</f>
        <v>5</v>
      </c>
      <c r="C5" s="49">
        <f>SUMIF(Ventes!L:L,A:A,Ventes!G:G)</f>
        <v>15</v>
      </c>
      <c r="D5" s="34">
        <f>SUMIF(Ventes!L:L,A:A,Ventes!H:H)</f>
        <v>1135</v>
      </c>
      <c r="E5" s="35">
        <f>IFERROR(AVERAGEIF(Ventes!L:L,A:A,Ventes!F:F),"")</f>
        <v>2.5833333333333333E-2</v>
      </c>
      <c r="F5" s="3"/>
    </row>
    <row r="6" spans="1:6" x14ac:dyDescent="0.3">
      <c r="A6" s="25" t="s">
        <v>22</v>
      </c>
      <c r="B6" s="90">
        <f>COUNTIF(Articles!K:K,A:A)</f>
        <v>3</v>
      </c>
      <c r="C6" s="49">
        <f>SUMIF(Ventes!L:L,A:A,Ventes!G:G)</f>
        <v>14</v>
      </c>
      <c r="D6" s="34">
        <f>SUMIF(Ventes!L:L,A:A,Ventes!H:H)</f>
        <v>325</v>
      </c>
      <c r="E6" s="35">
        <f>IFERROR(AVERAGEIF(Ventes!L:L,A:A,Ventes!F:F),"")</f>
        <v>0</v>
      </c>
      <c r="F6" s="3"/>
    </row>
    <row r="7" spans="1:6" x14ac:dyDescent="0.3">
      <c r="A7" s="25" t="s">
        <v>21</v>
      </c>
      <c r="B7" s="90">
        <f>COUNTIF(Articles!K:K,A:A)</f>
        <v>13</v>
      </c>
      <c r="C7" s="49">
        <f>SUMIF(Ventes!L:L,A:A,Ventes!G:G)</f>
        <v>40</v>
      </c>
      <c r="D7" s="34">
        <f>SUMIF(Ventes!L:L,A:A,Ventes!H:H)</f>
        <v>4544</v>
      </c>
      <c r="E7" s="35">
        <f>IFERROR(AVERAGEIF(Ventes!L:L,A:A,Ventes!F:F),"")</f>
        <v>3.2775333985011409E-2</v>
      </c>
      <c r="F7" s="3"/>
    </row>
    <row r="8" spans="1:6" x14ac:dyDescent="0.3">
      <c r="A8" s="50"/>
      <c r="B8" s="88"/>
      <c r="C8" s="40"/>
      <c r="D8" s="29"/>
      <c r="E8" s="28"/>
      <c r="F8" s="36"/>
    </row>
  </sheetData>
  <sheetProtection sheet="1" objects="1" scenarios="1" sort="0" autoFilter="0" pivotTables="0"/>
  <autoFilter ref="A4:F7"/>
  <sortState ref="A5:F8">
    <sortCondition ref="A6"/>
  </sortState>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F17"/>
  <sheetViews>
    <sheetView workbookViewId="0">
      <pane ySplit="4" topLeftCell="A5" activePane="bottomLeft" state="frozen"/>
      <selection activeCell="A2" sqref="A2"/>
      <selection pane="bottomLeft" activeCell="A5" sqref="A5"/>
    </sheetView>
  </sheetViews>
  <sheetFormatPr baseColWidth="10" defaultColWidth="17.44140625" defaultRowHeight="14.4" x14ac:dyDescent="0.3"/>
  <cols>
    <col min="1" max="1" width="39.44140625" style="25" customWidth="1"/>
    <col min="2" max="2" width="14.5546875" style="87" customWidth="1"/>
    <col min="3" max="3" width="14.5546875" style="25" customWidth="1"/>
    <col min="4" max="4" width="16.44140625" style="25" customWidth="1"/>
    <col min="5" max="5" width="15" style="38" customWidth="1"/>
    <col min="6" max="6" width="58.33203125" style="26" customWidth="1"/>
    <col min="7" max="7" width="25.109375" style="25" customWidth="1"/>
    <col min="8" max="8" width="17.88671875" style="25" customWidth="1"/>
    <col min="9" max="9" width="41.109375" style="25" customWidth="1"/>
    <col min="10" max="16384" width="17.44140625" style="25"/>
  </cols>
  <sheetData>
    <row r="1" spans="1:6" ht="23.4" x14ac:dyDescent="0.45">
      <c r="A1" s="102" t="str">
        <f>Raison_Sociale&amp;" - "&amp;Titre&amp;" - Marques"</f>
        <v>Sport Plus - Registre des ventes - Marques</v>
      </c>
      <c r="B1" s="107"/>
      <c r="C1" s="103"/>
      <c r="D1" s="103"/>
      <c r="E1" s="106"/>
      <c r="F1" s="104"/>
    </row>
    <row r="2" spans="1:6" x14ac:dyDescent="0.3">
      <c r="A2" s="46"/>
      <c r="B2" s="88">
        <f>SUBTOTAL(9,B4:B17)</f>
        <v>21</v>
      </c>
      <c r="C2" s="47">
        <f>SUBTOTAL(9,C4:C17)</f>
        <v>69</v>
      </c>
      <c r="D2" s="29">
        <f>SUBTOTAL(9,D4:D17)</f>
        <v>6004</v>
      </c>
      <c r="E2" s="28">
        <f>SUBTOTAL(1,E4:E17)</f>
        <v>4.4652131335137873E-2</v>
      </c>
      <c r="F2" s="29"/>
    </row>
    <row r="3" spans="1:6" ht="42" customHeight="1" x14ac:dyDescent="0.3">
      <c r="A3" s="103"/>
      <c r="B3" s="107"/>
      <c r="C3" s="103"/>
      <c r="D3" s="103"/>
      <c r="E3" s="106"/>
      <c r="F3" s="104"/>
    </row>
    <row r="4" spans="1:6" s="33" customFormat="1" ht="30.75" customHeight="1" x14ac:dyDescent="0.3">
      <c r="A4" s="48" t="s">
        <v>55</v>
      </c>
      <c r="B4" s="89" t="s">
        <v>88</v>
      </c>
      <c r="C4" s="42" t="s">
        <v>56</v>
      </c>
      <c r="D4" s="31" t="s">
        <v>47</v>
      </c>
      <c r="E4" s="43" t="s">
        <v>48</v>
      </c>
      <c r="F4" s="30" t="s">
        <v>31</v>
      </c>
    </row>
    <row r="5" spans="1:6" x14ac:dyDescent="0.3">
      <c r="A5" s="25" t="s">
        <v>74</v>
      </c>
      <c r="B5" s="90">
        <f>COUNTIF(Articles!C:C,A:A)</f>
        <v>5</v>
      </c>
      <c r="C5" s="49">
        <f>SUMIF(Ventes!N:N,A:A,Ventes!G:G)</f>
        <v>19</v>
      </c>
      <c r="D5" s="34">
        <f>SUMIF(Ventes!N:N,A:A,Ventes!H:H)</f>
        <v>390</v>
      </c>
      <c r="E5" s="35">
        <f>IFERROR(AVERAGEIF(Ventes!N:N,A:A,Ventes!F:F),"")</f>
        <v>0</v>
      </c>
      <c r="F5" s="3"/>
    </row>
    <row r="6" spans="1:6" x14ac:dyDescent="0.3">
      <c r="A6" s="25" t="s">
        <v>1</v>
      </c>
      <c r="B6" s="90">
        <f>COUNTIF(Articles!C:C,A:A)</f>
        <v>5</v>
      </c>
      <c r="C6" s="49">
        <f>SUMIF(Ventes!N:N,A:A,Ventes!G:G)</f>
        <v>17</v>
      </c>
      <c r="D6" s="34">
        <f>SUMIF(Ventes!N:N,A:A,Ventes!H:H)</f>
        <v>1658</v>
      </c>
      <c r="E6" s="35">
        <f>IFERROR(AVERAGEIF(Ventes!N:N,A:A,Ventes!F:F),"")</f>
        <v>3.2887700534759361E-2</v>
      </c>
      <c r="F6" s="3"/>
    </row>
    <row r="7" spans="1:6" x14ac:dyDescent="0.3">
      <c r="A7" s="25" t="s">
        <v>17</v>
      </c>
      <c r="B7" s="90">
        <f>COUNTIF(Articles!C:C,A:A)</f>
        <v>2</v>
      </c>
      <c r="C7" s="49">
        <f>SUMIF(Ventes!N:N,A:A,Ventes!G:G)</f>
        <v>6</v>
      </c>
      <c r="D7" s="34">
        <f>SUMIF(Ventes!N:N,A:A,Ventes!H:H)</f>
        <v>660</v>
      </c>
      <c r="E7" s="35">
        <f>IFERROR(AVERAGEIF(Ventes!N:N,A:A,Ventes!F:F),"")</f>
        <v>0</v>
      </c>
      <c r="F7" s="3"/>
    </row>
    <row r="8" spans="1:6" x14ac:dyDescent="0.3">
      <c r="A8" s="25" t="s">
        <v>19</v>
      </c>
      <c r="B8" s="90">
        <f>COUNTIF(Articles!C:C,A:A)</f>
        <v>1</v>
      </c>
      <c r="C8" s="49">
        <f>SUMIF(Ventes!N:N,A:A,Ventes!G:G)</f>
        <v>3</v>
      </c>
      <c r="D8" s="34">
        <f>SUMIF(Ventes!N:N,A:A,Ventes!H:H)</f>
        <v>225</v>
      </c>
      <c r="E8" s="35">
        <f>IFERROR(AVERAGEIF(Ventes!N:N,A:A,Ventes!F:F),"")</f>
        <v>6.25E-2</v>
      </c>
      <c r="F8" s="3"/>
    </row>
    <row r="9" spans="1:6" x14ac:dyDescent="0.3">
      <c r="A9" s="25" t="s">
        <v>89</v>
      </c>
      <c r="B9" s="90">
        <f>COUNTIF(Articles!C:C,A:A)</f>
        <v>1</v>
      </c>
      <c r="C9" s="49">
        <f>SUMIF(Ventes!N:N,A:A,Ventes!G:G)</f>
        <v>0</v>
      </c>
      <c r="D9" s="34">
        <f>SUMIF(Ventes!N:N,A:A,Ventes!H:H)</f>
        <v>0</v>
      </c>
      <c r="E9" s="35" t="str">
        <f>IFERROR(AVERAGEIF(Ventes!N:N,A:A,Ventes!F:F),"")</f>
        <v/>
      </c>
      <c r="F9" s="3"/>
    </row>
    <row r="10" spans="1:6" x14ac:dyDescent="0.3">
      <c r="A10" s="25" t="s">
        <v>18</v>
      </c>
      <c r="B10" s="90">
        <f>COUNTIF(Articles!C:C,A:A)</f>
        <v>2</v>
      </c>
      <c r="C10" s="49">
        <f>SUMIF(Ventes!N:N,A:A,Ventes!G:G)</f>
        <v>13</v>
      </c>
      <c r="D10" s="34">
        <f>SUMIF(Ventes!N:N,A:A,Ventes!H:H)</f>
        <v>1530</v>
      </c>
      <c r="E10" s="35">
        <f>IFERROR(AVERAGEIF(Ventes!N:N,A:A,Ventes!F:F),"")</f>
        <v>6.25E-2</v>
      </c>
      <c r="F10" s="3"/>
    </row>
    <row r="11" spans="1:6" x14ac:dyDescent="0.3">
      <c r="A11" s="25" t="s">
        <v>5</v>
      </c>
      <c r="B11" s="90">
        <f>COUNTIF(Articles!C:C,A:A)</f>
        <v>1</v>
      </c>
      <c r="C11" s="49">
        <f>SUMIF(Ventes!N:N,A:A,Ventes!G:G)</f>
        <v>4</v>
      </c>
      <c r="D11" s="34">
        <f>SUMIF(Ventes!N:N,A:A,Ventes!H:H)</f>
        <v>600</v>
      </c>
      <c r="E11" s="35">
        <f>IFERROR(AVERAGEIF(Ventes!N:N,A:A,Ventes!F:F),"")</f>
        <v>0</v>
      </c>
      <c r="F11" s="3"/>
    </row>
    <row r="12" spans="1:6" x14ac:dyDescent="0.3">
      <c r="A12" s="25" t="s">
        <v>90</v>
      </c>
      <c r="B12" s="90">
        <f>COUNTIF(Articles!C:C,A:A)</f>
        <v>2</v>
      </c>
      <c r="C12" s="49">
        <f>SUMIF(Ventes!N:N,A:A,Ventes!G:G)</f>
        <v>1</v>
      </c>
      <c r="D12" s="34">
        <f>SUMIF(Ventes!N:N,A:A,Ventes!H:H)</f>
        <v>67</v>
      </c>
      <c r="E12" s="35">
        <f>IFERROR(AVERAGEIF(Ventes!N:N,A:A,Ventes!F:F),"")</f>
        <v>0.16250000000000001</v>
      </c>
      <c r="F12" s="3"/>
    </row>
    <row r="13" spans="1:6" x14ac:dyDescent="0.3">
      <c r="A13" s="25" t="s">
        <v>93</v>
      </c>
      <c r="B13" s="90">
        <f>COUNTIF(Articles!C:C,A:A)</f>
        <v>0</v>
      </c>
      <c r="C13" s="49">
        <f>SUMIF(Ventes!N:N,A:A,Ventes!G:G)</f>
        <v>0</v>
      </c>
      <c r="D13" s="34">
        <f>SUMIF(Ventes!N:N,A:A,Ventes!H:H)</f>
        <v>0</v>
      </c>
      <c r="E13" s="35" t="str">
        <f>IFERROR(AVERAGEIF(Ventes!N:N,A:A,Ventes!F:F),"")</f>
        <v/>
      </c>
      <c r="F13" s="3"/>
    </row>
    <row r="14" spans="1:6" x14ac:dyDescent="0.3">
      <c r="A14" s="25" t="s">
        <v>20</v>
      </c>
      <c r="B14" s="90">
        <f>COUNTIF(Articles!C:C,A:A)</f>
        <v>1</v>
      </c>
      <c r="C14" s="49">
        <f>SUMIF(Ventes!N:N,A:A,Ventes!G:G)</f>
        <v>3</v>
      </c>
      <c r="D14" s="34">
        <f>SUMIF(Ventes!N:N,A:A,Ventes!H:H)</f>
        <v>750</v>
      </c>
      <c r="E14" s="35">
        <f>IFERROR(AVERAGEIF(Ventes!N:N,A:A,Ventes!F:F),"")</f>
        <v>0</v>
      </c>
      <c r="F14" s="3"/>
    </row>
    <row r="15" spans="1:6" x14ac:dyDescent="0.3">
      <c r="A15" s="25" t="s">
        <v>4</v>
      </c>
      <c r="B15" s="90">
        <f>COUNTIF(Articles!C:C,A:A)</f>
        <v>1</v>
      </c>
      <c r="C15" s="49">
        <f>SUMIF(Ventes!N:N,A:A,Ventes!G:G)</f>
        <v>3</v>
      </c>
      <c r="D15" s="34">
        <f>SUMIF(Ventes!N:N,A:A,Ventes!H:H)</f>
        <v>124</v>
      </c>
      <c r="E15" s="35">
        <f>IFERROR(AVERAGEIF(Ventes!N:N,A:A,Ventes!F:F),"")</f>
        <v>8.1481481481481474E-2</v>
      </c>
      <c r="F15" s="3"/>
    </row>
    <row r="16" spans="1:6" x14ac:dyDescent="0.3">
      <c r="A16" s="25" t="s">
        <v>9</v>
      </c>
      <c r="B16" s="90">
        <f>COUNTIF(Articles!C:C,A:A)</f>
        <v>0</v>
      </c>
      <c r="C16" s="49">
        <f>SUMIF(Ventes!N:N,A:A,Ventes!G:G)</f>
        <v>0</v>
      </c>
      <c r="D16" s="34">
        <f>SUMIF(Ventes!N:N,A:A,Ventes!H:H)</f>
        <v>0</v>
      </c>
      <c r="E16" s="35" t="str">
        <f>IFERROR(AVERAGEIF(Ventes!N:N,A:A,Ventes!F:F),"")</f>
        <v/>
      </c>
      <c r="F16" s="3"/>
    </row>
    <row r="17" spans="1:6" x14ac:dyDescent="0.3">
      <c r="A17" s="51"/>
      <c r="B17" s="88"/>
      <c r="C17" s="40"/>
      <c r="D17" s="29"/>
      <c r="E17" s="28"/>
      <c r="F17" s="36"/>
    </row>
  </sheetData>
  <sheetProtection sheet="1" objects="1" scenarios="1" sort="0" autoFilter="0" pivotTables="0"/>
  <autoFilter ref="A4:F13"/>
  <sortState ref="A5:F13">
    <sortCondition ref="A13"/>
  </sortState>
  <dataValidations count="1">
    <dataValidation type="list" allowBlank="1" showInputMessage="1" showErrorMessage="1" errorTitle="Choisir dans la liste" error="Choisir dans la liste !" sqref="A5:A16">
      <formula1>Liste_Marques</formula1>
    </dataValidation>
  </dataValidations>
  <pageMargins left="0.7" right="0.7" top="0.75" bottom="0.75" header="0.3" footer="0.3"/>
  <pageSetup paperSize="9" orientation="portrait" verticalDpi="0"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Q16"/>
  <sheetViews>
    <sheetView workbookViewId="0">
      <selection activeCell="C18" sqref="C18"/>
    </sheetView>
  </sheetViews>
  <sheetFormatPr baseColWidth="10" defaultRowHeight="14.4" x14ac:dyDescent="0.3"/>
  <cols>
    <col min="1" max="1" width="21" style="1" customWidth="1"/>
    <col min="2" max="5" width="20" customWidth="1"/>
    <col min="6" max="10" width="13.33203125" customWidth="1"/>
  </cols>
  <sheetData>
    <row r="1" spans="1:17" ht="23.4" x14ac:dyDescent="0.45">
      <c r="A1" s="79" t="str">
        <f>Raison_Sociale&amp;" - "&amp;Titre&amp;" - Satistiques des ventes"</f>
        <v>Sport Plus - Registre des ventes - Satistiques des ventes</v>
      </c>
    </row>
    <row r="2" spans="1:17" ht="39" customHeight="1" x14ac:dyDescent="0.3"/>
    <row r="4" spans="1:17" x14ac:dyDescent="0.3">
      <c r="A4" s="80" t="s">
        <v>15</v>
      </c>
      <c r="B4" s="8" t="s">
        <v>58</v>
      </c>
    </row>
    <row r="6" spans="1:17" x14ac:dyDescent="0.3">
      <c r="A6" s="80" t="s">
        <v>59</v>
      </c>
      <c r="B6" s="5" t="s">
        <v>84</v>
      </c>
    </row>
    <row r="7" spans="1:17" s="7" customFormat="1" x14ac:dyDescent="0.3">
      <c r="A7" s="81" t="s">
        <v>49</v>
      </c>
      <c r="B7" t="s">
        <v>80</v>
      </c>
      <c r="C7" t="s">
        <v>81</v>
      </c>
      <c r="D7" t="s">
        <v>82</v>
      </c>
      <c r="E7" s="8" t="s">
        <v>57</v>
      </c>
      <c r="F7"/>
      <c r="G7"/>
      <c r="H7"/>
      <c r="I7"/>
      <c r="J7"/>
      <c r="K7"/>
      <c r="L7"/>
      <c r="M7"/>
      <c r="N7"/>
      <c r="O7"/>
      <c r="P7"/>
      <c r="Q7"/>
    </row>
    <row r="8" spans="1:17" x14ac:dyDescent="0.3">
      <c r="A8" t="s">
        <v>77</v>
      </c>
      <c r="B8" s="6">
        <v>345</v>
      </c>
      <c r="C8" s="6">
        <v>350</v>
      </c>
      <c r="D8" s="6">
        <v>467</v>
      </c>
      <c r="E8" s="6">
        <v>1162</v>
      </c>
    </row>
    <row r="9" spans="1:17" x14ac:dyDescent="0.3">
      <c r="A9" s="1" t="s">
        <v>76</v>
      </c>
      <c r="B9" s="6">
        <v>805</v>
      </c>
      <c r="C9" s="6">
        <v>1655</v>
      </c>
      <c r="D9" s="6">
        <v>688</v>
      </c>
      <c r="E9" s="6">
        <v>3148</v>
      </c>
    </row>
    <row r="10" spans="1:17" x14ac:dyDescent="0.3">
      <c r="A10" t="s">
        <v>78</v>
      </c>
      <c r="B10" s="6">
        <v>650</v>
      </c>
      <c r="C10" s="6">
        <v>480</v>
      </c>
      <c r="D10" s="6">
        <v>317</v>
      </c>
      <c r="E10" s="6">
        <v>1447</v>
      </c>
    </row>
    <row r="11" spans="1:17" x14ac:dyDescent="0.3">
      <c r="A11" t="s">
        <v>118</v>
      </c>
      <c r="B11" s="6">
        <v>25</v>
      </c>
      <c r="C11" s="6"/>
      <c r="D11" s="6"/>
      <c r="E11" s="6">
        <v>25</v>
      </c>
    </row>
    <row r="12" spans="1:17" x14ac:dyDescent="0.3">
      <c r="A12" t="s">
        <v>92</v>
      </c>
      <c r="B12" s="6"/>
      <c r="C12" s="6">
        <v>67</v>
      </c>
      <c r="D12" s="6"/>
      <c r="E12" s="6">
        <v>67</v>
      </c>
    </row>
    <row r="13" spans="1:17" x14ac:dyDescent="0.3">
      <c r="A13" t="s">
        <v>121</v>
      </c>
      <c r="B13" s="6"/>
      <c r="C13" s="6">
        <v>25</v>
      </c>
      <c r="D13" s="6"/>
      <c r="E13" s="6">
        <v>25</v>
      </c>
    </row>
    <row r="14" spans="1:17" x14ac:dyDescent="0.3">
      <c r="A14" t="s">
        <v>123</v>
      </c>
      <c r="B14" s="6">
        <v>10</v>
      </c>
      <c r="C14" s="6"/>
      <c r="D14" s="6"/>
      <c r="E14" s="6">
        <v>10</v>
      </c>
    </row>
    <row r="15" spans="1:17" x14ac:dyDescent="0.3">
      <c r="A15" t="s">
        <v>125</v>
      </c>
      <c r="B15" s="6">
        <v>60</v>
      </c>
      <c r="C15" s="6"/>
      <c r="D15" s="6"/>
      <c r="E15" s="6">
        <v>60</v>
      </c>
    </row>
    <row r="16" spans="1:17" x14ac:dyDescent="0.3">
      <c r="A16" s="1" t="s">
        <v>57</v>
      </c>
      <c r="B16" s="6">
        <v>1895</v>
      </c>
      <c r="C16" s="6">
        <v>2577</v>
      </c>
      <c r="D16" s="6">
        <v>1472</v>
      </c>
      <c r="E16" s="6">
        <v>5944</v>
      </c>
    </row>
  </sheetData>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K47"/>
  <sheetViews>
    <sheetView tabSelected="1" topLeftCell="A13" workbookViewId="0">
      <selection activeCell="D32" sqref="D32"/>
    </sheetView>
  </sheetViews>
  <sheetFormatPr baseColWidth="10" defaultRowHeight="15.75" customHeight="1" x14ac:dyDescent="0.3"/>
  <cols>
    <col min="1" max="1" width="26.88671875" customWidth="1"/>
    <col min="2" max="2" width="41.33203125" style="1" customWidth="1"/>
  </cols>
  <sheetData>
    <row r="1" spans="1:11" ht="15.75" customHeight="1" x14ac:dyDescent="0.3">
      <c r="A1" s="9" t="s">
        <v>32</v>
      </c>
      <c r="B1" s="86" t="s">
        <v>119</v>
      </c>
    </row>
    <row r="2" spans="1:11" ht="15.75" customHeight="1" x14ac:dyDescent="0.3">
      <c r="A2" s="9" t="s">
        <v>35</v>
      </c>
      <c r="B2" s="86" t="s">
        <v>36</v>
      </c>
    </row>
    <row r="3" spans="1:11" ht="15.75" customHeight="1" x14ac:dyDescent="0.3">
      <c r="A3" s="9" t="s">
        <v>33</v>
      </c>
      <c r="B3" s="86">
        <v>2016</v>
      </c>
      <c r="C3" s="22"/>
      <c r="D3" s="22"/>
      <c r="E3" s="22"/>
      <c r="F3" s="22"/>
      <c r="G3" s="22"/>
      <c r="H3" s="22"/>
      <c r="I3" s="22"/>
      <c r="J3" s="22"/>
      <c r="K3" s="22"/>
    </row>
    <row r="4" spans="1:11" ht="15.75" customHeight="1" x14ac:dyDescent="0.3">
      <c r="A4" s="9" t="s">
        <v>34</v>
      </c>
      <c r="B4" s="86">
        <v>1</v>
      </c>
      <c r="C4" s="22"/>
      <c r="D4" s="22"/>
      <c r="E4" s="22"/>
      <c r="F4" s="22"/>
      <c r="G4" s="22"/>
      <c r="H4" s="22"/>
      <c r="I4" s="22"/>
      <c r="J4" s="22"/>
      <c r="K4" s="22"/>
    </row>
    <row r="5" spans="1:11" ht="15.75" customHeight="1" x14ac:dyDescent="0.3">
      <c r="C5" s="22"/>
      <c r="D5" s="22"/>
      <c r="E5" s="22"/>
      <c r="F5" s="22"/>
      <c r="G5" s="22"/>
      <c r="H5" s="22"/>
      <c r="I5" s="22"/>
      <c r="J5" s="22"/>
      <c r="K5" s="22"/>
    </row>
    <row r="6" spans="1:11" ht="15.75" customHeight="1" x14ac:dyDescent="0.3">
      <c r="A6" s="18" t="s">
        <v>73</v>
      </c>
      <c r="B6" s="19"/>
      <c r="C6" s="23"/>
      <c r="D6" s="22"/>
      <c r="E6" s="22"/>
      <c r="F6" s="22"/>
      <c r="G6" s="22"/>
      <c r="H6" s="22"/>
      <c r="I6" s="22"/>
      <c r="J6" s="22"/>
      <c r="K6" s="22"/>
    </row>
    <row r="7" spans="1:11" ht="15.75" customHeight="1" x14ac:dyDescent="0.3">
      <c r="A7" s="20" t="s">
        <v>11</v>
      </c>
      <c r="B7" s="21" t="s">
        <v>64</v>
      </c>
      <c r="C7" s="23">
        <f ca="1">IF(ISNUMBER(MATCH(VD_Nature,Liste_Natures,0)-1),MATCH(VD_Nature,Liste_Natures,0)-1,"")</f>
        <v>4</v>
      </c>
      <c r="D7" s="22"/>
      <c r="E7" s="22"/>
      <c r="F7" s="22"/>
      <c r="G7" s="22"/>
      <c r="H7" s="22"/>
      <c r="I7" s="22"/>
      <c r="J7" s="22"/>
      <c r="K7" s="22"/>
    </row>
    <row r="8" spans="1:11" ht="15.75" customHeight="1" x14ac:dyDescent="0.3">
      <c r="A8" s="20" t="s">
        <v>15</v>
      </c>
      <c r="B8" s="21" t="s">
        <v>40</v>
      </c>
      <c r="C8" s="23">
        <f ca="1">IF(ISNUMBER(MATCH(VD_Catégorie,Liste_Catégories,0)-1),MATCH(VD_Catégorie,Liste_Catégories,0)-1,"")</f>
        <v>4</v>
      </c>
      <c r="D8" s="22"/>
      <c r="E8" s="22"/>
      <c r="F8" s="22"/>
      <c r="G8" s="22"/>
      <c r="H8" s="22"/>
      <c r="I8" s="22"/>
      <c r="J8" s="22"/>
      <c r="K8" s="22"/>
    </row>
    <row r="9" spans="1:11" ht="15.75" customHeight="1" x14ac:dyDescent="0.3">
      <c r="A9" s="20" t="s">
        <v>16</v>
      </c>
      <c r="B9" s="21" t="s">
        <v>21</v>
      </c>
      <c r="C9" s="23">
        <f ca="1">IF(ISNUMBER(MATCH(VD_Type,Liste_Types,0)-1),MATCH(VD_Type,Liste_Types,0)-1,"")</f>
        <v>3</v>
      </c>
      <c r="D9" s="22"/>
      <c r="E9" s="22"/>
      <c r="F9" s="22"/>
      <c r="G9" s="22"/>
      <c r="H9" s="22"/>
      <c r="I9" s="22"/>
      <c r="J9" s="22"/>
      <c r="K9" s="22"/>
    </row>
    <row r="10" spans="1:11" ht="15.75" customHeight="1" x14ac:dyDescent="0.3">
      <c r="A10" s="20" t="s">
        <v>0</v>
      </c>
      <c r="B10" s="21" t="s">
        <v>89</v>
      </c>
      <c r="C10" s="23">
        <f ca="1">IF(ISNUMBER(MATCH(VD_Marque,Liste_Marques,0)-1),MATCH(VD_Marque,Liste_Marques,0)-1,"")</f>
        <v>5</v>
      </c>
      <c r="D10" s="22"/>
      <c r="E10" s="22"/>
      <c r="F10" s="22"/>
      <c r="G10" s="22"/>
      <c r="H10" s="22"/>
      <c r="I10" s="22"/>
      <c r="J10" s="22"/>
      <c r="K10" s="22"/>
    </row>
    <row r="11" spans="1:11" ht="15.75" customHeight="1" x14ac:dyDescent="0.3">
      <c r="A11" s="20" t="s">
        <v>84</v>
      </c>
      <c r="B11" s="21" t="s">
        <v>80</v>
      </c>
      <c r="C11" s="23">
        <f>IF(ISNUMBER(MATCH(VD_Mode_Règlement,Modes_Règlement,0)-1),MATCH(VD_Mode_Règlement,Modes_Règlement,0)-1,"")</f>
        <v>1</v>
      </c>
      <c r="D11" s="22"/>
      <c r="E11" s="22"/>
      <c r="F11" s="22"/>
      <c r="G11" s="22"/>
      <c r="H11" s="22"/>
      <c r="I11" s="22"/>
      <c r="J11" s="22"/>
      <c r="K11" s="22"/>
    </row>
    <row r="12" spans="1:11" ht="15.75" customHeight="1" x14ac:dyDescent="0.3">
      <c r="A12" s="18"/>
      <c r="B12" s="19"/>
      <c r="C12" s="24"/>
      <c r="D12" s="22"/>
      <c r="E12" s="22"/>
      <c r="F12" s="22"/>
      <c r="G12" s="22"/>
      <c r="H12" s="22"/>
      <c r="I12" s="22"/>
      <c r="J12" s="22"/>
      <c r="K12" s="22"/>
    </row>
    <row r="13" spans="1:11" ht="15.75" customHeight="1" x14ac:dyDescent="0.3">
      <c r="A13" s="10"/>
      <c r="B13" s="17" t="e">
        <f>VLOOKUP("Essai",Coordonnées_Arrivées,2,FALSE)</f>
        <v>#NAME?</v>
      </c>
      <c r="C13" s="22"/>
      <c r="D13" s="22"/>
      <c r="E13" s="22"/>
      <c r="F13" s="22"/>
      <c r="G13" s="22"/>
      <c r="H13" s="22"/>
      <c r="I13" s="22"/>
      <c r="J13" s="22"/>
      <c r="K13" s="22"/>
    </row>
    <row r="14" spans="1:11" ht="15.75" customHeight="1" x14ac:dyDescent="0.3">
      <c r="A14" s="13" t="s">
        <v>65</v>
      </c>
      <c r="B14" s="9"/>
      <c r="C14" s="22"/>
      <c r="D14" s="22"/>
      <c r="E14" s="22"/>
      <c r="F14" s="22"/>
      <c r="G14" s="22"/>
      <c r="H14" s="22"/>
      <c r="I14" s="22"/>
      <c r="J14" s="22"/>
      <c r="K14" s="22"/>
    </row>
    <row r="15" spans="1:11" ht="15.75" customHeight="1" x14ac:dyDescent="0.3">
      <c r="A15" s="14" t="s">
        <v>66</v>
      </c>
      <c r="B15" s="15" t="s">
        <v>67</v>
      </c>
      <c r="C15" s="22"/>
      <c r="D15" s="22"/>
      <c r="E15" s="22"/>
      <c r="F15" s="22"/>
      <c r="G15" s="22"/>
      <c r="H15" s="22"/>
      <c r="I15" s="22"/>
      <c r="J15" s="22"/>
      <c r="K15" s="22"/>
    </row>
    <row r="16" spans="1:11" ht="15.75" customHeight="1" x14ac:dyDescent="0.3">
      <c r="A16" s="14" t="s">
        <v>68</v>
      </c>
      <c r="B16" s="15" t="s">
        <v>69</v>
      </c>
      <c r="C16" s="22"/>
      <c r="D16" s="22"/>
      <c r="E16" s="22"/>
      <c r="F16" s="22"/>
      <c r="G16" s="22"/>
      <c r="H16" s="22"/>
      <c r="I16" s="22"/>
      <c r="J16" s="22"/>
      <c r="K16" s="22"/>
    </row>
    <row r="17" spans="1:11" ht="15.75" customHeight="1" x14ac:dyDescent="0.3">
      <c r="A17" s="14" t="s">
        <v>70</v>
      </c>
      <c r="B17" s="15" t="s">
        <v>69</v>
      </c>
      <c r="C17" s="22"/>
      <c r="D17" s="22"/>
      <c r="E17" s="22"/>
      <c r="F17" s="22"/>
      <c r="G17" s="22"/>
      <c r="H17" s="22"/>
      <c r="I17" s="22"/>
      <c r="J17" s="22"/>
      <c r="K17" s="22"/>
    </row>
    <row r="18" spans="1:11" ht="15.75" customHeight="1" x14ac:dyDescent="0.3">
      <c r="A18" s="14" t="s">
        <v>71</v>
      </c>
      <c r="B18" s="15" t="s">
        <v>69</v>
      </c>
    </row>
    <row r="19" spans="1:11" ht="15.75" customHeight="1" x14ac:dyDescent="0.3">
      <c r="A19" s="13"/>
      <c r="B19" s="9"/>
    </row>
    <row r="20" spans="1:11" ht="15.75" customHeight="1" x14ac:dyDescent="0.3">
      <c r="A20" s="10"/>
      <c r="B20" s="11"/>
    </row>
    <row r="21" spans="1:11" ht="15.75" customHeight="1" x14ac:dyDescent="0.3">
      <c r="A21" s="12" t="s">
        <v>72</v>
      </c>
      <c r="B21" s="16">
        <f>IFERROR(VLOOKUP("Chaussures de foot Adidas F10",Articles,5,FALSE),"")</f>
        <v>60</v>
      </c>
    </row>
    <row r="23" spans="1:11" ht="15.75" customHeight="1" x14ac:dyDescent="0.3">
      <c r="A23" s="18" t="s">
        <v>79</v>
      </c>
      <c r="B23"/>
    </row>
    <row r="24" spans="1:11" ht="15.75" customHeight="1" x14ac:dyDescent="0.3">
      <c r="A24" s="21" t="s">
        <v>80</v>
      </c>
      <c r="B24"/>
    </row>
    <row r="25" spans="1:11" ht="15.75" customHeight="1" x14ac:dyDescent="0.3">
      <c r="A25" s="21" t="s">
        <v>120</v>
      </c>
      <c r="B25"/>
    </row>
    <row r="26" spans="1:11" ht="15.75" customHeight="1" x14ac:dyDescent="0.3">
      <c r="A26" s="21" t="s">
        <v>82</v>
      </c>
      <c r="B26"/>
    </row>
    <row r="27" spans="1:11" ht="15.75" customHeight="1" x14ac:dyDescent="0.3">
      <c r="A27" s="21" t="s">
        <v>83</v>
      </c>
      <c r="B27"/>
    </row>
    <row r="28" spans="1:11" ht="15.75" customHeight="1" x14ac:dyDescent="0.3">
      <c r="A28" s="18"/>
      <c r="B28"/>
    </row>
    <row r="30" spans="1:11" ht="15.75" customHeight="1" x14ac:dyDescent="0.3">
      <c r="A30" s="109" t="s">
        <v>127</v>
      </c>
      <c r="B30" s="109"/>
    </row>
    <row r="31" spans="1:11" ht="15.75" customHeight="1" x14ac:dyDescent="0.3">
      <c r="A31" s="109"/>
      <c r="B31" s="109"/>
    </row>
    <row r="32" spans="1:11" ht="15.75" customHeight="1" x14ac:dyDescent="0.3">
      <c r="A32" s="109"/>
      <c r="B32" s="109"/>
    </row>
    <row r="33" spans="1:2" ht="15.75" customHeight="1" x14ac:dyDescent="0.3">
      <c r="A33" s="109"/>
      <c r="B33" s="109"/>
    </row>
    <row r="34" spans="1:2" ht="15.75" customHeight="1" x14ac:dyDescent="0.3">
      <c r="A34" s="109"/>
      <c r="B34" s="109"/>
    </row>
    <row r="35" spans="1:2" ht="15.75" customHeight="1" x14ac:dyDescent="0.3">
      <c r="A35" s="109"/>
      <c r="B35" s="109"/>
    </row>
    <row r="36" spans="1:2" ht="15.75" customHeight="1" x14ac:dyDescent="0.3">
      <c r="A36" s="109"/>
      <c r="B36" s="109"/>
    </row>
    <row r="37" spans="1:2" ht="15.75" customHeight="1" x14ac:dyDescent="0.3">
      <c r="A37" s="109"/>
      <c r="B37" s="109"/>
    </row>
    <row r="38" spans="1:2" ht="15.75" customHeight="1" x14ac:dyDescent="0.3">
      <c r="A38" s="108"/>
      <c r="B38" s="108"/>
    </row>
    <row r="39" spans="1:2" ht="15.75" customHeight="1" x14ac:dyDescent="0.3">
      <c r="A39" s="108"/>
      <c r="B39" s="108"/>
    </row>
    <row r="40" spans="1:2" ht="15.75" customHeight="1" x14ac:dyDescent="0.3">
      <c r="A40" s="108"/>
      <c r="B40" s="108"/>
    </row>
    <row r="41" spans="1:2" ht="15.75" customHeight="1" x14ac:dyDescent="0.3">
      <c r="A41" s="108"/>
      <c r="B41" s="108"/>
    </row>
    <row r="42" spans="1:2" ht="15.75" customHeight="1" x14ac:dyDescent="0.3">
      <c r="A42" s="108"/>
      <c r="B42" s="108"/>
    </row>
    <row r="43" spans="1:2" ht="15.75" customHeight="1" x14ac:dyDescent="0.3">
      <c r="A43" s="108"/>
      <c r="B43" s="108"/>
    </row>
    <row r="44" spans="1:2" ht="15.75" customHeight="1" x14ac:dyDescent="0.3">
      <c r="A44" s="108"/>
      <c r="B44" s="108"/>
    </row>
    <row r="45" spans="1:2" ht="15.75" customHeight="1" x14ac:dyDescent="0.3">
      <c r="A45" s="108"/>
      <c r="B45" s="108"/>
    </row>
    <row r="46" spans="1:2" ht="15.75" customHeight="1" x14ac:dyDescent="0.3">
      <c r="A46" s="108"/>
      <c r="B46" s="108"/>
    </row>
    <row r="47" spans="1:2" ht="15.75" customHeight="1" x14ac:dyDescent="0.3">
      <c r="A47" s="108"/>
      <c r="B47" s="108"/>
    </row>
  </sheetData>
  <mergeCells count="1">
    <mergeCell ref="A30:B37"/>
  </mergeCells>
  <conditionalFormatting sqref="B7">
    <cfRule type="expression" dxfId="4" priority="10">
      <formula>OR(AND(ISERROR(VLOOKUP(B7,Liste_Natures,1,FALSE)),LEN(B7)&gt;0),B7="Libellé")</formula>
    </cfRule>
  </conditionalFormatting>
  <conditionalFormatting sqref="B11">
    <cfRule type="expression" dxfId="3" priority="7">
      <formula>OR(AND(ISERROR(VLOOKUP(B11,Modes_Règlement,1,FALSE)),LEN(B11)&gt;0),B11="Modes de règlement")</formula>
    </cfRule>
  </conditionalFormatting>
  <conditionalFormatting sqref="B8">
    <cfRule type="expression" dxfId="2" priority="6">
      <formula>OR(AND(ISERROR(VLOOKUP(B8,Liste_Catégories,1,FALSE)),LEN(B8)&gt;0),B8="Libellé")</formula>
    </cfRule>
  </conditionalFormatting>
  <conditionalFormatting sqref="B10">
    <cfRule type="expression" dxfId="1" priority="1">
      <formula>OR(AND(ISERROR(VLOOKUP(B10,Liste_Marques,1,FALSE)),LEN(B10)&gt;0),B10="Libellé")</formula>
    </cfRule>
  </conditionalFormatting>
  <dataValidations count="6">
    <dataValidation type="list" allowBlank="1" showInputMessage="1" showErrorMessage="1" errorTitle="Choisir dans la liste" error="Choisir dans la liste !" sqref="B10">
      <formula1>Liste_Marques</formula1>
    </dataValidation>
    <dataValidation type="list" showInputMessage="1" showErrorMessage="1" errorTitle="Choisir dans la liste" error="Choisir dans la liste !" sqref="B9">
      <formula1>Liste_Types</formula1>
    </dataValidation>
    <dataValidation type="list" showInputMessage="1" showErrorMessage="1" errorTitle="Choisir dans la liste" error="Choisir dans la liste !" sqref="B8">
      <formula1>Liste_Catégories</formula1>
    </dataValidation>
    <dataValidation type="list" showInputMessage="1" showErrorMessage="1" errorTitle="Choisir dans la liste" error="Choisir dans la liste !" sqref="B7">
      <formula1>Liste_Natures</formula1>
    </dataValidation>
    <dataValidation type="list" allowBlank="1" showInputMessage="1" showErrorMessage="1" errorTitle="Choisissez dans la liste !" error="Choisissez dans la liste !" promptTitle="Choisissez dans la liste" prompt="Choisissez dans la liste" sqref="B15:B18">
      <formula1>"oui,non"</formula1>
    </dataValidation>
    <dataValidation type="list" allowBlank="1" showInputMessage="1" showErrorMessage="1" errorTitle="Choisir dans la liste" error="Choisir dans la liste !" sqref="B11">
      <formula1>Modes_Règlement</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26</vt:i4>
      </vt:variant>
    </vt:vector>
  </HeadingPairs>
  <TitlesOfParts>
    <vt:vector size="35" baseType="lpstr">
      <vt:lpstr>Accueil</vt:lpstr>
      <vt:lpstr>Ventes</vt:lpstr>
      <vt:lpstr>Articles</vt:lpstr>
      <vt:lpstr>Natures</vt:lpstr>
      <vt:lpstr>Catégories</vt:lpstr>
      <vt:lpstr>Types</vt:lpstr>
      <vt:lpstr>Marques</vt:lpstr>
      <vt:lpstr>Statistiques</vt:lpstr>
      <vt:lpstr>Paramètres</vt:lpstr>
      <vt:lpstr>Afficher_Entêtes</vt:lpstr>
      <vt:lpstr>Afficher_Feuilles</vt:lpstr>
      <vt:lpstr>Afficher_Formules</vt:lpstr>
      <vt:lpstr>Année_Réf</vt:lpstr>
      <vt:lpstr>Appliquer_Plein_écran</vt:lpstr>
      <vt:lpstr>Articles</vt:lpstr>
      <vt:lpstr>Catégories</vt:lpstr>
      <vt:lpstr>Cellule_Travail</vt:lpstr>
      <vt:lpstr>Marques</vt:lpstr>
      <vt:lpstr>Modes_Règlement</vt:lpstr>
      <vt:lpstr>Natures</vt:lpstr>
      <vt:lpstr>Nb_Caisses</vt:lpstr>
      <vt:lpstr>Raison_Sociale</vt:lpstr>
      <vt:lpstr>Titre</vt:lpstr>
      <vt:lpstr>Types</vt:lpstr>
      <vt:lpstr>VD_Catégorie</vt:lpstr>
      <vt:lpstr>VD_Catégorie_Item</vt:lpstr>
      <vt:lpstr>VD_Marque</vt:lpstr>
      <vt:lpstr>VD_Marque_Item</vt:lpstr>
      <vt:lpstr>VD_Mode_Règlement</vt:lpstr>
      <vt:lpstr>VD_Mode_Règlement_Item</vt:lpstr>
      <vt:lpstr>VD_Nature</vt:lpstr>
      <vt:lpstr>VD_Nature_Item</vt:lpstr>
      <vt:lpstr>VD_Type</vt:lpstr>
      <vt:lpstr>VD_Type_Item</vt:lpstr>
      <vt:lpstr>Ventes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Closon</dc:creator>
  <cp:lastModifiedBy>epcs</cp:lastModifiedBy>
  <dcterms:created xsi:type="dcterms:W3CDTF">2015-12-18T00:38:39Z</dcterms:created>
  <dcterms:modified xsi:type="dcterms:W3CDTF">2016-01-19T15:27:40Z</dcterms:modified>
</cp:coreProperties>
</file>