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165" windowWidth="8760" windowHeight="9645" tabRatio="607" activeTab="6"/>
  </bookViews>
  <sheets>
    <sheet name="Page principal" sheetId="11" r:id="rId1"/>
    <sheet name="Facture" sheetId="1" r:id="rId2"/>
    <sheet name="Stock" sheetId="10" r:id="rId3"/>
    <sheet name="Clients" sheetId="5" r:id="rId4"/>
    <sheet name="TPS" sheetId="3" r:id="rId5"/>
    <sheet name="TVQ" sheetId="9" r:id="rId6"/>
    <sheet name="Production" sheetId="2" r:id="rId7"/>
    <sheet name="Transport" sheetId="6" r:id="rId8"/>
    <sheet name="Historique des factures" sheetId="8" r:id="rId9"/>
  </sheets>
  <definedNames>
    <definedName name="Adresse">Clients!$D:$D</definedName>
    <definedName name="Codepostal">Clients!$F:$F</definedName>
    <definedName name="Description">Stock!$B:$B</definedName>
    <definedName name="Egalaa">Clients!$J:$J</definedName>
    <definedName name="Identite">Clients!$A:$A</definedName>
    <definedName name="Identité">Clients!$A$7</definedName>
    <definedName name="Manque">Stock!$H:$H</definedName>
    <definedName name="Minimum">Stock!$G:$G</definedName>
    <definedName name="Montanttotal">Clients!$I:$I</definedName>
    <definedName name="Nom">Clients!$B:$B</definedName>
    <definedName name="Prenom">Clients!$C:$C</definedName>
    <definedName name="Prix">Stock!$D:$D</definedName>
    <definedName name="Quantite">Stock!$C:$C</definedName>
    <definedName name="Reference">Stock!$A:$A</definedName>
    <definedName name="Reference1">Production!#REF!</definedName>
    <definedName name="Reference2">Production!#REF!</definedName>
    <definedName name="Tel">Clients!$G:$G</definedName>
    <definedName name="Totalfactures">Clients!$H:$H</definedName>
    <definedName name="TPS">Stock!$E:$E</definedName>
    <definedName name="TVQ">Stock!$F:$F</definedName>
    <definedName name="_xlnm.Print_Area" localSheetId="1">Facture!$A$1:$H$40</definedName>
  </definedNames>
  <calcPr calcId="145621"/>
</workbook>
</file>

<file path=xl/calcChain.xml><?xml version="1.0" encoding="utf-8"?>
<calcChain xmlns="http://schemas.openxmlformats.org/spreadsheetml/2006/main">
  <c r="C2" i="10" l="1"/>
  <c r="E2" i="8" l="1"/>
  <c r="A3" i="10" l="1"/>
  <c r="A2" i="10"/>
  <c r="I2" i="10" s="1"/>
  <c r="B3" i="10"/>
  <c r="B2" i="10"/>
  <c r="I3" i="10"/>
  <c r="E8" i="2"/>
  <c r="E10" i="2"/>
  <c r="E12" i="2"/>
  <c r="E15" i="2"/>
  <c r="E16" i="2"/>
  <c r="E17" i="2"/>
  <c r="E18" i="2"/>
  <c r="E19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46" i="2"/>
  <c r="E47" i="2"/>
  <c r="E48" i="2"/>
  <c r="E49" i="2"/>
  <c r="E50" i="2"/>
  <c r="E52" i="2"/>
  <c r="E53" i="2"/>
  <c r="E54" i="2"/>
  <c r="E55" i="2"/>
  <c r="E56" i="2"/>
  <c r="E57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F3" i="11" l="1"/>
  <c r="G3" i="11"/>
  <c r="H3" i="11"/>
  <c r="I3" i="11"/>
  <c r="J3" i="11"/>
  <c r="K3" i="11"/>
  <c r="L3" i="11"/>
  <c r="M3" i="11"/>
  <c r="N3" i="11"/>
  <c r="O3" i="11"/>
  <c r="P3" i="11"/>
  <c r="E3" i="11"/>
  <c r="E6" i="8"/>
  <c r="E4" i="8"/>
  <c r="E5" i="8"/>
  <c r="E3" i="8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A2" i="5"/>
  <c r="H2" i="5" s="1"/>
  <c r="I2" i="5"/>
  <c r="B25" i="11"/>
  <c r="B26" i="11"/>
  <c r="B24" i="11"/>
  <c r="B23" i="11"/>
  <c r="B22" i="11"/>
  <c r="G1" i="1"/>
  <c r="B21" i="11" l="1"/>
  <c r="J2" i="5"/>
  <c r="E13" i="1"/>
  <c r="A3" i="5"/>
  <c r="F13" i="1" l="1"/>
  <c r="I3" i="5"/>
  <c r="H3" i="5"/>
  <c r="F38" i="1"/>
  <c r="F37" i="1"/>
  <c r="F36" i="1"/>
  <c r="F30" i="1"/>
  <c r="D37" i="1" l="1"/>
  <c r="D36" i="1"/>
  <c r="C37" i="1"/>
  <c r="C36" i="1"/>
  <c r="F27" i="1"/>
  <c r="G27" i="1" l="1"/>
  <c r="D4" i="10" l="1"/>
  <c r="J13" i="5" l="1"/>
  <c r="D7" i="1" l="1"/>
  <c r="D5" i="1"/>
  <c r="D6" i="1"/>
  <c r="D4" i="1"/>
  <c r="J3" i="5"/>
  <c r="E42" i="2"/>
  <c r="E2" i="2"/>
  <c r="U1" i="8"/>
  <c r="C34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I27" i="1" s="1"/>
  <c r="H27" i="1" s="1"/>
  <c r="E28" i="1"/>
  <c r="E29" i="1"/>
  <c r="E30" i="1"/>
  <c r="E31" i="1"/>
  <c r="E32" i="1"/>
  <c r="E33" i="1"/>
  <c r="E34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E51" i="2" l="1"/>
  <c r="E45" i="2"/>
  <c r="E58" i="2"/>
  <c r="E7" i="2"/>
  <c r="E9" i="2"/>
  <c r="E11" i="2"/>
  <c r="E13" i="2"/>
  <c r="E5" i="2"/>
  <c r="E6" i="2"/>
  <c r="E14" i="2"/>
  <c r="E20" i="2"/>
  <c r="G13" i="1"/>
  <c r="F33" i="1"/>
  <c r="G33" i="1" s="1"/>
  <c r="I33" i="1"/>
  <c r="F32" i="1"/>
  <c r="G32" i="1" s="1"/>
  <c r="I32" i="1"/>
  <c r="F31" i="1"/>
  <c r="G31" i="1" s="1"/>
  <c r="I31" i="1"/>
  <c r="G30" i="1"/>
  <c r="I30" i="1"/>
  <c r="F29" i="1"/>
  <c r="G29" i="1" s="1"/>
  <c r="I29" i="1"/>
  <c r="F28" i="1"/>
  <c r="G28" i="1" s="1"/>
  <c r="I28" i="1"/>
  <c r="F25" i="1"/>
  <c r="G25" i="1" s="1"/>
  <c r="I25" i="1"/>
  <c r="F24" i="1"/>
  <c r="G24" i="1" s="1"/>
  <c r="I24" i="1"/>
  <c r="F23" i="1"/>
  <c r="G23" i="1" s="1"/>
  <c r="I23" i="1"/>
  <c r="F22" i="1"/>
  <c r="G22" i="1" s="1"/>
  <c r="I22" i="1"/>
  <c r="F21" i="1"/>
  <c r="G21" i="1" s="1"/>
  <c r="I21" i="1"/>
  <c r="F20" i="1"/>
  <c r="I20" i="1"/>
  <c r="F19" i="1"/>
  <c r="I19" i="1"/>
  <c r="I17" i="1"/>
  <c r="F17" i="1"/>
  <c r="I15" i="1"/>
  <c r="F15" i="1"/>
  <c r="I26" i="1"/>
  <c r="F26" i="1"/>
  <c r="I18" i="1"/>
  <c r="F18" i="1"/>
  <c r="I16" i="1"/>
  <c r="F16" i="1"/>
  <c r="I14" i="1"/>
  <c r="F14" i="1"/>
  <c r="F34" i="1"/>
  <c r="I34" i="1"/>
  <c r="I13" i="1"/>
  <c r="G15" i="1"/>
  <c r="C3" i="6"/>
  <c r="D3" i="6" s="1"/>
  <c r="D39" i="2"/>
  <c r="D79" i="2"/>
  <c r="H3" i="10" l="1"/>
  <c r="E79" i="2"/>
  <c r="G14" i="1"/>
  <c r="H37" i="1"/>
  <c r="H13" i="1"/>
  <c r="I35" i="1"/>
  <c r="H14" i="1"/>
  <c r="F35" i="1"/>
  <c r="H33" i="1"/>
  <c r="H32" i="1"/>
  <c r="H31" i="1"/>
  <c r="H30" i="1"/>
  <c r="H29" i="1"/>
  <c r="H28" i="1"/>
  <c r="H25" i="1"/>
  <c r="H24" i="1"/>
  <c r="H23" i="1"/>
  <c r="H22" i="1"/>
  <c r="H21" i="1"/>
  <c r="G34" i="1"/>
  <c r="H34" i="1" s="1"/>
  <c r="G19" i="1"/>
  <c r="H19" i="1" s="1"/>
  <c r="G20" i="1"/>
  <c r="H20" i="1" s="1"/>
  <c r="G16" i="1"/>
  <c r="H16" i="1" s="1"/>
  <c r="G18" i="1"/>
  <c r="H18" i="1" s="1"/>
  <c r="H15" i="1"/>
  <c r="G17" i="1"/>
  <c r="H17" i="1" s="1"/>
  <c r="G26" i="1"/>
  <c r="H26" i="1" s="1"/>
  <c r="H2" i="10"/>
  <c r="E39" i="2"/>
  <c r="H38" i="1" l="1"/>
  <c r="H36" i="1" s="1"/>
  <c r="G35" i="1"/>
  <c r="H35" i="1" s="1"/>
  <c r="H39" i="1" l="1"/>
</calcChain>
</file>

<file path=xl/sharedStrings.xml><?xml version="1.0" encoding="utf-8"?>
<sst xmlns="http://schemas.openxmlformats.org/spreadsheetml/2006/main" count="187" uniqueCount="98">
  <si>
    <t>TPS</t>
  </si>
  <si>
    <t>TVQ</t>
  </si>
  <si>
    <t>Numéro de facture:</t>
  </si>
  <si>
    <t>Date :</t>
  </si>
  <si>
    <t>Date:</t>
  </si>
  <si>
    <t>Quantitée</t>
  </si>
  <si>
    <t>Total :</t>
  </si>
  <si>
    <t>Item</t>
  </si>
  <si>
    <t xml:space="preserve">Total </t>
  </si>
  <si>
    <t>Cout du transport par kilomètre</t>
  </si>
  <si>
    <t>Minimum</t>
  </si>
  <si>
    <t>Taux</t>
  </si>
  <si>
    <t>Ref</t>
  </si>
  <si>
    <t>Description</t>
  </si>
  <si>
    <t>Manque</t>
  </si>
  <si>
    <t>Kilomètres</t>
  </si>
  <si>
    <t>Cout/ Kilomètre</t>
  </si>
  <si>
    <t>Total</t>
  </si>
  <si>
    <r>
      <t>Quantitée de foin
1</t>
    </r>
    <r>
      <rPr>
        <b/>
        <vertAlign val="superscript"/>
        <sz val="12"/>
        <color theme="1"/>
        <rFont val="Calibri"/>
        <family val="2"/>
        <scheme val="minor"/>
      </rPr>
      <t>re</t>
    </r>
    <r>
      <rPr>
        <b/>
        <sz val="12"/>
        <color theme="1"/>
        <rFont val="Calibri"/>
        <family val="2"/>
        <scheme val="minor"/>
      </rPr>
      <t xml:space="preserve"> coupe:</t>
    </r>
  </si>
  <si>
    <r>
      <t>Quantitée de foin
2</t>
    </r>
    <r>
      <rPr>
        <b/>
        <vertAlign val="superscript"/>
        <sz val="12"/>
        <color theme="1"/>
        <rFont val="Calibri"/>
        <family val="2"/>
        <scheme val="minor"/>
      </rPr>
      <t>de</t>
    </r>
    <r>
      <rPr>
        <b/>
        <sz val="12"/>
        <color theme="1"/>
        <rFont val="Calibri"/>
        <family val="2"/>
        <scheme val="minor"/>
      </rPr>
      <t xml:space="preserve"> coupe:</t>
    </r>
  </si>
  <si>
    <r>
      <t>Prix unitaire du foin
 1</t>
    </r>
    <r>
      <rPr>
        <b/>
        <vertAlign val="superscript"/>
        <sz val="12"/>
        <color theme="1"/>
        <rFont val="Calibri"/>
        <family val="2"/>
        <scheme val="minor"/>
      </rPr>
      <t>re</t>
    </r>
    <r>
      <rPr>
        <b/>
        <sz val="12"/>
        <color theme="1"/>
        <rFont val="Calibri"/>
        <family val="2"/>
        <scheme val="minor"/>
      </rPr>
      <t xml:space="preserve"> coupe:</t>
    </r>
  </si>
  <si>
    <r>
      <t>Prix unitaire du foin
2</t>
    </r>
    <r>
      <rPr>
        <b/>
        <vertAlign val="superscript"/>
        <sz val="12"/>
        <color theme="1"/>
        <rFont val="Calibri"/>
        <family val="2"/>
        <scheme val="minor"/>
      </rPr>
      <t>de</t>
    </r>
    <r>
      <rPr>
        <b/>
        <sz val="12"/>
        <color theme="1"/>
        <rFont val="Calibri"/>
        <family val="2"/>
        <scheme val="minor"/>
      </rPr>
      <t xml:space="preserve"> coupe:</t>
    </r>
  </si>
  <si>
    <t>Prix AT</t>
  </si>
  <si>
    <t>Prix
unitaire</t>
  </si>
  <si>
    <t>Nom</t>
  </si>
  <si>
    <t>Prénom</t>
  </si>
  <si>
    <t>Adresse</t>
  </si>
  <si>
    <t>Tel:</t>
  </si>
  <si>
    <t>Ville</t>
  </si>
  <si>
    <t>Identitée</t>
  </si>
  <si>
    <t>Client:</t>
  </si>
  <si>
    <t>Transport</t>
  </si>
  <si>
    <t>No facture</t>
  </si>
  <si>
    <t>Client</t>
  </si>
  <si>
    <t>Date</t>
  </si>
  <si>
    <t>Montant</t>
  </si>
  <si>
    <t>Nouveau Client</t>
  </si>
  <si>
    <t>Menu</t>
  </si>
  <si>
    <t>Facture</t>
  </si>
  <si>
    <t>Stock</t>
  </si>
  <si>
    <t>Clients</t>
  </si>
  <si>
    <t>Résumé</t>
  </si>
  <si>
    <t>Montant Max</t>
  </si>
  <si>
    <t>Meilleur client</t>
  </si>
  <si>
    <t>Montant Min</t>
  </si>
  <si>
    <t>Montant Moyen</t>
  </si>
  <si>
    <t>Nombre de factures</t>
  </si>
  <si>
    <t>Total /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</si>
  <si>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</si>
  <si>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</si>
  <si>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</si>
  <si>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</si>
  <si>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</si>
  <si>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</si>
  <si>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</si>
  <si>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</si>
  <si>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</si>
  <si>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</si>
  <si>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</si>
  <si>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</si>
  <si>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Code postal</t>
  </si>
  <si>
    <t>Production</t>
  </si>
  <si>
    <t>Mois</t>
  </si>
  <si>
    <t>Page principal</t>
  </si>
  <si>
    <t>Historique des factures</t>
  </si>
  <si>
    <t>Deneigement</t>
  </si>
  <si>
    <t>Montant
 total</t>
  </si>
  <si>
    <t>Total de 
factures</t>
  </si>
  <si>
    <t xml:space="preserve">Code 
Postal </t>
  </si>
  <si>
    <t>Stock de départ</t>
  </si>
  <si>
    <t>Pour les gens qui paye des taxes, il ne suffit que d'insérer un chiffre dans la cellule rouge ci-dessous</t>
  </si>
  <si>
    <t>Merci de votre confiance</t>
  </si>
  <si>
    <t>Description de ITEM</t>
  </si>
  <si>
    <t>Foin deuxième coupe</t>
  </si>
  <si>
    <t>Déplacement en Kilomètres</t>
  </si>
  <si>
    <t>5 = Deneigement</t>
  </si>
  <si>
    <t>Location de tracteur</t>
  </si>
  <si>
    <t>1 = Foin première coupe</t>
  </si>
  <si>
    <t>2 = Foin deuxième coupe</t>
  </si>
  <si>
    <t>3 = Déplacement en Kilomètres</t>
  </si>
  <si>
    <t>4 = Location de tracteur</t>
  </si>
  <si>
    <t>Joe</t>
  </si>
  <si>
    <t>Blaue</t>
  </si>
  <si>
    <t>Je l'ai trouvé</t>
  </si>
  <si>
    <t>f56 9g4</t>
  </si>
  <si>
    <t>même que l'autre</t>
  </si>
  <si>
    <t>Joe  Blaue</t>
  </si>
  <si>
    <t>Montant total</t>
  </si>
  <si>
    <t>yoyo</t>
  </si>
  <si>
    <t>elsa</t>
  </si>
  <si>
    <t>daisy</t>
  </si>
  <si>
    <t>la</t>
  </si>
  <si>
    <t>frg321</t>
  </si>
  <si>
    <t>yoyo  elsa</t>
  </si>
  <si>
    <t>Référence</t>
  </si>
  <si>
    <t xml:space="preserve"> Foin première coupe</t>
  </si>
  <si>
    <t>Stock actuel</t>
  </si>
  <si>
    <r>
      <t xml:space="preserve">Normand St-
2085 Rg. St- Est
Shawinigan Sud
G9n 6T5
</t>
    </r>
    <r>
      <rPr>
        <b/>
        <sz val="11"/>
        <color theme="1"/>
        <rFont val="Calibri"/>
        <family val="2"/>
        <scheme val="minor"/>
      </rPr>
      <t>Tel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rgb="FFFF0000"/>
        <rFont val="Calibri"/>
        <family val="2"/>
        <scheme val="minor"/>
      </rPr>
      <t>Cell: 8</t>
    </r>
    <r>
      <rPr>
        <sz val="11"/>
        <color theme="1"/>
        <rFont val="Calibri"/>
        <family val="2"/>
        <scheme val="minor"/>
      </rPr>
      <t xml:space="preserve">             819-537     </t>
    </r>
    <r>
      <rPr>
        <b/>
        <sz val="11"/>
        <color rgb="FFFF0000"/>
        <rFont val="Calibri"/>
        <family val="2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</si>
</sst>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 * #,##0.00_)\ &quot;$&quot;_ ;_ * \(#,##0.00\)\ &quot;$&quot;_ ;_ * &quot;-&quot;??_)\ &quot;$&quot;_ ;_ @_ "/>
    <numFmt numFmtId="164" formatCode="#,##0.00\ &quot;$&quot;"/>
    <numFmt numFmtId="165" formatCode="[$-F800]dddd\,\ mmmm\ dd\,\ yyyy"/>
    <numFmt numFmtId="166" formatCode="dd/mmm/yyyy"/>
    <numFmt numFmtId="167" formatCode="#,##0.00_);\(#,##0.00\)"/>
    <numFmt numFmtId="168" formatCode="#,##0_);\(#,##0\)"/>
    <numFmt numFmtId="169" formatCode="0.000%"/>
    <numFmt numFmtId="170" formatCode="dd/mm/yy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vertAlign val="superscript"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u/>
      <sz val="11"/>
      <color rgb="FFFFFF00"/>
      <name val="Calibri"/>
      <family val="2"/>
      <scheme val="minor"/>
    </font>
    <font>
      <b/>
      <sz val="14"/>
      <color rgb="FFFF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73">
    <xf numFmtId="0" fontId="0" fillId="0" borderId="0" xfId="0"/>
    <xf numFmtId="10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0" xfId="0" applyBorder="1"/>
    <xf numFmtId="0" fontId="0" fillId="0" borderId="0" xfId="0" applyBorder="1" applyAlignment="1"/>
    <xf numFmtId="0" fontId="0" fillId="0" borderId="8" xfId="0" applyBorder="1"/>
    <xf numFmtId="0" fontId="0" fillId="0" borderId="9" xfId="0" applyBorder="1"/>
    <xf numFmtId="0" fontId="0" fillId="0" borderId="12" xfId="0" applyBorder="1"/>
    <xf numFmtId="0" fontId="0" fillId="0" borderId="0" xfId="0" applyNumberFormat="1"/>
    <xf numFmtId="164" fontId="0" fillId="0" borderId="1" xfId="0" applyNumberFormat="1" applyBorder="1"/>
    <xf numFmtId="0" fontId="6" fillId="0" borderId="0" xfId="0" applyFont="1" applyAlignment="1">
      <alignment vertical="center"/>
    </xf>
    <xf numFmtId="1" fontId="0" fillId="0" borderId="0" xfId="0" applyNumberFormat="1" applyAlignment="1">
      <alignment horizontal="center"/>
    </xf>
    <xf numFmtId="44" fontId="0" fillId="0" borderId="0" xfId="1" applyFont="1"/>
    <xf numFmtId="164" fontId="0" fillId="0" borderId="0" xfId="0" applyNumberFormat="1" applyAlignment="1">
      <alignment horizontal="center"/>
    </xf>
    <xf numFmtId="167" fontId="0" fillId="0" borderId="0" xfId="1" applyNumberFormat="1" applyFont="1" applyAlignment="1">
      <alignment horizontal="center"/>
    </xf>
    <xf numFmtId="0" fontId="0" fillId="0" borderId="13" xfId="0" applyBorder="1"/>
    <xf numFmtId="0" fontId="8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vertical="center"/>
    </xf>
    <xf numFmtId="164" fontId="0" fillId="0" borderId="1" xfId="0" applyNumberFormat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/>
    </xf>
    <xf numFmtId="0" fontId="6" fillId="0" borderId="14" xfId="0" applyFont="1" applyBorder="1" applyAlignment="1">
      <alignment horizontal="center" vertical="center" wrapText="1"/>
    </xf>
    <xf numFmtId="164" fontId="9" fillId="3" borderId="15" xfId="0" applyNumberFormat="1" applyFont="1" applyFill="1" applyBorder="1" applyAlignment="1">
      <alignment horizontal="center"/>
    </xf>
    <xf numFmtId="0" fontId="0" fillId="0" borderId="13" xfId="0" applyBorder="1" applyAlignment="1"/>
    <xf numFmtId="0" fontId="3" fillId="3" borderId="14" xfId="0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0" borderId="7" xfId="0" applyBorder="1"/>
    <xf numFmtId="0" fontId="3" fillId="0" borderId="0" xfId="0" applyFont="1" applyBorder="1" applyAlignment="1" applyProtection="1">
      <alignment horizontal="center"/>
      <protection hidden="1"/>
    </xf>
    <xf numFmtId="164" fontId="0" fillId="0" borderId="0" xfId="0" applyNumberFormat="1" applyBorder="1" applyAlignment="1" applyProtection="1">
      <alignment horizontal="center"/>
      <protection hidden="1"/>
    </xf>
    <xf numFmtId="164" fontId="0" fillId="0" borderId="0" xfId="0" applyNumberFormat="1" applyProtection="1">
      <protection hidden="1"/>
    </xf>
    <xf numFmtId="0" fontId="6" fillId="0" borderId="0" xfId="0" applyFont="1" applyBorder="1" applyAlignment="1" applyProtection="1">
      <alignment vertical="center"/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0" fillId="0" borderId="0" xfId="0" applyBorder="1" applyAlignment="1" applyProtection="1"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10" fillId="0" borderId="0" xfId="1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0" fillId="0" borderId="0" xfId="0" applyFont="1"/>
    <xf numFmtId="0" fontId="12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wrapText="1"/>
    </xf>
    <xf numFmtId="0" fontId="0" fillId="4" borderId="1" xfId="0" applyFill="1" applyBorder="1"/>
    <xf numFmtId="0" fontId="0" fillId="0" borderId="1" xfId="0" applyBorder="1" applyAlignment="1" applyProtection="1">
      <alignment horizontal="center"/>
      <protection locked="0"/>
    </xf>
    <xf numFmtId="166" fontId="0" fillId="0" borderId="1" xfId="0" applyNumberFormat="1" applyBorder="1" applyProtection="1">
      <protection locked="0"/>
    </xf>
    <xf numFmtId="0" fontId="8" fillId="0" borderId="0" xfId="0" applyFont="1"/>
    <xf numFmtId="44" fontId="0" fillId="0" borderId="0" xfId="0" applyNumberFormat="1"/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0" fillId="0" borderId="0" xfId="0" applyBorder="1" applyAlignment="1">
      <alignment horizontal="right" indent="1"/>
    </xf>
    <xf numFmtId="0" fontId="0" fillId="0" borderId="0" xfId="0" applyAlignment="1"/>
    <xf numFmtId="0" fontId="15" fillId="0" borderId="0" xfId="0" applyFont="1" applyFill="1" applyBorder="1" applyAlignment="1">
      <alignment horizontal="center" vertical="center"/>
    </xf>
    <xf numFmtId="3" fontId="0" fillId="0" borderId="1" xfId="0" applyNumberFormat="1" applyBorder="1"/>
    <xf numFmtId="0" fontId="0" fillId="0" borderId="0" xfId="0" applyBorder="1"/>
    <xf numFmtId="0" fontId="0" fillId="0" borderId="0" xfId="0" applyFill="1" applyBorder="1" applyAlignment="1">
      <alignment horizontal="center"/>
    </xf>
    <xf numFmtId="164" fontId="0" fillId="0" borderId="0" xfId="0" applyNumberFormat="1" applyBorder="1"/>
    <xf numFmtId="0" fontId="0" fillId="4" borderId="1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10" fillId="2" borderId="0" xfId="0" applyFont="1" applyFill="1" applyAlignment="1">
      <alignment horizontal="center" vertical="center"/>
    </xf>
    <xf numFmtId="0" fontId="14" fillId="0" borderId="14" xfId="3" applyBorder="1" applyAlignment="1">
      <alignment horizontal="center"/>
    </xf>
    <xf numFmtId="0" fontId="14" fillId="0" borderId="15" xfId="3" applyBorder="1" applyAlignment="1">
      <alignment horizontal="center"/>
    </xf>
    <xf numFmtId="0" fontId="14" fillId="0" borderId="13" xfId="3" applyBorder="1" applyAlignment="1">
      <alignment horizontal="center"/>
    </xf>
    <xf numFmtId="0" fontId="14" fillId="0" borderId="15" xfId="3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14" fillId="0" borderId="14" xfId="3" applyFill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8" fillId="7" borderId="0" xfId="0" applyFont="1" applyFill="1" applyAlignment="1" applyProtection="1">
      <alignment horizontal="center"/>
      <protection locked="0"/>
    </xf>
    <xf numFmtId="0" fontId="10" fillId="0" borderId="0" xfId="0" applyFont="1" applyFill="1"/>
    <xf numFmtId="0" fontId="10" fillId="0" borderId="0" xfId="0" applyFont="1" applyFill="1" applyBorder="1"/>
    <xf numFmtId="168" fontId="0" fillId="0" borderId="0" xfId="1" applyNumberFormat="1" applyFont="1"/>
    <xf numFmtId="0" fontId="18" fillId="0" borderId="0" xfId="0" applyFont="1" applyFill="1"/>
    <xf numFmtId="0" fontId="19" fillId="5" borderId="0" xfId="0" applyFont="1" applyFill="1" applyAlignment="1">
      <alignment vertical="center" wrapText="1"/>
    </xf>
    <xf numFmtId="0" fontId="0" fillId="0" borderId="1" xfId="0" applyNumberFormat="1" applyBorder="1" applyAlignment="1" applyProtection="1">
      <alignment horizontal="center"/>
      <protection locked="0"/>
    </xf>
    <xf numFmtId="0" fontId="3" fillId="5" borderId="1" xfId="0" applyFont="1" applyFill="1" applyBorder="1"/>
    <xf numFmtId="0" fontId="20" fillId="6" borderId="14" xfId="3" quotePrefix="1" applyFont="1" applyFill="1" applyBorder="1" applyAlignment="1" applyProtection="1">
      <alignment horizontal="center"/>
      <protection locked="0"/>
    </xf>
    <xf numFmtId="0" fontId="20" fillId="6" borderId="15" xfId="3" applyNumberFormat="1" applyFont="1" applyFill="1" applyBorder="1" applyAlignment="1" applyProtection="1">
      <alignment horizontal="center"/>
      <protection locked="0"/>
    </xf>
    <xf numFmtId="0" fontId="20" fillId="6" borderId="15" xfId="3" applyFont="1" applyFill="1" applyBorder="1" applyAlignment="1" applyProtection="1">
      <alignment horizontal="center"/>
      <protection locked="0"/>
    </xf>
    <xf numFmtId="0" fontId="20" fillId="6" borderId="13" xfId="3" applyNumberFormat="1" applyFont="1" applyFill="1" applyBorder="1" applyAlignment="1" applyProtection="1">
      <alignment horizontal="center"/>
      <protection locked="0"/>
    </xf>
    <xf numFmtId="164" fontId="5" fillId="3" borderId="4" xfId="0" applyNumberFormat="1" applyFont="1" applyFill="1" applyBorder="1" applyAlignment="1">
      <alignment vertical="center"/>
    </xf>
    <xf numFmtId="169" fontId="0" fillId="0" borderId="0" xfId="2" applyNumberFormat="1" applyFont="1" applyAlignment="1">
      <alignment horizontal="center"/>
    </xf>
    <xf numFmtId="3" fontId="0" fillId="0" borderId="0" xfId="0" applyNumberFormat="1"/>
    <xf numFmtId="170" fontId="6" fillId="4" borderId="0" xfId="0" applyNumberFormat="1" applyFont="1" applyFill="1" applyAlignment="1">
      <alignment horizontal="center" vertical="center"/>
    </xf>
    <xf numFmtId="170" fontId="6" fillId="0" borderId="0" xfId="0" applyNumberFormat="1" applyFont="1" applyFill="1" applyAlignment="1">
      <alignment horizontal="center" vertical="center"/>
    </xf>
    <xf numFmtId="170" fontId="11" fillId="0" borderId="0" xfId="0" applyNumberFormat="1" applyFont="1" applyFill="1" applyAlignment="1">
      <alignment horizontal="center"/>
    </xf>
    <xf numFmtId="170" fontId="0" fillId="0" borderId="0" xfId="0" applyNumberFormat="1" applyAlignment="1">
      <alignment horizontal="center"/>
    </xf>
    <xf numFmtId="164" fontId="6" fillId="4" borderId="0" xfId="0" applyNumberFormat="1" applyFont="1" applyFill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3" fillId="5" borderId="1" xfId="0" applyFont="1" applyFill="1" applyBorder="1" applyProtection="1">
      <protection locked="0"/>
    </xf>
    <xf numFmtId="0" fontId="16" fillId="5" borderId="1" xfId="0" applyFont="1" applyFill="1" applyBorder="1" applyProtection="1">
      <protection locked="0"/>
    </xf>
    <xf numFmtId="0" fontId="16" fillId="5" borderId="1" xfId="1" applyNumberFormat="1" applyFont="1" applyFill="1" applyBorder="1" applyAlignment="1" applyProtection="1">
      <alignment horizontal="center"/>
      <protection locked="0"/>
    </xf>
    <xf numFmtId="0" fontId="9" fillId="0" borderId="0" xfId="0" applyFont="1" applyFill="1"/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0" fillId="0" borderId="1" xfId="0" applyFont="1" applyBorder="1"/>
    <xf numFmtId="165" fontId="6" fillId="0" borderId="0" xfId="0" applyNumberFormat="1" applyFont="1" applyFill="1" applyAlignment="1">
      <alignment horizontal="center" vertical="center"/>
    </xf>
    <xf numFmtId="0" fontId="14" fillId="0" borderId="1" xfId="3" applyBorder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44" fontId="8" fillId="8" borderId="0" xfId="1" applyFont="1" applyFill="1" applyAlignment="1">
      <alignment horizontal="center" vertical="center"/>
    </xf>
    <xf numFmtId="0" fontId="0" fillId="0" borderId="2" xfId="0" applyBorder="1" applyAlignment="1"/>
    <xf numFmtId="0" fontId="0" fillId="0" borderId="4" xfId="0" applyBorder="1" applyAlignment="1"/>
    <xf numFmtId="0" fontId="5" fillId="0" borderId="0" xfId="0" applyFont="1"/>
    <xf numFmtId="164" fontId="13" fillId="0" borderId="0" xfId="1" applyNumberFormat="1" applyFont="1" applyFill="1" applyBorder="1" applyAlignment="1">
      <alignment horizontal="center"/>
    </xf>
    <xf numFmtId="164" fontId="13" fillId="0" borderId="0" xfId="0" applyNumberFormat="1" applyFont="1" applyAlignment="1">
      <alignment horizontal="center"/>
    </xf>
    <xf numFmtId="164" fontId="13" fillId="0" borderId="0" xfId="0" applyNumberFormat="1" applyFont="1"/>
    <xf numFmtId="164" fontId="13" fillId="0" borderId="6" xfId="0" applyNumberFormat="1" applyFont="1" applyBorder="1"/>
    <xf numFmtId="0" fontId="6" fillId="0" borderId="0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0" fillId="0" borderId="2" xfId="0" applyBorder="1" applyAlignment="1"/>
    <xf numFmtId="0" fontId="0" fillId="0" borderId="4" xfId="0" applyBorder="1" applyAlignment="1"/>
    <xf numFmtId="0" fontId="14" fillId="0" borderId="5" xfId="3" applyBorder="1" applyAlignment="1">
      <alignment horizontal="center"/>
    </xf>
    <xf numFmtId="0" fontId="14" fillId="0" borderId="7" xfId="3" applyBorder="1" applyAlignment="1">
      <alignment horizontal="center"/>
    </xf>
    <xf numFmtId="0" fontId="14" fillId="0" borderId="8" xfId="3" applyBorder="1" applyAlignment="1">
      <alignment horizontal="center"/>
    </xf>
    <xf numFmtId="0" fontId="14" fillId="0" borderId="9" xfId="3" applyBorder="1" applyAlignment="1">
      <alignment horizontal="center"/>
    </xf>
    <xf numFmtId="0" fontId="0" fillId="0" borderId="3" xfId="0" applyBorder="1" applyAlignment="1">
      <alignment horizontal="center"/>
    </xf>
    <xf numFmtId="0" fontId="14" fillId="0" borderId="10" xfId="3" applyBorder="1" applyAlignment="1">
      <alignment horizontal="center"/>
    </xf>
    <xf numFmtId="0" fontId="14" fillId="0" borderId="12" xfId="3" applyBorder="1" applyAlignment="1">
      <alignment horizont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Border="1" applyAlignment="1">
      <alignment horizontal="right" indent="1"/>
    </xf>
    <xf numFmtId="165" fontId="0" fillId="0" borderId="0" xfId="0" applyNumberFormat="1" applyAlignment="1">
      <alignment horizontal="right" vertical="top" indent="2"/>
    </xf>
    <xf numFmtId="0" fontId="0" fillId="0" borderId="0" xfId="0" applyAlignment="1">
      <alignment horizontal="right" indent="2"/>
    </xf>
    <xf numFmtId="0" fontId="6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right" indent="1"/>
    </xf>
    <xf numFmtId="0" fontId="0" fillId="0" borderId="5" xfId="0" applyBorder="1" applyAlignment="1" applyProtection="1">
      <protection locked="0"/>
    </xf>
    <xf numFmtId="0" fontId="0" fillId="0" borderId="6" xfId="0" applyBorder="1" applyAlignment="1" applyProtection="1">
      <protection locked="0"/>
    </xf>
    <xf numFmtId="0" fontId="0" fillId="0" borderId="7" xfId="0" applyBorder="1" applyAlignment="1" applyProtection="1">
      <protection locked="0"/>
    </xf>
    <xf numFmtId="0" fontId="0" fillId="0" borderId="8" xfId="0" applyBorder="1" applyAlignment="1"/>
    <xf numFmtId="0" fontId="0" fillId="0" borderId="0" xfId="0" applyAlignment="1"/>
    <xf numFmtId="0" fontId="0" fillId="0" borderId="9" xfId="0" applyBorder="1" applyAlignment="1"/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1" fontId="0" fillId="0" borderId="0" xfId="0" applyNumberFormat="1" applyBorder="1" applyAlignment="1">
      <alignment horizontal="left"/>
    </xf>
    <xf numFmtId="0" fontId="17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2" xfId="0" applyFont="1" applyFill="1" applyBorder="1" applyAlignment="1">
      <alignment horizontal="right" vertical="center" indent="1"/>
    </xf>
    <xf numFmtId="0" fontId="0" fillId="3" borderId="3" xfId="0" applyFill="1" applyBorder="1" applyAlignment="1">
      <alignment horizontal="right" vertical="center" indent="1"/>
    </xf>
    <xf numFmtId="0" fontId="4" fillId="0" borderId="0" xfId="0" applyFont="1"/>
    <xf numFmtId="22" fontId="0" fillId="0" borderId="0" xfId="1" applyNumberFormat="1" applyFont="1"/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2"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'Page principal'!$D$3</c:f>
              <c:strCache>
                <c:ptCount val="1"/>
                <c:pt idx="0">
                  <c:v>Total / mois</c:v>
                </c:pt>
              </c:strCache>
            </c:strRef>
          </c:tx>
          <c:spPr>
            <a:ln>
              <a:gradFill>
                <a:gsLst>
                  <a:gs pos="0">
                    <a:srgbClr val="00B050"/>
                  </a:gs>
                  <a:gs pos="50000">
                    <a:srgbClr val="00B0F0"/>
                  </a:gs>
                  <a:gs pos="100000">
                    <a:srgbClr val="FF0000"/>
                  </a:gs>
                </a:gsLst>
                <a:lin ang="5400000" scaled="0"/>
              </a:gradFill>
            </a:ln>
          </c:spPr>
          <c:marker>
            <c:symbol val="none"/>
          </c:marker>
          <c:cat>
            <c:strRef>
              <c:f>'Page principal'!$E$2:$P$2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'Page principal'!$E$3:$P$3</c:f>
              <c:numCache>
                <c:formatCode>#,##0.00\ "$"</c:formatCode>
                <c:ptCount val="12"/>
                <c:pt idx="0">
                  <c:v>736.14515625000001</c:v>
                </c:pt>
                <c:pt idx="1">
                  <c:v>0</c:v>
                </c:pt>
                <c:pt idx="2">
                  <c:v>1299.0796875000001</c:v>
                </c:pt>
                <c:pt idx="3">
                  <c:v>0</c:v>
                </c:pt>
                <c:pt idx="4">
                  <c:v>375.28968750000001</c:v>
                </c:pt>
                <c:pt idx="5">
                  <c:v>620.6714062499999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1308672"/>
        <c:axId val="556555584"/>
      </c:lineChart>
      <c:catAx>
        <c:axId val="561308672"/>
        <c:scaling>
          <c:orientation val="minMax"/>
        </c:scaling>
        <c:delete val="0"/>
        <c:axPos val="b"/>
        <c:majorTickMark val="out"/>
        <c:minorTickMark val="none"/>
        <c:tickLblPos val="nextTo"/>
        <c:crossAx val="556555584"/>
        <c:crosses val="autoZero"/>
        <c:auto val="1"/>
        <c:lblAlgn val="ctr"/>
        <c:lblOffset val="100"/>
        <c:noMultiLvlLbl val="0"/>
      </c:catAx>
      <c:valAx>
        <c:axId val="556555584"/>
        <c:scaling>
          <c:orientation val="minMax"/>
        </c:scaling>
        <c:delete val="0"/>
        <c:axPos val="l"/>
        <c:majorGridlines/>
        <c:numFmt formatCode="#,##0.00\ &quot;$&quot;" sourceLinked="1"/>
        <c:majorTickMark val="out"/>
        <c:minorTickMark val="none"/>
        <c:tickLblPos val="nextTo"/>
        <c:crossAx val="5613086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7</xdr:row>
          <xdr:rowOff>47625</xdr:rowOff>
        </xdr:from>
        <xdr:to>
          <xdr:col>1</xdr:col>
          <xdr:colOff>1028700</xdr:colOff>
          <xdr:row>7</xdr:row>
          <xdr:rowOff>352425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FF0000"/>
                  </a:solidFill>
                  <a:latin typeface="Calibri"/>
                </a:rPr>
                <a:t>Ajouter un client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38100</xdr:colOff>
      <xdr:row>3</xdr:row>
      <xdr:rowOff>266700</xdr:rowOff>
    </xdr:from>
    <xdr:to>
      <xdr:col>16</xdr:col>
      <xdr:colOff>209550</xdr:colOff>
      <xdr:row>14</xdr:row>
      <xdr:rowOff>152400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4</xdr:row>
          <xdr:rowOff>57150</xdr:rowOff>
        </xdr:from>
        <xdr:to>
          <xdr:col>9</xdr:col>
          <xdr:colOff>990600</xdr:colOff>
          <xdr:row>6</xdr:row>
          <xdr:rowOff>85725</xdr:rowOff>
        </xdr:to>
        <xdr:sp macro="" textlink="">
          <xdr:nvSpPr>
            <xdr:cNvPr id="1072" name="Butto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FF0000"/>
                  </a:solidFill>
                  <a:latin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333375</xdr:colOff>
          <xdr:row>7</xdr:row>
          <xdr:rowOff>76200</xdr:rowOff>
        </xdr:from>
        <xdr:to>
          <xdr:col>9</xdr:col>
          <xdr:colOff>1009650</xdr:colOff>
          <xdr:row>9</xdr:row>
          <xdr:rowOff>104775</xdr:rowOff>
        </xdr:to>
        <xdr:sp macro="" textlink="">
          <xdr:nvSpPr>
            <xdr:cNvPr id="1077" name="Butto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FF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26"/>
  <sheetViews>
    <sheetView workbookViewId="0">
      <selection activeCell="B5" sqref="B5"/>
    </sheetView>
  </sheetViews>
  <sheetFormatPr baseColWidth="10" defaultRowHeight="15" x14ac:dyDescent="0.25"/>
  <cols>
    <col min="1" max="1" width="18.7109375" customWidth="1"/>
    <col min="2" max="2" width="19.85546875" customWidth="1"/>
    <col min="5" max="16" width="11.7109375" customWidth="1"/>
  </cols>
  <sheetData>
    <row r="1" spans="1:16" ht="25.5" customHeight="1" x14ac:dyDescent="0.25">
      <c r="A1" s="135" t="s">
        <v>36</v>
      </c>
      <c r="B1" s="136"/>
      <c r="E1" s="62">
        <v>1</v>
      </c>
      <c r="F1" s="62">
        <v>2</v>
      </c>
      <c r="G1" s="62">
        <v>3</v>
      </c>
      <c r="H1" s="62">
        <v>4</v>
      </c>
      <c r="I1" s="62">
        <v>5</v>
      </c>
      <c r="J1" s="62">
        <v>6</v>
      </c>
      <c r="K1" s="62">
        <v>7</v>
      </c>
      <c r="L1" s="62">
        <v>8</v>
      </c>
      <c r="M1" s="62">
        <v>9</v>
      </c>
      <c r="N1" s="62">
        <v>10</v>
      </c>
      <c r="O1" s="62">
        <v>11</v>
      </c>
      <c r="P1" s="62">
        <v>12</v>
      </c>
    </row>
    <row r="2" spans="1:16" x14ac:dyDescent="0.25">
      <c r="A2" s="54" t="s">
        <v>24</v>
      </c>
      <c r="B2" s="54"/>
      <c r="D2" s="54"/>
      <c r="E2" s="71" t="s">
        <v>48</v>
      </c>
      <c r="F2" s="71" t="s">
        <v>49</v>
      </c>
      <c r="G2" s="71" t="s">
        <v>50</v>
      </c>
      <c r="H2" s="71" t="s">
        <v>51</v>
      </c>
      <c r="I2" s="71" t="s">
        <v>52</v>
      </c>
      <c r="J2" s="71" t="s">
        <v>53</v>
      </c>
      <c r="K2" s="71" t="s">
        <v>54</v>
      </c>
      <c r="L2" s="71" t="s">
        <v>55</v>
      </c>
      <c r="M2" s="71" t="s">
        <v>56</v>
      </c>
      <c r="N2" s="71" t="s">
        <v>57</v>
      </c>
      <c r="O2" s="71" t="s">
        <v>58</v>
      </c>
      <c r="P2" s="71" t="s">
        <v>59</v>
      </c>
    </row>
    <row r="3" spans="1:16" x14ac:dyDescent="0.25">
      <c r="A3" s="54" t="s">
        <v>25</v>
      </c>
      <c r="B3" s="54"/>
      <c r="D3" s="57" t="s">
        <v>47</v>
      </c>
      <c r="E3" s="10">
        <f>SUMIF('Historique des factures'!$E:$E,E1,'Historique des factures'!$D:$D)</f>
        <v>736.14515625000001</v>
      </c>
      <c r="F3" s="10">
        <f>SUMIF('Historique des factures'!$E:$E,F1,'Historique des factures'!$D:$D)</f>
        <v>0</v>
      </c>
      <c r="G3" s="10">
        <f>SUMIF('Historique des factures'!$E:$E,G1,'Historique des factures'!$D:$D)</f>
        <v>1299.0796875000001</v>
      </c>
      <c r="H3" s="10">
        <f>SUMIF('Historique des factures'!$E:$E,H1,'Historique des factures'!$D:$D)</f>
        <v>0</v>
      </c>
      <c r="I3" s="10">
        <f>SUMIF('Historique des factures'!$E:$E,I1,'Historique des factures'!$D:$D)</f>
        <v>375.28968750000001</v>
      </c>
      <c r="J3" s="10">
        <f>SUMIF('Historique des factures'!$E:$E,J1,'Historique des factures'!$D:$D)</f>
        <v>620.6714062499999</v>
      </c>
      <c r="K3" s="10">
        <f>SUMIF('Historique des factures'!$E:$E,K1,'Historique des factures'!$D:$D)</f>
        <v>0</v>
      </c>
      <c r="L3" s="10">
        <f>SUMIF('Historique des factures'!$E:$E,L1,'Historique des factures'!$D:$D)</f>
        <v>0</v>
      </c>
      <c r="M3" s="10">
        <f>SUMIF('Historique des factures'!$E:$E,M1,'Historique des factures'!$D:$D)</f>
        <v>0</v>
      </c>
      <c r="N3" s="10">
        <f>SUMIF('Historique des factures'!$E:$E,N1,'Historique des factures'!$D:$D)</f>
        <v>0</v>
      </c>
      <c r="O3" s="10">
        <f>SUMIF('Historique des factures'!$E:$E,O1,'Historique des factures'!$D:$D)</f>
        <v>0</v>
      </c>
      <c r="P3" s="10">
        <f>SUMIF('Historique des factures'!$E:$E,P1,'Historique des factures'!$D:$D)</f>
        <v>0</v>
      </c>
    </row>
    <row r="4" spans="1:16" ht="52.5" customHeight="1" x14ac:dyDescent="0.25">
      <c r="A4" s="55" t="s">
        <v>26</v>
      </c>
      <c r="B4" s="56"/>
    </row>
    <row r="5" spans="1:16" x14ac:dyDescent="0.25">
      <c r="A5" s="55" t="s">
        <v>28</v>
      </c>
      <c r="B5" s="56"/>
      <c r="H5" s="13"/>
    </row>
    <row r="6" spans="1:16" x14ac:dyDescent="0.25">
      <c r="A6" s="55" t="s">
        <v>60</v>
      </c>
      <c r="B6" s="56"/>
    </row>
    <row r="7" spans="1:16" x14ac:dyDescent="0.25">
      <c r="A7" s="54" t="s">
        <v>27</v>
      </c>
      <c r="B7" s="67"/>
    </row>
    <row r="8" spans="1:16" ht="33.75" customHeight="1" x14ac:dyDescent="0.25">
      <c r="A8" s="139"/>
      <c r="B8" s="140"/>
    </row>
    <row r="9" spans="1:16" x14ac:dyDescent="0.25">
      <c r="A9" s="87"/>
      <c r="B9" s="78"/>
    </row>
    <row r="10" spans="1:16" ht="18.75" x14ac:dyDescent="0.3">
      <c r="A10" s="137" t="s">
        <v>37</v>
      </c>
      <c r="B10" s="138"/>
    </row>
    <row r="11" spans="1:16" x14ac:dyDescent="0.25">
      <c r="A11" s="141" t="s">
        <v>38</v>
      </c>
      <c r="B11" s="142"/>
    </row>
    <row r="12" spans="1:16" x14ac:dyDescent="0.25">
      <c r="A12" s="143" t="s">
        <v>39</v>
      </c>
      <c r="B12" s="144"/>
    </row>
    <row r="13" spans="1:16" x14ac:dyDescent="0.25">
      <c r="A13" s="143" t="s">
        <v>40</v>
      </c>
      <c r="B13" s="144"/>
    </row>
    <row r="14" spans="1:16" x14ac:dyDescent="0.25">
      <c r="A14" s="143" t="s">
        <v>0</v>
      </c>
      <c r="B14" s="144"/>
    </row>
    <row r="15" spans="1:16" x14ac:dyDescent="0.25">
      <c r="A15" s="143" t="s">
        <v>1</v>
      </c>
      <c r="B15" s="144"/>
    </row>
    <row r="16" spans="1:16" x14ac:dyDescent="0.25">
      <c r="A16" s="143" t="s">
        <v>61</v>
      </c>
      <c r="B16" s="144"/>
    </row>
    <row r="17" spans="1:2" x14ac:dyDescent="0.25">
      <c r="A17" s="143" t="s">
        <v>31</v>
      </c>
      <c r="B17" s="144"/>
    </row>
    <row r="18" spans="1:2" x14ac:dyDescent="0.25">
      <c r="A18" s="146" t="s">
        <v>64</v>
      </c>
      <c r="B18" s="147"/>
    </row>
    <row r="19" spans="1:2" x14ac:dyDescent="0.25">
      <c r="A19" s="145"/>
      <c r="B19" s="145"/>
    </row>
    <row r="20" spans="1:2" ht="18.75" x14ac:dyDescent="0.3">
      <c r="A20" s="137" t="s">
        <v>41</v>
      </c>
      <c r="B20" s="138"/>
    </row>
    <row r="21" spans="1:2" x14ac:dyDescent="0.25">
      <c r="A21" s="54" t="s">
        <v>43</v>
      </c>
      <c r="B21" s="54" t="str">
        <f>VLOOKUP(B22,Clients!I:J,2,0)</f>
        <v>yoyo  elsa</v>
      </c>
    </row>
    <row r="22" spans="1:2" x14ac:dyDescent="0.25">
      <c r="A22" s="54" t="s">
        <v>42</v>
      </c>
      <c r="B22" s="10">
        <f>MAX('Historique des factures'!D:D)</f>
        <v>1299.0796875000001</v>
      </c>
    </row>
    <row r="23" spans="1:2" x14ac:dyDescent="0.25">
      <c r="A23" s="54" t="s">
        <v>44</v>
      </c>
      <c r="B23" s="10">
        <f>MIN('Historique des factures'!D:D)</f>
        <v>106.81321875</v>
      </c>
    </row>
    <row r="24" spans="1:2" x14ac:dyDescent="0.25">
      <c r="A24" s="54" t="s">
        <v>45</v>
      </c>
      <c r="B24" s="10">
        <f>AVERAGE('Historique des factures'!D:D)</f>
        <v>606.2371875</v>
      </c>
    </row>
    <row r="25" spans="1:2" x14ac:dyDescent="0.25">
      <c r="A25" s="54" t="s">
        <v>46</v>
      </c>
      <c r="B25" s="67">
        <f>COUNT('Historique des factures'!D:D)</f>
        <v>5</v>
      </c>
    </row>
    <row r="26" spans="1:2" x14ac:dyDescent="0.25">
      <c r="A26" s="54" t="s">
        <v>87</v>
      </c>
      <c r="B26" s="10">
        <f>SUM('Historique des factures'!D:D)</f>
        <v>3031.1859374999999</v>
      </c>
    </row>
  </sheetData>
  <mergeCells count="13">
    <mergeCell ref="A20:B20"/>
    <mergeCell ref="A19:B19"/>
    <mergeCell ref="A18:B18"/>
    <mergeCell ref="A13:B13"/>
    <mergeCell ref="A14:B14"/>
    <mergeCell ref="A15:B15"/>
    <mergeCell ref="A16:B16"/>
    <mergeCell ref="A17:B17"/>
    <mergeCell ref="A1:B1"/>
    <mergeCell ref="A10:B10"/>
    <mergeCell ref="A8:B8"/>
    <mergeCell ref="A11:B11"/>
    <mergeCell ref="A12:B12"/>
  </mergeCells>
  <hyperlinks>
    <hyperlink ref="A11" location="Facture!A1" display="Facture"/>
    <hyperlink ref="A12" location="Stock!A1" display="Stock"/>
    <hyperlink ref="A18" location="'Historique des factures'!A1" display="Historique"/>
    <hyperlink ref="A13" location="Clients!A1" display="Clients"/>
    <hyperlink ref="A14" location="TPS!A1" display="TPS"/>
    <hyperlink ref="A15" location="TVQ!A1" display="TVQ"/>
  </hyperlink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Ajouter_clients">
                <anchor moveWithCells="1">
                  <from>
                    <xdr:col>0</xdr:col>
                    <xdr:colOff>152400</xdr:colOff>
                    <xdr:row>7</xdr:row>
                    <xdr:rowOff>47625</xdr:rowOff>
                  </from>
                  <to>
                    <xdr:col>1</xdr:col>
                    <xdr:colOff>1028700</xdr:colOff>
                    <xdr:row>7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M44"/>
  <sheetViews>
    <sheetView showWhiteSpace="0" zoomScaleNormal="100" workbookViewId="0">
      <selection activeCell="E1" sqref="E1"/>
    </sheetView>
  </sheetViews>
  <sheetFormatPr baseColWidth="10" defaultRowHeight="15" x14ac:dyDescent="0.25"/>
  <cols>
    <col min="1" max="1" width="7" customWidth="1"/>
    <col min="2" max="2" width="10.85546875" bestFit="1" customWidth="1"/>
    <col min="3" max="3" width="11.42578125" customWidth="1"/>
    <col min="4" max="4" width="16.7109375" customWidth="1"/>
    <col min="5" max="5" width="9.28515625" customWidth="1"/>
    <col min="6" max="6" width="9.42578125" bestFit="1" customWidth="1"/>
    <col min="7" max="7" width="9.7109375" customWidth="1"/>
    <col min="8" max="8" width="15.85546875" customWidth="1"/>
    <col min="9" max="9" width="13.42578125" bestFit="1" customWidth="1"/>
    <col min="10" max="10" width="30.7109375" customWidth="1"/>
  </cols>
  <sheetData>
    <row r="1" spans="1:13" ht="78" customHeight="1" x14ac:dyDescent="0.25">
      <c r="A1" s="148" t="s">
        <v>97</v>
      </c>
      <c r="B1" s="149"/>
      <c r="C1" s="149"/>
      <c r="D1" s="150"/>
      <c r="G1" s="152">
        <f ca="1">TODAY()</f>
        <v>42375</v>
      </c>
      <c r="H1" s="153"/>
      <c r="J1" s="93" t="s">
        <v>70</v>
      </c>
    </row>
    <row r="2" spans="1:13" ht="18.75" x14ac:dyDescent="0.3">
      <c r="I2" s="92"/>
      <c r="J2" s="88">
        <v>1</v>
      </c>
    </row>
    <row r="3" spans="1:13" ht="18.75" x14ac:dyDescent="0.3">
      <c r="C3" s="45" t="s">
        <v>30</v>
      </c>
      <c r="D3" s="157" t="s">
        <v>86</v>
      </c>
      <c r="E3" s="158"/>
      <c r="F3" s="159"/>
    </row>
    <row r="4" spans="1:13" x14ac:dyDescent="0.25">
      <c r="D4" s="160" t="str">
        <f>IF(D3="","",VLOOKUP(D3,Clients!A:D,4,0))</f>
        <v>même que l'autre</v>
      </c>
      <c r="E4" s="161"/>
      <c r="F4" s="162"/>
    </row>
    <row r="5" spans="1:13" x14ac:dyDescent="0.25">
      <c r="D5" s="160" t="str">
        <f>IF(D3="","",VLOOKUP(D3,Clients!A:E,5,0))</f>
        <v>Je l'ai trouvé</v>
      </c>
      <c r="E5" s="161"/>
      <c r="F5" s="162"/>
    </row>
    <row r="6" spans="1:13" x14ac:dyDescent="0.25">
      <c r="D6" s="160" t="str">
        <f>IF(D3="","",VLOOKUP(D3,Clients!A:F,6,0))</f>
        <v>f56 9g4</v>
      </c>
      <c r="E6" s="161"/>
      <c r="F6" s="162"/>
      <c r="J6" s="49"/>
      <c r="K6" s="49"/>
      <c r="L6" s="49"/>
      <c r="M6" s="49"/>
    </row>
    <row r="7" spans="1:13" x14ac:dyDescent="0.25">
      <c r="D7" s="163">
        <f>IF(D3="","",VLOOKUP(D3,Clients!A:G,7,0))</f>
        <v>4184553333</v>
      </c>
      <c r="E7" s="164"/>
      <c r="F7" s="165"/>
      <c r="J7" s="49"/>
      <c r="K7" s="49"/>
      <c r="L7" s="49"/>
      <c r="M7" s="49"/>
    </row>
    <row r="8" spans="1:13" x14ac:dyDescent="0.25">
      <c r="D8" s="5"/>
      <c r="E8" s="5"/>
      <c r="F8" s="5"/>
      <c r="K8" s="49"/>
      <c r="L8" s="49"/>
      <c r="M8" s="49"/>
    </row>
    <row r="9" spans="1:13" x14ac:dyDescent="0.25">
      <c r="B9" s="151" t="s">
        <v>2</v>
      </c>
      <c r="C9" s="156"/>
      <c r="D9" s="58">
        <v>5</v>
      </c>
      <c r="E9" s="5"/>
      <c r="F9" s="43"/>
      <c r="G9" s="5"/>
      <c r="J9" s="49"/>
      <c r="K9" s="49"/>
      <c r="L9" s="49"/>
      <c r="M9" s="49"/>
    </row>
    <row r="10" spans="1:13" x14ac:dyDescent="0.25">
      <c r="J10" s="49"/>
      <c r="K10" s="49"/>
      <c r="L10" s="49"/>
      <c r="M10" s="49"/>
    </row>
    <row r="11" spans="1:13" ht="0.75" customHeight="1" x14ac:dyDescent="0.25">
      <c r="J11" s="49"/>
      <c r="K11" s="49"/>
      <c r="L11" s="49"/>
      <c r="M11" s="49"/>
    </row>
    <row r="12" spans="1:13" ht="41.25" customHeight="1" x14ac:dyDescent="0.25">
      <c r="A12" s="39" t="s">
        <v>7</v>
      </c>
      <c r="B12" s="39" t="s">
        <v>5</v>
      </c>
      <c r="C12" s="154" t="s">
        <v>13</v>
      </c>
      <c r="D12" s="155"/>
      <c r="E12" s="44" t="s">
        <v>23</v>
      </c>
      <c r="F12" s="40" t="s">
        <v>0</v>
      </c>
      <c r="G12" s="39" t="s">
        <v>1</v>
      </c>
      <c r="H12" s="110" t="s">
        <v>17</v>
      </c>
      <c r="I12" s="134"/>
      <c r="J12" s="66"/>
      <c r="K12" s="66"/>
      <c r="L12" s="86"/>
      <c r="M12" s="50"/>
    </row>
    <row r="13" spans="1:13" x14ac:dyDescent="0.25">
      <c r="A13" s="58">
        <v>1</v>
      </c>
      <c r="B13" s="94">
        <v>75</v>
      </c>
      <c r="C13" s="127" t="str">
        <f>IF(A13="","",VLOOKUP(A13,Stock!A:B,2,0))</f>
        <v xml:space="preserve"> Foin première coupe</v>
      </c>
      <c r="D13" s="128"/>
      <c r="E13" s="20">
        <f>IF(A13="","",VLOOKUP(A13,Stock!A:D,4,0))</f>
        <v>3.5</v>
      </c>
      <c r="F13" s="10">
        <f>IF(J2="","",IF(A13="","",(E13*B13)*TPS!B2))</f>
        <v>13.125</v>
      </c>
      <c r="G13" s="10">
        <f>IF(F13="","",IF(A13="","",((B13*E13)+(F13))*TVQ!B2))</f>
        <v>27.493593750000002</v>
      </c>
      <c r="H13" s="10">
        <f>IF(J2="",I13,IF(A13="","",(E13*B13)+(F13+G13)))</f>
        <v>303.11859375</v>
      </c>
      <c r="I13" s="130">
        <f>IF(A13="","",B13*E13)</f>
        <v>262.5</v>
      </c>
      <c r="J13" s="95" t="s">
        <v>72</v>
      </c>
      <c r="L13" s="90"/>
      <c r="M13" s="89"/>
    </row>
    <row r="14" spans="1:13" x14ac:dyDescent="0.25">
      <c r="A14" s="58">
        <v>2</v>
      </c>
      <c r="B14" s="94">
        <v>50</v>
      </c>
      <c r="C14" s="127" t="str">
        <f>IF(A14="","",VLOOKUP(A14,Stock!A:B,2,0))</f>
        <v>Foin deuxième coupe</v>
      </c>
      <c r="D14" s="128"/>
      <c r="E14" s="20">
        <f>IF(A14="","",VLOOKUP(A14,Stock!A:D,4,0))</f>
        <v>4</v>
      </c>
      <c r="F14" s="10">
        <f>IF(J2="","",IF(A14="","",(E14*B14)*TPS!B2))</f>
        <v>10</v>
      </c>
      <c r="G14" s="10">
        <f>IF(F14="","",IF(A14="","",((B14*E14)+(F14))*TVQ!B2))</f>
        <v>20.947500000000002</v>
      </c>
      <c r="H14" s="10">
        <f>IF(J2="",I14,IF(A14="","",(E14*B14)+(F14+G14)))</f>
        <v>230.94749999999999</v>
      </c>
      <c r="I14" s="130">
        <f t="shared" ref="I14:I34" si="0">IF(A14="","",B14*E14)</f>
        <v>200</v>
      </c>
      <c r="J14" s="111" t="s">
        <v>77</v>
      </c>
      <c r="K14" s="47"/>
      <c r="L14" s="49"/>
      <c r="M14" s="49"/>
    </row>
    <row r="15" spans="1:13" x14ac:dyDescent="0.25">
      <c r="A15" s="58">
        <v>3</v>
      </c>
      <c r="B15" s="94">
        <v>100</v>
      </c>
      <c r="C15" s="127" t="str">
        <f>IF(A15="","",VLOOKUP(A15,Stock!A:B,2,0))</f>
        <v>Déplacement en Kilomètres</v>
      </c>
      <c r="D15" s="128"/>
      <c r="E15" s="20">
        <f>IF(A15="","",VLOOKUP(A15,Stock!A:D,4,0))</f>
        <v>0.75</v>
      </c>
      <c r="F15" s="10">
        <f>IF(J2="","",IF(A15="","",(E15*B15)*TPS!B2))</f>
        <v>3.75</v>
      </c>
      <c r="G15" s="10">
        <f>IF(F15="","",IF(A15="","",((B15*E15)+(F15))*TVQ!B2))</f>
        <v>7.8553125000000001</v>
      </c>
      <c r="H15" s="10">
        <f>IF(J2="",I15,IF(A15="","",(E15*B15)+(F15+G15)))</f>
        <v>86.605312499999997</v>
      </c>
      <c r="I15" s="130">
        <f t="shared" si="0"/>
        <v>75</v>
      </c>
      <c r="J15" s="111" t="s">
        <v>78</v>
      </c>
      <c r="K15" s="47"/>
      <c r="L15" s="49"/>
      <c r="M15" s="49"/>
    </row>
    <row r="16" spans="1:13" x14ac:dyDescent="0.25">
      <c r="A16" s="58">
        <v>1</v>
      </c>
      <c r="B16" s="94">
        <f t="shared" ref="B16:B34" si="1">IF(A16="","",1)</f>
        <v>1</v>
      </c>
      <c r="C16" s="127" t="str">
        <f>IF(A16="","",VLOOKUP(A16,Stock!A:B,2,0))</f>
        <v xml:space="preserve"> Foin première coupe</v>
      </c>
      <c r="D16" s="128"/>
      <c r="E16" s="20">
        <f>IF(A16="","",VLOOKUP(A16,Stock!A:D,4,0))</f>
        <v>3.5</v>
      </c>
      <c r="F16" s="10">
        <f>IF(J2="","",IF(A16="","",(E16*B16)*TPS!B2))</f>
        <v>0.17500000000000002</v>
      </c>
      <c r="G16" s="10">
        <f>IF(F16="","",IF(A16="","",((B16*E16)+(F16))*TVQ!B2))</f>
        <v>0.36658125000000003</v>
      </c>
      <c r="H16" s="10">
        <f>IF(J2="",I16,IF(A16="","",(E16*B16)+(F16+G16)))</f>
        <v>4.0415812500000001</v>
      </c>
      <c r="I16" s="130">
        <f t="shared" si="0"/>
        <v>3.5</v>
      </c>
      <c r="J16" s="111" t="s">
        <v>79</v>
      </c>
      <c r="K16" s="47"/>
      <c r="L16" s="49"/>
      <c r="M16" s="49"/>
    </row>
    <row r="17" spans="1:13" x14ac:dyDescent="0.25">
      <c r="A17" s="58">
        <v>2</v>
      </c>
      <c r="B17" s="94">
        <f t="shared" si="1"/>
        <v>1</v>
      </c>
      <c r="C17" s="127" t="str">
        <f>IF(A17="","",VLOOKUP(A17,Stock!A:B,2,0))</f>
        <v>Foin deuxième coupe</v>
      </c>
      <c r="D17" s="128"/>
      <c r="E17" s="20">
        <f>IF(A17="","",VLOOKUP(A17,Stock!A:D,4,0))</f>
        <v>4</v>
      </c>
      <c r="F17" s="10">
        <f>IF(J2="","",IF(A17="","",(E17*B17)*TPS!B2))</f>
        <v>0.2</v>
      </c>
      <c r="G17" s="10">
        <f>IF(F17="","",IF(A17="","",((B17*E17)+(F17))*TVQ!B2))</f>
        <v>0.41895000000000004</v>
      </c>
      <c r="H17" s="10">
        <f>IF(J2="",I17,IF(A17="","",(E17*B17)+(F17+G17)))</f>
        <v>4.6189499999999999</v>
      </c>
      <c r="I17" s="130">
        <f t="shared" si="0"/>
        <v>4</v>
      </c>
      <c r="J17" s="111" t="s">
        <v>80</v>
      </c>
      <c r="K17" s="47"/>
      <c r="M17" s="49"/>
    </row>
    <row r="18" spans="1:13" x14ac:dyDescent="0.25">
      <c r="A18" s="58"/>
      <c r="B18" s="94" t="str">
        <f t="shared" si="1"/>
        <v/>
      </c>
      <c r="C18" s="127" t="str">
        <f>IF(A18="","",VLOOKUP(A18,Stock!A:B,2,0))</f>
        <v/>
      </c>
      <c r="D18" s="128"/>
      <c r="E18" s="20" t="str">
        <f>IF(A18="","",VLOOKUP(A18,Stock!A:D,4,0))</f>
        <v/>
      </c>
      <c r="F18" s="10" t="str">
        <f>IF(J2="","",IF(A18="","",(E18*B18)*TPS!B2))</f>
        <v/>
      </c>
      <c r="G18" s="10" t="str">
        <f>IF(F18="","",IF(A18="","",((B18*E18)+(F18))*TVQ!B2))</f>
        <v/>
      </c>
      <c r="H18" s="10" t="str">
        <f>IF(J2="",I18,IF(A18="","",(E18*B18)+(F18+G18)))</f>
        <v/>
      </c>
      <c r="I18" s="130" t="str">
        <f t="shared" si="0"/>
        <v/>
      </c>
      <c r="J18" s="111" t="s">
        <v>75</v>
      </c>
      <c r="K18" s="47"/>
      <c r="M18" s="49"/>
    </row>
    <row r="19" spans="1:13" x14ac:dyDescent="0.25">
      <c r="A19" s="58"/>
      <c r="B19" s="94" t="str">
        <f t="shared" si="1"/>
        <v/>
      </c>
      <c r="C19" s="127" t="str">
        <f>IF(A19="","",VLOOKUP(A19,Stock!A:B,2,0))</f>
        <v/>
      </c>
      <c r="D19" s="128"/>
      <c r="E19" s="20" t="str">
        <f>IF(A19="","",VLOOKUP(A19,Stock!A:D,4,0))</f>
        <v/>
      </c>
      <c r="F19" s="10" t="str">
        <f>IF(J2="","",IF(A19="","",(E19*B19)*TPS!B2))</f>
        <v/>
      </c>
      <c r="G19" s="10" t="str">
        <f>IF(F19="","",IF(A19="","",((B19*E19)+(F19))*TVQ!B2))</f>
        <v/>
      </c>
      <c r="H19" s="10" t="str">
        <f>IF(J2="",I19,IF(A19="","",(E19*B19)+(F19+G19)))</f>
        <v/>
      </c>
      <c r="I19" s="130" t="str">
        <f t="shared" si="0"/>
        <v/>
      </c>
      <c r="J19" s="112"/>
      <c r="K19" s="47"/>
      <c r="M19" s="49"/>
    </row>
    <row r="20" spans="1:13" x14ac:dyDescent="0.25">
      <c r="A20" s="58"/>
      <c r="B20" s="94" t="str">
        <f t="shared" si="1"/>
        <v/>
      </c>
      <c r="C20" s="127" t="str">
        <f>IF(A20="","",VLOOKUP(A20,Stock!A:B,2,0))</f>
        <v/>
      </c>
      <c r="D20" s="128"/>
      <c r="E20" s="20" t="str">
        <f>IF(A20="","",VLOOKUP(A20,Stock!A:D,4,0))</f>
        <v/>
      </c>
      <c r="F20" s="10" t="str">
        <f>IF(J2="","",IF(A20="","",(E20*B20)*TPS!B2))</f>
        <v/>
      </c>
      <c r="G20" s="10" t="str">
        <f>IF(F20="","",IF(A20="","",((B20*E20)+(F20))*TVQ!B2))</f>
        <v/>
      </c>
      <c r="H20" s="10" t="str">
        <f>IF(J2="",I20,IF(A20="","",(E20*B20)+(F20+G20)))</f>
        <v/>
      </c>
      <c r="I20" s="130" t="str">
        <f t="shared" si="0"/>
        <v/>
      </c>
      <c r="J20" s="112"/>
      <c r="K20" s="47"/>
      <c r="M20" s="49"/>
    </row>
    <row r="21" spans="1:13" x14ac:dyDescent="0.25">
      <c r="A21" s="58"/>
      <c r="B21" s="94" t="str">
        <f t="shared" si="1"/>
        <v/>
      </c>
      <c r="C21" s="127" t="str">
        <f>IF(A21="","",VLOOKUP(A21,Stock!A:B,2,0))</f>
        <v/>
      </c>
      <c r="D21" s="128"/>
      <c r="E21" s="20" t="str">
        <f>IF(A21="","",VLOOKUP(A21,Stock!A:D,4,0))</f>
        <v/>
      </c>
      <c r="F21" s="10" t="str">
        <f>IF(J2="","",IF(A21="","",(E21*B21)*TPS!B2))</f>
        <v/>
      </c>
      <c r="G21" s="10" t="str">
        <f>IF(F21="","",IF(A21="","",((B21*E21)+(F21))*TVQ!B2))</f>
        <v/>
      </c>
      <c r="H21" s="10" t="str">
        <f>IF(J2="",I21,IF(A21="","",(E21*B21)+(F21+G21)))</f>
        <v/>
      </c>
      <c r="I21" s="130" t="str">
        <f t="shared" si="0"/>
        <v/>
      </c>
      <c r="J21" s="112"/>
      <c r="L21" s="47"/>
      <c r="M21" s="49"/>
    </row>
    <row r="22" spans="1:13" x14ac:dyDescent="0.25">
      <c r="A22" s="58"/>
      <c r="B22" s="94" t="str">
        <f t="shared" si="1"/>
        <v/>
      </c>
      <c r="C22" s="127" t="str">
        <f>IF(A22="","",VLOOKUP(A22,Stock!A:B,2,0))</f>
        <v/>
      </c>
      <c r="D22" s="128"/>
      <c r="E22" s="20" t="str">
        <f>IF(A22="","",VLOOKUP(A22,Stock!A:D,4,0))</f>
        <v/>
      </c>
      <c r="F22" s="10" t="str">
        <f>IF(J2="","",IF(A22="","",(E22*B22)*TPS!B2))</f>
        <v/>
      </c>
      <c r="G22" s="10" t="str">
        <f>IF(F22="","",IF(A22="","",((B22*E22)+(F22))*TVQ!B2))</f>
        <v/>
      </c>
      <c r="H22" s="10" t="str">
        <f>IF(J2="",I22,IF(A22="","",(E22*B22)+(F22+G22)))</f>
        <v/>
      </c>
      <c r="I22" s="130" t="str">
        <f t="shared" si="0"/>
        <v/>
      </c>
      <c r="J22" s="113"/>
      <c r="K22" s="47"/>
      <c r="L22" s="47"/>
      <c r="M22" s="49"/>
    </row>
    <row r="23" spans="1:13" x14ac:dyDescent="0.25">
      <c r="A23" s="58"/>
      <c r="B23" s="94" t="str">
        <f t="shared" si="1"/>
        <v/>
      </c>
      <c r="C23" s="127" t="str">
        <f>IF(A23="","",VLOOKUP(A23,Stock!A:B,2,0))</f>
        <v/>
      </c>
      <c r="D23" s="128"/>
      <c r="E23" s="20" t="str">
        <f>IF(A23="","",VLOOKUP(A23,Stock!A:D,4,0))</f>
        <v/>
      </c>
      <c r="F23" s="10" t="str">
        <f>IF(J2="","",IF(A23="","",(E23*B23)*TPS!B2))</f>
        <v/>
      </c>
      <c r="G23" s="10" t="str">
        <f>IF(F23="","",IF(A23="","",((B23*E23)+(F23))*TVQ!B2))</f>
        <v/>
      </c>
      <c r="H23" s="10" t="str">
        <f>IF(J2="",I23,IF(A23="","",(E23*B23)+(F23+G23)))</f>
        <v/>
      </c>
      <c r="I23" s="130" t="str">
        <f t="shared" si="0"/>
        <v/>
      </c>
      <c r="J23" s="113"/>
      <c r="K23" s="47"/>
      <c r="L23" s="47"/>
      <c r="M23" s="49"/>
    </row>
    <row r="24" spans="1:13" x14ac:dyDescent="0.25">
      <c r="A24" s="58"/>
      <c r="B24" s="94" t="str">
        <f t="shared" si="1"/>
        <v/>
      </c>
      <c r="C24" s="127" t="str">
        <f>IF(A24="","",VLOOKUP(A24,Stock!A:B,2,0))</f>
        <v/>
      </c>
      <c r="D24" s="128"/>
      <c r="E24" s="20" t="str">
        <f>IF(A24="","",VLOOKUP(A24,Stock!A:D,4,0))</f>
        <v/>
      </c>
      <c r="F24" s="10" t="str">
        <f>IF(J2="","",IF(A24="","",(E24*B24)*TPS!B2))</f>
        <v/>
      </c>
      <c r="G24" s="10" t="str">
        <f>IF(F24="","",IF(A24="","",((B24*E24)+(F24))*TVQ!B2))</f>
        <v/>
      </c>
      <c r="H24" s="10" t="str">
        <f>IF(J2="",I24,IF(A24="","",(E24*B24)+(F24+G24)))</f>
        <v/>
      </c>
      <c r="I24" s="130" t="str">
        <f t="shared" si="0"/>
        <v/>
      </c>
      <c r="J24" s="113"/>
      <c r="K24" s="47"/>
      <c r="L24" s="47"/>
      <c r="M24" s="49"/>
    </row>
    <row r="25" spans="1:13" x14ac:dyDescent="0.25">
      <c r="A25" s="58"/>
      <c r="B25" s="94" t="str">
        <f t="shared" si="1"/>
        <v/>
      </c>
      <c r="C25" s="127" t="str">
        <f>IF(A25="","",VLOOKUP(A25,Stock!A:B,2,0))</f>
        <v/>
      </c>
      <c r="D25" s="128"/>
      <c r="E25" s="20" t="str">
        <f>IF(A25="","",VLOOKUP(A25,Stock!A:D,4,0))</f>
        <v/>
      </c>
      <c r="F25" s="10" t="str">
        <f>IF(J2="","",IF(A25="","",(E25*B25)*TPS!B2))</f>
        <v/>
      </c>
      <c r="G25" s="10" t="str">
        <f>IF(F25="","",IF(A25="","",((B25*E25)+(F25))*TVQ!B2))</f>
        <v/>
      </c>
      <c r="H25" s="10" t="str">
        <f>IF(J2="",I25,IF(A25="","",(E25*B25)+(F25+G25)))</f>
        <v/>
      </c>
      <c r="I25" s="130" t="str">
        <f t="shared" si="0"/>
        <v/>
      </c>
      <c r="K25" s="47"/>
      <c r="L25" s="47"/>
      <c r="M25" s="49"/>
    </row>
    <row r="26" spans="1:13" x14ac:dyDescent="0.25">
      <c r="A26" s="58"/>
      <c r="B26" s="94" t="str">
        <f t="shared" si="1"/>
        <v/>
      </c>
      <c r="C26" s="127" t="str">
        <f>IF(A26="","",VLOOKUP(A26,Stock!A:B,2,0))</f>
        <v/>
      </c>
      <c r="D26" s="128"/>
      <c r="E26" s="20" t="str">
        <f>IF(A26="","",VLOOKUP(A26,Stock!A:D,4,0))</f>
        <v/>
      </c>
      <c r="F26" s="10" t="str">
        <f>IF(J2="","",IF(A26="","",(E26*B26)*TPS!B2))</f>
        <v/>
      </c>
      <c r="G26" s="10" t="str">
        <f>IF(F26="","",IF(A26="","",((B26*E26)+(F26))*TVQ!B2))</f>
        <v/>
      </c>
      <c r="H26" s="10" t="str">
        <f>IF(J2="",I26,IF(A26="","",(E26*B26)+(F26+G26)))</f>
        <v/>
      </c>
      <c r="I26" s="130" t="str">
        <f t="shared" si="0"/>
        <v/>
      </c>
      <c r="K26" s="47"/>
      <c r="L26" s="47"/>
      <c r="M26" s="49"/>
    </row>
    <row r="27" spans="1:13" x14ac:dyDescent="0.25">
      <c r="A27" s="58"/>
      <c r="B27" s="94" t="str">
        <f t="shared" si="1"/>
        <v/>
      </c>
      <c r="C27" s="127" t="str">
        <f>IF(A27="","",VLOOKUP(A27,Stock!A:B,2,0))</f>
        <v/>
      </c>
      <c r="D27" s="128"/>
      <c r="E27" s="20" t="str">
        <f>IF(A27="","",VLOOKUP(A27,Stock!A:D,4,0))</f>
        <v/>
      </c>
      <c r="F27" s="10" t="str">
        <f>IF(J2="","",IF(A27="","",(E27*B27)*TPS!B2))</f>
        <v/>
      </c>
      <c r="G27" s="10" t="str">
        <f>IF(F27="","",IF(A27="","",((B27*E27)+(F27))*TVQ!B2))</f>
        <v/>
      </c>
      <c r="H27" s="10" t="str">
        <f>IF(J2="",I27,IF(A27="","",(E27*B27)+(F27+G27)))</f>
        <v/>
      </c>
      <c r="I27" s="130" t="str">
        <f t="shared" si="0"/>
        <v/>
      </c>
      <c r="J27" s="96" t="s">
        <v>63</v>
      </c>
      <c r="K27" s="47"/>
      <c r="L27" s="47"/>
      <c r="M27" s="49"/>
    </row>
    <row r="28" spans="1:13" x14ac:dyDescent="0.25">
      <c r="A28" s="58"/>
      <c r="B28" s="94" t="str">
        <f t="shared" si="1"/>
        <v/>
      </c>
      <c r="C28" s="127" t="str">
        <f>IF(A28="","",VLOOKUP(A28,Stock!A:B,2,0))</f>
        <v/>
      </c>
      <c r="D28" s="128"/>
      <c r="E28" s="20" t="str">
        <f>IF(A28="","",VLOOKUP(A28,Stock!A:D,4,0))</f>
        <v/>
      </c>
      <c r="F28" s="10" t="str">
        <f>IF(J2="","",IF(A28="","",(E28*B28)*TPS!B2))</f>
        <v/>
      </c>
      <c r="G28" s="10" t="str">
        <f>IF(F28="","",IF(A28="","",((B28*E28)+(F28))*TVQ!B2))</f>
        <v/>
      </c>
      <c r="H28" s="10" t="str">
        <f>IF(J2="",I28,IF(A28="","",(E28*B28)+(F28+G28)))</f>
        <v/>
      </c>
      <c r="I28" s="130" t="str">
        <f t="shared" si="0"/>
        <v/>
      </c>
      <c r="J28" s="97" t="s">
        <v>39</v>
      </c>
      <c r="K28" s="47"/>
      <c r="L28" s="47"/>
      <c r="M28" s="49"/>
    </row>
    <row r="29" spans="1:13" x14ac:dyDescent="0.25">
      <c r="A29" s="58"/>
      <c r="B29" s="94" t="str">
        <f t="shared" si="1"/>
        <v/>
      </c>
      <c r="C29" s="127" t="str">
        <f>IF(A29="","",VLOOKUP(A29,Stock!A:B,2,0))</f>
        <v/>
      </c>
      <c r="D29" s="128"/>
      <c r="E29" s="20" t="str">
        <f>IF(A29="","",VLOOKUP(A29,Stock!A:D,4,0))</f>
        <v/>
      </c>
      <c r="F29" s="10" t="str">
        <f>IF(J2="","",IF(A29="","",(E29*B29)*TPS!B2))</f>
        <v/>
      </c>
      <c r="G29" s="10" t="str">
        <f>IF(F29="","",IF(A29="","",((B29*E29)+(F29))*TVQ!B2))</f>
        <v/>
      </c>
      <c r="H29" s="10" t="str">
        <f>IF(J2="",I29,IF(A29="","",(E29*B29)+(F29+G29)))</f>
        <v/>
      </c>
      <c r="I29" s="130" t="str">
        <f t="shared" si="0"/>
        <v/>
      </c>
      <c r="J29" s="97" t="s">
        <v>40</v>
      </c>
      <c r="K29" s="47"/>
      <c r="L29" s="47"/>
      <c r="M29" s="49"/>
    </row>
    <row r="30" spans="1:13" x14ac:dyDescent="0.25">
      <c r="A30" s="58"/>
      <c r="B30" s="94" t="str">
        <f t="shared" si="1"/>
        <v/>
      </c>
      <c r="C30" s="127" t="str">
        <f>IF(A30="","",VLOOKUP(A30,Stock!A:B,2,0))</f>
        <v/>
      </c>
      <c r="D30" s="128"/>
      <c r="E30" s="20" t="str">
        <f>IF(A30="","",VLOOKUP(A30,Stock!A:D,4,0))</f>
        <v/>
      </c>
      <c r="F30" s="10" t="str">
        <f>IF(J2="","",IF(A30="","",(E30*B30)*TPS!B3))</f>
        <v/>
      </c>
      <c r="G30" s="10" t="str">
        <f>IF(F30="","",IF(A30="","",((B30*E30)+(F30))*TVQ!B2))</f>
        <v/>
      </c>
      <c r="H30" s="10" t="str">
        <f>IF(J2="",I30,IF(A30="","",(E30*B30)+(F30+G30)))</f>
        <v/>
      </c>
      <c r="I30" s="130" t="str">
        <f t="shared" si="0"/>
        <v/>
      </c>
      <c r="J30" s="97" t="s">
        <v>0</v>
      </c>
      <c r="K30" s="47"/>
      <c r="L30" s="47"/>
      <c r="M30" s="49"/>
    </row>
    <row r="31" spans="1:13" x14ac:dyDescent="0.25">
      <c r="A31" s="58"/>
      <c r="B31" s="94" t="str">
        <f t="shared" si="1"/>
        <v/>
      </c>
      <c r="C31" s="127" t="str">
        <f>IF(A31="","",VLOOKUP(A31,Stock!A:B,2,0))</f>
        <v/>
      </c>
      <c r="D31" s="128"/>
      <c r="E31" s="20" t="str">
        <f>IF(A31="","",VLOOKUP(A31,Stock!A:D,4,0))</f>
        <v/>
      </c>
      <c r="F31" s="10" t="str">
        <f>IF(J2="","",IF(A31="","",(E31*B31)*TPS!B2))</f>
        <v/>
      </c>
      <c r="G31" s="10" t="str">
        <f>IF(F31="","",IF(A31="","",((B31*E31)+(F31))*TVQ!B2))</f>
        <v/>
      </c>
      <c r="H31" s="10" t="str">
        <f>IF(J2="",I31,IF(A31="","",(E31*B31)+(F31+G31)))</f>
        <v/>
      </c>
      <c r="I31" s="130" t="str">
        <f t="shared" si="0"/>
        <v/>
      </c>
      <c r="J31" s="98" t="s">
        <v>1</v>
      </c>
      <c r="K31" s="47"/>
      <c r="L31" s="47"/>
      <c r="M31" s="49"/>
    </row>
    <row r="32" spans="1:13" x14ac:dyDescent="0.25">
      <c r="A32" s="58"/>
      <c r="B32" s="94" t="str">
        <f t="shared" si="1"/>
        <v/>
      </c>
      <c r="C32" s="127" t="str">
        <f>IF(A32="","",VLOOKUP(A32,Stock!A:B,2,0))</f>
        <v/>
      </c>
      <c r="D32" s="128"/>
      <c r="E32" s="20" t="str">
        <f>IF(A32="","",VLOOKUP(A32,Stock!A:D,4,0))</f>
        <v/>
      </c>
      <c r="F32" s="10" t="str">
        <f>IF(J2="","",IF(A32="","",(E32*B32)*TPS!B2))</f>
        <v/>
      </c>
      <c r="G32" s="10" t="str">
        <f>IF(F32="","",IF(A32="","",((B32*E32)+(F32))*TVQ!B2))</f>
        <v/>
      </c>
      <c r="H32" s="10" t="str">
        <f>IF(J2="",I32,IF(A32="","",(E32*B32)+(F32+G32)))</f>
        <v/>
      </c>
      <c r="I32" s="130" t="str">
        <f t="shared" si="0"/>
        <v/>
      </c>
      <c r="J32" s="97" t="s">
        <v>61</v>
      </c>
      <c r="K32" s="47"/>
      <c r="L32" s="47"/>
      <c r="M32" s="49"/>
    </row>
    <row r="33" spans="1:13" x14ac:dyDescent="0.25">
      <c r="A33" s="58"/>
      <c r="B33" s="94" t="str">
        <f t="shared" si="1"/>
        <v/>
      </c>
      <c r="C33" s="127" t="str">
        <f>IF(A33="","",VLOOKUP(A33,Stock!A:B,2,0))</f>
        <v/>
      </c>
      <c r="D33" s="128"/>
      <c r="E33" s="20" t="str">
        <f>IF(A33="","",VLOOKUP(A33,Stock!A:D,4,0))</f>
        <v/>
      </c>
      <c r="F33" s="10" t="str">
        <f>IF(J2="","",IF(A33="","",(E33*B33)*TPS!B2))</f>
        <v/>
      </c>
      <c r="G33" s="10" t="str">
        <f>IF(F33="","",IF(A33="","",((B33*E33)+(F33))*TVQ!B2))</f>
        <v/>
      </c>
      <c r="H33" s="10" t="str">
        <f>IF(J2="",I33,IF(A33="","",(E33*B33)+(F33+G33)))</f>
        <v/>
      </c>
      <c r="I33" s="130" t="str">
        <f t="shared" si="0"/>
        <v/>
      </c>
      <c r="J33" s="97" t="s">
        <v>31</v>
      </c>
      <c r="K33" s="47"/>
      <c r="L33" s="47"/>
      <c r="M33" s="49"/>
    </row>
    <row r="34" spans="1:13" x14ac:dyDescent="0.25">
      <c r="A34" s="58"/>
      <c r="B34" s="94" t="str">
        <f t="shared" si="1"/>
        <v/>
      </c>
      <c r="C34" s="127" t="str">
        <f>IF(A34="","",VLOOKUP(A34,Stock!A:B,2,0))</f>
        <v/>
      </c>
      <c r="D34" s="128"/>
      <c r="E34" s="20" t="str">
        <f>IF(A34="","",VLOOKUP(A34,Stock!A:D,4,0))</f>
        <v/>
      </c>
      <c r="F34" s="10" t="str">
        <f>IF(J2="","",IF(A34="","",(E34*B34)*TPS!B2))</f>
        <v/>
      </c>
      <c r="G34" s="10" t="str">
        <f>IF(F34="","",IF(A34="","",((B34*E34)+(F34))*TVQ!B2))</f>
        <v/>
      </c>
      <c r="H34" s="10" t="str">
        <f>IF(J2="",I34,IF(A34="","",(E34*B34)+(F34+G34)))</f>
        <v/>
      </c>
      <c r="I34" s="130" t="str">
        <f t="shared" si="0"/>
        <v/>
      </c>
      <c r="J34" s="99" t="s">
        <v>64</v>
      </c>
      <c r="K34" s="47"/>
      <c r="L34" s="47"/>
      <c r="M34" s="49"/>
    </row>
    <row r="35" spans="1:13" x14ac:dyDescent="0.25">
      <c r="A35" s="9"/>
      <c r="F35" s="132">
        <f>SUM(F13:F34)</f>
        <v>27.25</v>
      </c>
      <c r="G35" s="132">
        <f>SUM(G13:G34)</f>
        <v>57.081937500000009</v>
      </c>
      <c r="H35" s="133">
        <f>SUM(F35:G35)</f>
        <v>84.331937500000009</v>
      </c>
      <c r="I35" s="131">
        <f>SUM(I13:I34)</f>
        <v>545</v>
      </c>
      <c r="J35" s="49"/>
      <c r="K35" s="49"/>
      <c r="L35" s="49"/>
      <c r="M35" s="49"/>
    </row>
    <row r="36" spans="1:13" x14ac:dyDescent="0.25">
      <c r="C36" s="64" t="str">
        <f>IF(J2="","","# TPS")</f>
        <v># TPS</v>
      </c>
      <c r="D36" s="166">
        <f>IF(J2="","",125789)</f>
        <v>125789</v>
      </c>
      <c r="E36" s="166"/>
      <c r="F36" s="151" t="str">
        <f>IF(J2="","","Total avant taxes")</f>
        <v>Total avant taxes</v>
      </c>
      <c r="G36" s="151"/>
      <c r="H36" s="70">
        <f>IF(A13="","",IF(J2="","",SUM(H13:H34)-H37-H38))</f>
        <v>545</v>
      </c>
      <c r="J36" s="49"/>
      <c r="K36" s="49"/>
      <c r="L36" s="49"/>
      <c r="M36" s="49"/>
    </row>
    <row r="37" spans="1:13" x14ac:dyDescent="0.25">
      <c r="C37" s="64" t="str">
        <f>IF(J2="","","#TVQ")</f>
        <v>#TVQ</v>
      </c>
      <c r="D37" s="166">
        <f>IF(J2="","",9875532)</f>
        <v>9875532</v>
      </c>
      <c r="E37" s="166"/>
      <c r="F37" s="151" t="str">
        <f>IF(J2="","","Total TPS")</f>
        <v>Total TPS</v>
      </c>
      <c r="G37" s="151"/>
      <c r="H37" s="70">
        <f>IF(A13="","",IF(J2="","",SUM(F13:F34)))</f>
        <v>27.25</v>
      </c>
      <c r="J37" s="49"/>
      <c r="K37" s="49"/>
      <c r="L37" s="49"/>
    </row>
    <row r="38" spans="1:13" ht="18.75" x14ac:dyDescent="0.3">
      <c r="C38" s="45"/>
      <c r="D38" s="46"/>
      <c r="F38" s="151" t="str">
        <f>IF(J2="","","Total TVQ")</f>
        <v>Total TVQ</v>
      </c>
      <c r="G38" s="151"/>
      <c r="H38" s="70">
        <f>IF(A13="","",IF(J2="","",SUM(G13:G34)))</f>
        <v>57.081937500000009</v>
      </c>
      <c r="J38" s="49"/>
      <c r="K38" s="49"/>
      <c r="L38" s="49"/>
    </row>
    <row r="39" spans="1:13" ht="36.75" customHeight="1" x14ac:dyDescent="0.25">
      <c r="B39" s="167" t="s">
        <v>71</v>
      </c>
      <c r="C39" s="168"/>
      <c r="D39" s="168"/>
      <c r="F39" s="169" t="s">
        <v>8</v>
      </c>
      <c r="G39" s="170"/>
      <c r="H39" s="100">
        <f>IF(A13="","",IF(H35=0,I35,H36+H37+H38))</f>
        <v>629.33193749999998</v>
      </c>
      <c r="I39" s="2"/>
      <c r="J39" s="49"/>
      <c r="K39" s="49"/>
      <c r="L39" s="49"/>
    </row>
    <row r="40" spans="1:13" x14ac:dyDescent="0.25">
      <c r="J40" s="49"/>
      <c r="K40" s="49"/>
      <c r="L40" s="49"/>
    </row>
    <row r="41" spans="1:13" x14ac:dyDescent="0.25">
      <c r="G41" s="13"/>
    </row>
    <row r="44" spans="1:13" x14ac:dyDescent="0.25">
      <c r="E44" s="2"/>
    </row>
  </sheetData>
  <sheetProtection selectLockedCells="1"/>
  <mergeCells count="16">
    <mergeCell ref="D36:E36"/>
    <mergeCell ref="D37:E37"/>
    <mergeCell ref="B39:D39"/>
    <mergeCell ref="F37:G37"/>
    <mergeCell ref="F38:G38"/>
    <mergeCell ref="F39:G39"/>
    <mergeCell ref="D3:F3"/>
    <mergeCell ref="D4:F4"/>
    <mergeCell ref="D5:F5"/>
    <mergeCell ref="D6:F6"/>
    <mergeCell ref="D7:F7"/>
    <mergeCell ref="A1:D1"/>
    <mergeCell ref="F36:G36"/>
    <mergeCell ref="G1:H1"/>
    <mergeCell ref="C12:D12"/>
    <mergeCell ref="B9:C9"/>
  </mergeCells>
  <dataValidations count="2">
    <dataValidation type="list" allowBlank="1" showInputMessage="1" showErrorMessage="1" sqref="D3:F3">
      <formula1>Identite</formula1>
    </dataValidation>
    <dataValidation type="list" allowBlank="1" showInputMessage="1" showErrorMessage="1" sqref="A13:A34">
      <formula1>Reference</formula1>
    </dataValidation>
  </dataValidations>
  <hyperlinks>
    <hyperlink ref="J27" location="'Page principal'!A1" display="Page principal"/>
    <hyperlink ref="J28" location="Stock!A1" display="Stock"/>
    <hyperlink ref="J30" location="TPS!A1" display="TPS"/>
    <hyperlink ref="J31" location="TVQ!A1" display="TVQ"/>
    <hyperlink ref="J29" location="Clients!A1" display="Clients"/>
    <hyperlink ref="J34" location="'Historique des factures'!A1" display="Historique des factures"/>
    <hyperlink ref="J32" location="Production!A1" display="Production"/>
    <hyperlink ref="J33" location="Transport!A1" display="Transport"/>
  </hyperlinks>
  <pageMargins left="0.7" right="0.7" top="0.75" bottom="0.33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2" r:id="rId4" name="Button 48">
              <controlPr defaultSize="0" print="0" autoFill="0" autoPict="0" macro="[0]!Reinifact">
                <anchor moveWithCells="1">
                  <from>
                    <xdr:col>8</xdr:col>
                    <xdr:colOff>314325</xdr:colOff>
                    <xdr:row>4</xdr:row>
                    <xdr:rowOff>57150</xdr:rowOff>
                  </from>
                  <to>
                    <xdr:col>9</xdr:col>
                    <xdr:colOff>990600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" name="Button 53">
              <controlPr defaultSize="0" print="0" autoFill="0" autoPict="0" macro="[0]!Savefacture">
                <anchor moveWithCells="1">
                  <from>
                    <xdr:col>8</xdr:col>
                    <xdr:colOff>333375</xdr:colOff>
                    <xdr:row>7</xdr:row>
                    <xdr:rowOff>76200</xdr:rowOff>
                  </from>
                  <to>
                    <xdr:col>9</xdr:col>
                    <xdr:colOff>1009650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50"/>
  <sheetViews>
    <sheetView zoomScaleNormal="100" workbookViewId="0">
      <selection activeCell="C2" sqref="C2"/>
    </sheetView>
  </sheetViews>
  <sheetFormatPr baseColWidth="10" defaultRowHeight="15" x14ac:dyDescent="0.25"/>
  <cols>
    <col min="1" max="1" width="11.140625" customWidth="1"/>
    <col min="2" max="2" width="26" bestFit="1" customWidth="1"/>
    <col min="3" max="3" width="15" style="3" bestFit="1" customWidth="1"/>
    <col min="4" max="4" width="13.42578125" style="13" bestFit="1" customWidth="1"/>
    <col min="8" max="8" width="29" bestFit="1" customWidth="1"/>
    <col min="9" max="9" width="19.140625" bestFit="1" customWidth="1"/>
    <col min="10" max="10" width="23.42578125" customWidth="1"/>
  </cols>
  <sheetData>
    <row r="1" spans="1:12" s="48" customFormat="1" ht="24" customHeight="1" x14ac:dyDescent="0.25">
      <c r="A1" s="125" t="s">
        <v>12</v>
      </c>
      <c r="B1" s="125" t="s">
        <v>13</v>
      </c>
      <c r="C1" s="125" t="s">
        <v>96</v>
      </c>
      <c r="D1" s="126" t="s">
        <v>22</v>
      </c>
      <c r="E1" s="125" t="s">
        <v>0</v>
      </c>
      <c r="F1" s="125" t="s">
        <v>1</v>
      </c>
      <c r="G1" s="125" t="s">
        <v>10</v>
      </c>
      <c r="H1" s="125" t="s">
        <v>14</v>
      </c>
      <c r="I1" s="125" t="s">
        <v>69</v>
      </c>
      <c r="J1" s="121" t="s">
        <v>63</v>
      </c>
    </row>
    <row r="2" spans="1:12" ht="18.75" x14ac:dyDescent="0.3">
      <c r="A2" s="3">
        <f>Production!A39</f>
        <v>1</v>
      </c>
      <c r="B2" t="str">
        <f>VLOOKUP(A2,Production!A:B,2,0)</f>
        <v xml:space="preserve"> Foin première coupe</v>
      </c>
      <c r="C2" s="3">
        <f>IF(ISERROR(VLOOKUP(#REF!,Facture!$A$13:$C$34,3,FALSE)),0,VLOOKUP(#REF!,Facture!$A$13:$C$34,4,FALSE))</f>
        <v>0</v>
      </c>
      <c r="D2" s="13">
        <v>3.5</v>
      </c>
      <c r="E2" s="3">
        <v>1</v>
      </c>
      <c r="F2" s="3">
        <v>2</v>
      </c>
      <c r="G2" s="3">
        <v>200</v>
      </c>
      <c r="H2" s="114" t="str">
        <f>IF(C2&lt;G2,"Manque de foin coupe 1","")</f>
        <v>Manque de foin coupe 1</v>
      </c>
      <c r="I2" s="122">
        <f>VLOOKUP(A2,Production!A:D,4,0)</f>
        <v>206</v>
      </c>
      <c r="J2" s="121" t="s">
        <v>38</v>
      </c>
      <c r="K2" s="49"/>
      <c r="L2" s="49"/>
    </row>
    <row r="3" spans="1:12" ht="18.75" x14ac:dyDescent="0.3">
      <c r="A3" s="3">
        <f>Production!A79</f>
        <v>2</v>
      </c>
      <c r="B3" t="str">
        <f>VLOOKUP(A3,Production!A:B,2,0)</f>
        <v>Foin deuxième coupe</v>
      </c>
      <c r="D3" s="13">
        <v>4</v>
      </c>
      <c r="E3" s="3">
        <v>1</v>
      </c>
      <c r="F3" s="3">
        <v>2</v>
      </c>
      <c r="G3" s="3">
        <v>200</v>
      </c>
      <c r="H3" s="114" t="str">
        <f>IF(C3&lt;G3,"Manque de foin coupe 2","")</f>
        <v>Manque de foin coupe 2</v>
      </c>
      <c r="I3" s="122">
        <f>VLOOKUP(A3,Production!A:D,4,0)</f>
        <v>285</v>
      </c>
      <c r="J3" s="121" t="s">
        <v>40</v>
      </c>
      <c r="K3" s="49"/>
      <c r="L3" s="49"/>
    </row>
    <row r="4" spans="1:12" ht="18.75" x14ac:dyDescent="0.3">
      <c r="A4" s="3">
        <v>3</v>
      </c>
      <c r="B4" t="s">
        <v>74</v>
      </c>
      <c r="D4" s="13">
        <f>Transport!B3</f>
        <v>0.75</v>
      </c>
      <c r="E4" s="3">
        <v>1</v>
      </c>
      <c r="F4" s="3">
        <v>2</v>
      </c>
      <c r="G4" s="3"/>
      <c r="H4" s="60"/>
      <c r="J4" s="121" t="s">
        <v>0</v>
      </c>
      <c r="K4" s="49"/>
      <c r="L4" s="49"/>
    </row>
    <row r="5" spans="1:12" ht="18.75" x14ac:dyDescent="0.3">
      <c r="A5" s="3">
        <v>4</v>
      </c>
      <c r="B5" t="s">
        <v>76</v>
      </c>
      <c r="D5" s="13">
        <v>50</v>
      </c>
      <c r="E5" s="3">
        <v>1</v>
      </c>
      <c r="F5" s="3">
        <v>2</v>
      </c>
      <c r="G5" s="3"/>
      <c r="H5" s="60"/>
      <c r="J5" s="121" t="s">
        <v>1</v>
      </c>
      <c r="K5" s="49"/>
      <c r="L5" s="49"/>
    </row>
    <row r="6" spans="1:12" ht="18.75" x14ac:dyDescent="0.3">
      <c r="A6" s="3">
        <v>5</v>
      </c>
      <c r="B6" t="s">
        <v>65</v>
      </c>
      <c r="D6" s="13">
        <v>25</v>
      </c>
      <c r="E6" s="3">
        <v>1</v>
      </c>
      <c r="F6" s="3">
        <v>2</v>
      </c>
      <c r="G6" s="3"/>
      <c r="H6" s="60"/>
      <c r="J6" s="121" t="s">
        <v>61</v>
      </c>
      <c r="K6" s="49"/>
      <c r="L6" s="49"/>
    </row>
    <row r="7" spans="1:12" x14ac:dyDescent="0.25">
      <c r="A7" s="3"/>
      <c r="G7" s="3"/>
      <c r="J7" s="121" t="s">
        <v>31</v>
      </c>
      <c r="K7" s="49"/>
      <c r="L7" s="49"/>
    </row>
    <row r="8" spans="1:12" x14ac:dyDescent="0.25">
      <c r="A8" s="3"/>
      <c r="G8" s="3"/>
      <c r="J8" s="121" t="s">
        <v>64</v>
      </c>
      <c r="K8" s="49"/>
      <c r="L8" s="49"/>
    </row>
    <row r="9" spans="1:12" x14ac:dyDescent="0.25">
      <c r="A9" s="3"/>
      <c r="G9" s="3"/>
      <c r="K9" s="49"/>
      <c r="L9" s="49"/>
    </row>
    <row r="10" spans="1:12" x14ac:dyDescent="0.25">
      <c r="A10" s="3"/>
      <c r="G10" s="3"/>
      <c r="K10" s="49"/>
      <c r="L10" s="49"/>
    </row>
    <row r="11" spans="1:12" x14ac:dyDescent="0.25">
      <c r="A11" s="3"/>
      <c r="G11" s="3"/>
      <c r="K11" s="49"/>
      <c r="L11" s="49"/>
    </row>
    <row r="12" spans="1:12" ht="21" x14ac:dyDescent="0.35">
      <c r="A12" s="129"/>
      <c r="C12" s="91"/>
      <c r="G12" s="3"/>
      <c r="J12" s="49"/>
      <c r="K12" s="49"/>
      <c r="L12" s="49"/>
    </row>
    <row r="13" spans="1:12" x14ac:dyDescent="0.25">
      <c r="C13" s="13"/>
      <c r="F13" s="61"/>
      <c r="G13" s="3"/>
      <c r="I13" s="73"/>
      <c r="J13" s="49"/>
      <c r="K13" s="49"/>
      <c r="L13" s="49"/>
    </row>
    <row r="14" spans="1:12" ht="21" x14ac:dyDescent="0.35">
      <c r="A14" s="129"/>
      <c r="C14" s="13"/>
      <c r="G14" s="3"/>
      <c r="J14" s="49"/>
      <c r="K14" s="49"/>
    </row>
    <row r="15" spans="1:12" x14ac:dyDescent="0.25">
      <c r="A15" s="3"/>
      <c r="G15" s="3"/>
      <c r="J15" s="49"/>
      <c r="K15" s="49"/>
    </row>
    <row r="16" spans="1:12" x14ac:dyDescent="0.25">
      <c r="A16" s="3"/>
      <c r="G16" s="3"/>
      <c r="J16" s="49"/>
      <c r="K16" s="49"/>
    </row>
    <row r="17" spans="1:11" ht="21" x14ac:dyDescent="0.35">
      <c r="A17" s="3"/>
      <c r="B17" s="129"/>
      <c r="D17" s="172"/>
      <c r="G17" s="3"/>
      <c r="J17" s="49"/>
      <c r="K17" s="49"/>
    </row>
    <row r="18" spans="1:11" x14ac:dyDescent="0.25">
      <c r="A18" s="3"/>
      <c r="G18" s="3"/>
      <c r="J18" s="49"/>
      <c r="K18" s="49"/>
    </row>
    <row r="19" spans="1:11" x14ac:dyDescent="0.25">
      <c r="A19" s="3"/>
      <c r="G19" s="3"/>
      <c r="J19" s="49"/>
      <c r="K19" s="49"/>
    </row>
    <row r="20" spans="1:11" x14ac:dyDescent="0.25">
      <c r="A20" s="3"/>
      <c r="G20" s="3"/>
      <c r="J20" s="49"/>
      <c r="K20" s="49"/>
    </row>
    <row r="21" spans="1:11" ht="18.75" x14ac:dyDescent="0.3">
      <c r="A21" s="171"/>
    </row>
    <row r="22" spans="1:11" ht="18.75" x14ac:dyDescent="0.3">
      <c r="A22" s="171"/>
    </row>
    <row r="23" spans="1:11" x14ac:dyDescent="0.25">
      <c r="A23" s="3"/>
    </row>
    <row r="24" spans="1:11" x14ac:dyDescent="0.25">
      <c r="A24" s="3"/>
    </row>
    <row r="25" spans="1:11" x14ac:dyDescent="0.25">
      <c r="A25" s="3"/>
    </row>
    <row r="26" spans="1:11" x14ac:dyDescent="0.25">
      <c r="A26" s="3"/>
    </row>
    <row r="27" spans="1:11" x14ac:dyDescent="0.25">
      <c r="A27" s="3"/>
    </row>
    <row r="28" spans="1:11" x14ac:dyDescent="0.25">
      <c r="A28" s="3"/>
    </row>
    <row r="29" spans="1:11" x14ac:dyDescent="0.25">
      <c r="A29" s="3"/>
    </row>
    <row r="30" spans="1:11" x14ac:dyDescent="0.25">
      <c r="A30" s="3"/>
    </row>
    <row r="31" spans="1:11" x14ac:dyDescent="0.25">
      <c r="A31" s="3"/>
    </row>
    <row r="32" spans="1:11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</sheetData>
  <conditionalFormatting sqref="H3">
    <cfRule type="containsText" dxfId="1" priority="1" operator="containsText" text="Manque de foin 2">
      <formula>NOT(ISERROR(SEARCH("Manque de foin 2",H3)))</formula>
    </cfRule>
  </conditionalFormatting>
  <hyperlinks>
    <hyperlink ref="J1" location="'Page principal'!A1" display="Page principal"/>
    <hyperlink ref="J2" location="Facture!A1" display="Facture"/>
    <hyperlink ref="J4" location="TPS!A1" display="TPS"/>
    <hyperlink ref="J3" location="Clients!A1" display="Clients"/>
    <hyperlink ref="J5" location="TVQ!A1" display="TVQ"/>
    <hyperlink ref="J8" location="'Historique des factures'!A1" display="Historique des factures"/>
    <hyperlink ref="J6" location="Production!A1" display="Production"/>
    <hyperlink ref="J7" location="Transport!A1" display="Transport"/>
  </hyperlink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201C23AA-905A-4C47-BFB2-7C75331B6B05}">
            <xm:f>NOT(ISERROR(SEARCH($I$2,H2)))</xm:f>
            <xm:f>$I$2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H2:H6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535"/>
  <sheetViews>
    <sheetView workbookViewId="0">
      <selection activeCell="C10" sqref="C10"/>
    </sheetView>
  </sheetViews>
  <sheetFormatPr baseColWidth="10" defaultRowHeight="15" x14ac:dyDescent="0.25"/>
  <cols>
    <col min="1" max="1" width="19.140625" bestFit="1" customWidth="1"/>
    <col min="2" max="2" width="17.140625" customWidth="1"/>
    <col min="3" max="3" width="18" customWidth="1"/>
    <col min="4" max="4" width="25.7109375" customWidth="1"/>
    <col min="5" max="5" width="20.85546875" customWidth="1"/>
    <col min="6" max="6" width="9" customWidth="1"/>
    <col min="7" max="7" width="13.28515625" customWidth="1"/>
    <col min="8" max="8" width="15.7109375" bestFit="1" customWidth="1"/>
    <col min="9" max="9" width="11.42578125" customWidth="1"/>
    <col min="10" max="10" width="18.7109375" bestFit="1" customWidth="1"/>
    <col min="11" max="11" width="24.7109375" customWidth="1"/>
    <col min="12" max="12" width="25.7109375" customWidth="1"/>
  </cols>
  <sheetData>
    <row r="1" spans="1:11" ht="36.75" customHeight="1" x14ac:dyDescent="0.25">
      <c r="A1" s="74" t="s">
        <v>29</v>
      </c>
      <c r="B1" s="75" t="s">
        <v>24</v>
      </c>
      <c r="C1" s="74" t="s">
        <v>25</v>
      </c>
      <c r="D1" s="74" t="s">
        <v>26</v>
      </c>
      <c r="E1" s="74" t="s">
        <v>28</v>
      </c>
      <c r="F1" s="75" t="s">
        <v>68</v>
      </c>
      <c r="G1" s="74" t="s">
        <v>27</v>
      </c>
      <c r="H1" s="75" t="s">
        <v>67</v>
      </c>
      <c r="I1" s="75" t="s">
        <v>66</v>
      </c>
      <c r="J1" s="79" t="s">
        <v>29</v>
      </c>
    </row>
    <row r="2" spans="1:11" s="73" customFormat="1" x14ac:dyDescent="0.25">
      <c r="A2" s="54" t="str">
        <f>CONCATENATE(B2,"  ",C2)</f>
        <v>yoyo  elsa</v>
      </c>
      <c r="B2" s="116" t="s">
        <v>88</v>
      </c>
      <c r="C2" s="117" t="s">
        <v>89</v>
      </c>
      <c r="D2" s="117" t="s">
        <v>90</v>
      </c>
      <c r="E2" s="117" t="s">
        <v>91</v>
      </c>
      <c r="F2" s="118" t="s">
        <v>92</v>
      </c>
      <c r="G2" s="115">
        <v>450654654</v>
      </c>
      <c r="H2" s="54">
        <f>COUNTIF('Historique des factures'!B:B,A2)</f>
        <v>1</v>
      </c>
      <c r="I2" s="10">
        <f>SUMIF('Historique des factures'!B:B,A2,'Historique des factures'!D:D)</f>
        <v>1299.0796875000001</v>
      </c>
      <c r="J2" s="119" t="str">
        <f>A2</f>
        <v>yoyo  elsa</v>
      </c>
    </row>
    <row r="3" spans="1:11" x14ac:dyDescent="0.25">
      <c r="A3" s="54" t="str">
        <f>CONCATENATE(B3,"  ",C3)</f>
        <v>Joe  Blaue</v>
      </c>
      <c r="B3" t="s">
        <v>81</v>
      </c>
      <c r="C3" t="s">
        <v>82</v>
      </c>
      <c r="D3" t="s">
        <v>85</v>
      </c>
      <c r="E3" t="s">
        <v>83</v>
      </c>
      <c r="F3" t="s">
        <v>84</v>
      </c>
      <c r="G3" s="102">
        <v>4184553333</v>
      </c>
      <c r="H3" s="68">
        <f>COUNTIF('Historique des factures'!B:B,A3)</f>
        <v>4</v>
      </c>
      <c r="I3" s="70">
        <f>SUMIF('Historique des factures'!B:B,A3,'Historique des factures'!D:D)</f>
        <v>1732.1062499999998</v>
      </c>
      <c r="J3" s="49" t="str">
        <f>A3</f>
        <v>Joe  Blaue</v>
      </c>
    </row>
    <row r="6" spans="1:11" x14ac:dyDescent="0.25">
      <c r="I6" s="2"/>
      <c r="J6" s="49"/>
      <c r="K6" s="84" t="s">
        <v>63</v>
      </c>
    </row>
    <row r="7" spans="1:11" x14ac:dyDescent="0.25">
      <c r="B7" s="73"/>
      <c r="I7" s="2"/>
      <c r="J7" s="49"/>
      <c r="K7" s="81" t="s">
        <v>38</v>
      </c>
    </row>
    <row r="8" spans="1:11" x14ac:dyDescent="0.25">
      <c r="I8" s="2"/>
      <c r="J8" s="49"/>
      <c r="K8" s="81" t="s">
        <v>39</v>
      </c>
    </row>
    <row r="9" spans="1:11" x14ac:dyDescent="0.25">
      <c r="I9" s="2"/>
      <c r="J9" s="63"/>
      <c r="K9" s="81" t="s">
        <v>0</v>
      </c>
    </row>
    <row r="10" spans="1:11" x14ac:dyDescent="0.25">
      <c r="I10" s="2"/>
      <c r="J10" s="63"/>
      <c r="K10" s="81" t="s">
        <v>1</v>
      </c>
    </row>
    <row r="11" spans="1:11" x14ac:dyDescent="0.25">
      <c r="I11" s="2"/>
      <c r="J11" s="63"/>
      <c r="K11" s="81" t="s">
        <v>61</v>
      </c>
    </row>
    <row r="12" spans="1:11" x14ac:dyDescent="0.25">
      <c r="I12" s="2"/>
      <c r="J12" s="63"/>
      <c r="K12" s="81" t="s">
        <v>31</v>
      </c>
    </row>
    <row r="13" spans="1:11" x14ac:dyDescent="0.25">
      <c r="J13" s="63">
        <f t="shared" ref="J13" si="0">A13</f>
        <v>0</v>
      </c>
      <c r="K13" s="82" t="s">
        <v>64</v>
      </c>
    </row>
    <row r="535" spans="7:7" x14ac:dyDescent="0.25">
      <c r="G535">
        <v>25</v>
      </c>
    </row>
  </sheetData>
  <hyperlinks>
    <hyperlink ref="K6" location="'Page principal'!A1" display="Page principal"/>
    <hyperlink ref="K7" location="Facture!A1" display="Facture"/>
    <hyperlink ref="K8" location="Stock!A1" display="Stock"/>
    <hyperlink ref="K9" location="TPS!A1" display="TPS"/>
    <hyperlink ref="K10" location="TVQ!A1" display="TVQ"/>
    <hyperlink ref="K13" location="'Historique des factures'!A1" display="Historique des factures"/>
    <hyperlink ref="K11" location="Production!A1" display="Production"/>
    <hyperlink ref="K12" location="Transport!A1" display="Transport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9"/>
  <sheetViews>
    <sheetView workbookViewId="0"/>
  </sheetViews>
  <sheetFormatPr baseColWidth="10" defaultRowHeight="15" x14ac:dyDescent="0.25"/>
  <cols>
    <col min="4" max="4" width="24.7109375" customWidth="1"/>
  </cols>
  <sheetData>
    <row r="1" spans="1:4" ht="18.75" x14ac:dyDescent="0.3">
      <c r="A1" s="41" t="s">
        <v>0</v>
      </c>
      <c r="B1" s="41" t="s">
        <v>11</v>
      </c>
    </row>
    <row r="2" spans="1:4" x14ac:dyDescent="0.25">
      <c r="A2" s="12">
        <v>1</v>
      </c>
      <c r="B2" s="1">
        <v>0.05</v>
      </c>
      <c r="C2" s="3"/>
      <c r="D2" s="80" t="s">
        <v>63</v>
      </c>
    </row>
    <row r="3" spans="1:4" x14ac:dyDescent="0.25">
      <c r="A3" s="3"/>
      <c r="D3" s="81" t="s">
        <v>38</v>
      </c>
    </row>
    <row r="4" spans="1:4" x14ac:dyDescent="0.25">
      <c r="A4" s="3"/>
      <c r="B4" s="1"/>
      <c r="D4" s="81" t="s">
        <v>39</v>
      </c>
    </row>
    <row r="5" spans="1:4" x14ac:dyDescent="0.25">
      <c r="D5" s="81" t="s">
        <v>40</v>
      </c>
    </row>
    <row r="6" spans="1:4" x14ac:dyDescent="0.25">
      <c r="D6" s="81" t="s">
        <v>1</v>
      </c>
    </row>
    <row r="7" spans="1:4" x14ac:dyDescent="0.25">
      <c r="D7" s="81" t="s">
        <v>61</v>
      </c>
    </row>
    <row r="8" spans="1:4" x14ac:dyDescent="0.25">
      <c r="D8" s="81" t="s">
        <v>31</v>
      </c>
    </row>
    <row r="9" spans="1:4" x14ac:dyDescent="0.25">
      <c r="D9" s="82" t="s">
        <v>64</v>
      </c>
    </row>
  </sheetData>
  <hyperlinks>
    <hyperlink ref="D2" location="'Page principal'!A1" display="Page principal"/>
    <hyperlink ref="D3" location="Facture!A1" display="Facture"/>
    <hyperlink ref="D4" location="Stock!A1" display="Stock"/>
    <hyperlink ref="D6" location="TVQ!A1" display="TVQ"/>
    <hyperlink ref="D5" location="Clients!A1" display="Clients"/>
    <hyperlink ref="D9" location="'Historique des factures'!A1" display="Historique des factures"/>
    <hyperlink ref="D7" location="Production!A1" display="Production"/>
    <hyperlink ref="D8" location="Transport!A1" display="Transport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8"/>
  <sheetViews>
    <sheetView workbookViewId="0">
      <selection activeCell="I8" sqref="I8"/>
    </sheetView>
  </sheetViews>
  <sheetFormatPr baseColWidth="10" defaultRowHeight="15" x14ac:dyDescent="0.25"/>
  <cols>
    <col min="4" max="4" width="24.7109375" customWidth="1"/>
  </cols>
  <sheetData>
    <row r="1" spans="1:4" ht="18.75" x14ac:dyDescent="0.3">
      <c r="A1" s="42" t="s">
        <v>1</v>
      </c>
      <c r="B1" s="42" t="s">
        <v>11</v>
      </c>
      <c r="D1" s="80" t="s">
        <v>63</v>
      </c>
    </row>
    <row r="2" spans="1:4" x14ac:dyDescent="0.25">
      <c r="A2" s="3">
        <v>2</v>
      </c>
      <c r="B2" s="101">
        <v>9.9750000000000005E-2</v>
      </c>
      <c r="D2" s="81" t="s">
        <v>38</v>
      </c>
    </row>
    <row r="3" spans="1:4" x14ac:dyDescent="0.25">
      <c r="D3" s="81" t="s">
        <v>39</v>
      </c>
    </row>
    <row r="4" spans="1:4" x14ac:dyDescent="0.25">
      <c r="D4" s="81" t="s">
        <v>40</v>
      </c>
    </row>
    <row r="5" spans="1:4" x14ac:dyDescent="0.25">
      <c r="D5" s="81" t="s">
        <v>0</v>
      </c>
    </row>
    <row r="6" spans="1:4" x14ac:dyDescent="0.25">
      <c r="D6" s="81" t="s">
        <v>61</v>
      </c>
    </row>
    <row r="7" spans="1:4" x14ac:dyDescent="0.25">
      <c r="D7" s="81" t="s">
        <v>31</v>
      </c>
    </row>
    <row r="8" spans="1:4" x14ac:dyDescent="0.25">
      <c r="D8" s="82" t="s">
        <v>64</v>
      </c>
    </row>
  </sheetData>
  <hyperlinks>
    <hyperlink ref="D1" location="'Page principal'!A1" display="Page principal"/>
    <hyperlink ref="D2" location="Facture!A1" display="Facture"/>
    <hyperlink ref="D3" location="Stock!A1" display="Stock"/>
    <hyperlink ref="D5" location="TPS!A1" display="TPS"/>
    <hyperlink ref="D4" location="Clients!A1" display="Clients"/>
    <hyperlink ref="D8" location="'Historique des factures'!A1" display="Historique des factures"/>
    <hyperlink ref="D6" location="Production!A1" display="Production"/>
    <hyperlink ref="D7" location="Transport!A1" display="Transport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2"/>
  </sheetPr>
  <dimension ref="A1:J79"/>
  <sheetViews>
    <sheetView tabSelected="1" workbookViewId="0">
      <selection activeCell="D51" sqref="D51"/>
    </sheetView>
  </sheetViews>
  <sheetFormatPr baseColWidth="10" defaultRowHeight="15" x14ac:dyDescent="0.25"/>
  <cols>
    <col min="2" max="2" width="24.7109375" bestFit="1" customWidth="1"/>
    <col min="3" max="3" width="18.42578125" customWidth="1"/>
    <col min="4" max="4" width="10" bestFit="1" customWidth="1"/>
    <col min="5" max="5" width="18.42578125" customWidth="1"/>
    <col min="6" max="6" width="27" customWidth="1"/>
    <col min="7" max="7" width="10" bestFit="1" customWidth="1"/>
    <col min="8" max="8" width="18.42578125" customWidth="1"/>
    <col min="9" max="9" width="11.42578125" style="38" customWidth="1"/>
    <col min="10" max="10" width="23.85546875" customWidth="1"/>
    <col min="11" max="15" width="11.42578125" customWidth="1"/>
  </cols>
  <sheetData>
    <row r="1" spans="1:10" ht="47.25" customHeight="1" x14ac:dyDescent="0.25">
      <c r="A1" s="123" t="s">
        <v>94</v>
      </c>
      <c r="B1" s="123" t="s">
        <v>13</v>
      </c>
      <c r="C1" s="21" t="s">
        <v>18</v>
      </c>
      <c r="D1" s="22"/>
      <c r="E1" s="23" t="s">
        <v>20</v>
      </c>
      <c r="I1" s="34"/>
      <c r="J1" s="11"/>
    </row>
    <row r="2" spans="1:10" ht="18.75" x14ac:dyDescent="0.3">
      <c r="C2" s="6"/>
      <c r="D2" s="7"/>
      <c r="E2" s="24">
        <f>Stock!D2</f>
        <v>3.5</v>
      </c>
      <c r="I2" s="35"/>
    </row>
    <row r="3" spans="1:10" x14ac:dyDescent="0.25">
      <c r="C3" s="4"/>
      <c r="D3" s="8"/>
      <c r="E3" s="16"/>
      <c r="F3" s="80" t="s">
        <v>63</v>
      </c>
      <c r="I3" s="36"/>
    </row>
    <row r="4" spans="1:10" x14ac:dyDescent="0.25">
      <c r="C4" s="29" t="s">
        <v>3</v>
      </c>
      <c r="D4" s="29" t="s">
        <v>5</v>
      </c>
      <c r="E4" s="28" t="s">
        <v>6</v>
      </c>
      <c r="F4" s="81" t="s">
        <v>38</v>
      </c>
      <c r="I4" s="31"/>
    </row>
    <row r="5" spans="1:10" x14ac:dyDescent="0.25">
      <c r="C5" s="59">
        <v>42156</v>
      </c>
      <c r="D5" s="58">
        <v>55</v>
      </c>
      <c r="E5" s="20">
        <f>IF(D5="","",D5*$E$2)</f>
        <v>192.5</v>
      </c>
      <c r="F5" s="83" t="s">
        <v>39</v>
      </c>
      <c r="I5" s="32"/>
    </row>
    <row r="6" spans="1:10" x14ac:dyDescent="0.25">
      <c r="C6" s="59">
        <v>42523</v>
      </c>
      <c r="D6" s="58">
        <v>20</v>
      </c>
      <c r="E6" s="20">
        <f t="shared" ref="E6:E38" si="0">IF(D6="","",D6*$E$2)</f>
        <v>70</v>
      </c>
      <c r="F6" s="81" t="s">
        <v>40</v>
      </c>
      <c r="I6" s="32"/>
    </row>
    <row r="7" spans="1:10" x14ac:dyDescent="0.25">
      <c r="C7" s="59">
        <v>42524</v>
      </c>
      <c r="D7" s="58">
        <v>10</v>
      </c>
      <c r="E7" s="20">
        <f t="shared" si="0"/>
        <v>35</v>
      </c>
      <c r="F7" s="81" t="s">
        <v>0</v>
      </c>
      <c r="I7" s="32"/>
    </row>
    <row r="8" spans="1:10" x14ac:dyDescent="0.25">
      <c r="C8" s="59">
        <v>42525</v>
      </c>
      <c r="D8" s="58"/>
      <c r="E8" s="20" t="str">
        <f t="shared" si="0"/>
        <v/>
      </c>
      <c r="F8" s="81" t="s">
        <v>1</v>
      </c>
      <c r="I8" s="32"/>
    </row>
    <row r="9" spans="1:10" x14ac:dyDescent="0.25">
      <c r="C9" s="59">
        <v>42526</v>
      </c>
      <c r="D9" s="58">
        <v>2</v>
      </c>
      <c r="E9" s="20">
        <f t="shared" si="0"/>
        <v>7</v>
      </c>
      <c r="F9" s="81" t="s">
        <v>31</v>
      </c>
      <c r="I9" s="32"/>
    </row>
    <row r="10" spans="1:10" x14ac:dyDescent="0.25">
      <c r="C10" s="59">
        <v>42527</v>
      </c>
      <c r="D10" s="58"/>
      <c r="E10" s="20" t="str">
        <f t="shared" si="0"/>
        <v/>
      </c>
      <c r="F10" s="82" t="s">
        <v>64</v>
      </c>
      <c r="I10" s="32"/>
      <c r="J10" s="33"/>
    </row>
    <row r="11" spans="1:10" x14ac:dyDescent="0.25">
      <c r="C11" s="59">
        <v>42528</v>
      </c>
      <c r="D11" s="58">
        <v>10</v>
      </c>
      <c r="E11" s="20">
        <f t="shared" si="0"/>
        <v>35</v>
      </c>
      <c r="I11" s="32"/>
      <c r="J11" s="33"/>
    </row>
    <row r="12" spans="1:10" x14ac:dyDescent="0.25">
      <c r="C12" s="59">
        <v>42529</v>
      </c>
      <c r="D12" s="58"/>
      <c r="E12" s="20" t="str">
        <f t="shared" si="0"/>
        <v/>
      </c>
      <c r="I12" s="32"/>
      <c r="J12" s="33"/>
    </row>
    <row r="13" spans="1:10" x14ac:dyDescent="0.25">
      <c r="C13" s="59">
        <v>42530</v>
      </c>
      <c r="D13" s="58">
        <v>4</v>
      </c>
      <c r="E13" s="20">
        <f t="shared" si="0"/>
        <v>14</v>
      </c>
      <c r="I13" s="32"/>
      <c r="J13" s="33"/>
    </row>
    <row r="14" spans="1:10" x14ac:dyDescent="0.25">
      <c r="C14" s="59">
        <v>42531</v>
      </c>
      <c r="D14" s="58">
        <v>100</v>
      </c>
      <c r="E14" s="20">
        <f t="shared" si="0"/>
        <v>350</v>
      </c>
      <c r="I14" s="32"/>
      <c r="J14" s="33"/>
    </row>
    <row r="15" spans="1:10" x14ac:dyDescent="0.25">
      <c r="C15" s="59">
        <v>42532</v>
      </c>
      <c r="D15" s="58"/>
      <c r="E15" s="20" t="str">
        <f t="shared" si="0"/>
        <v/>
      </c>
      <c r="I15" s="32"/>
      <c r="J15" s="33"/>
    </row>
    <row r="16" spans="1:10" x14ac:dyDescent="0.25">
      <c r="C16" s="59">
        <v>42533</v>
      </c>
      <c r="D16" s="58"/>
      <c r="E16" s="20" t="str">
        <f t="shared" si="0"/>
        <v/>
      </c>
      <c r="I16" s="32"/>
      <c r="J16" s="33"/>
    </row>
    <row r="17" spans="3:10" x14ac:dyDescent="0.25">
      <c r="C17" s="59">
        <v>42534</v>
      </c>
      <c r="D17" s="58"/>
      <c r="E17" s="20" t="str">
        <f t="shared" si="0"/>
        <v/>
      </c>
      <c r="I17" s="32"/>
      <c r="J17" s="33"/>
    </row>
    <row r="18" spans="3:10" x14ac:dyDescent="0.25">
      <c r="C18" s="59">
        <v>42535</v>
      </c>
      <c r="D18" s="58"/>
      <c r="E18" s="20" t="str">
        <f t="shared" si="0"/>
        <v/>
      </c>
      <c r="I18" s="32"/>
      <c r="J18" s="33"/>
    </row>
    <row r="19" spans="3:10" x14ac:dyDescent="0.25">
      <c r="C19" s="59">
        <v>42536</v>
      </c>
      <c r="D19" s="58"/>
      <c r="E19" s="20" t="str">
        <f t="shared" si="0"/>
        <v/>
      </c>
      <c r="I19" s="32"/>
      <c r="J19" s="33"/>
    </row>
    <row r="20" spans="3:10" x14ac:dyDescent="0.25">
      <c r="C20" s="59">
        <v>42537</v>
      </c>
      <c r="D20" s="58">
        <v>5</v>
      </c>
      <c r="E20" s="20">
        <f t="shared" si="0"/>
        <v>17.5</v>
      </c>
      <c r="I20" s="32"/>
      <c r="J20" s="33"/>
    </row>
    <row r="21" spans="3:10" x14ac:dyDescent="0.25">
      <c r="C21" s="59">
        <v>42538</v>
      </c>
      <c r="D21" s="58"/>
      <c r="E21" s="20" t="str">
        <f t="shared" si="0"/>
        <v/>
      </c>
      <c r="I21" s="32"/>
      <c r="J21" s="33"/>
    </row>
    <row r="22" spans="3:10" x14ac:dyDescent="0.25">
      <c r="C22" s="59">
        <v>42539</v>
      </c>
      <c r="D22" s="58"/>
      <c r="E22" s="20" t="str">
        <f t="shared" si="0"/>
        <v/>
      </c>
      <c r="I22" s="32"/>
      <c r="J22" s="33"/>
    </row>
    <row r="23" spans="3:10" x14ac:dyDescent="0.25">
      <c r="C23" s="59">
        <v>42540</v>
      </c>
      <c r="D23" s="58"/>
      <c r="E23" s="20" t="str">
        <f t="shared" si="0"/>
        <v/>
      </c>
      <c r="I23" s="32"/>
      <c r="J23" s="33"/>
    </row>
    <row r="24" spans="3:10" x14ac:dyDescent="0.25">
      <c r="C24" s="59">
        <v>42541</v>
      </c>
      <c r="D24" s="58"/>
      <c r="E24" s="20" t="str">
        <f t="shared" si="0"/>
        <v/>
      </c>
      <c r="I24" s="32"/>
      <c r="J24" s="33"/>
    </row>
    <row r="25" spans="3:10" x14ac:dyDescent="0.25">
      <c r="C25" s="59">
        <v>42542</v>
      </c>
      <c r="D25" s="58"/>
      <c r="E25" s="20" t="str">
        <f t="shared" si="0"/>
        <v/>
      </c>
      <c r="I25" s="32"/>
      <c r="J25" s="33"/>
    </row>
    <row r="26" spans="3:10" x14ac:dyDescent="0.25">
      <c r="C26" s="59">
        <v>42543</v>
      </c>
      <c r="D26" s="58"/>
      <c r="E26" s="20" t="str">
        <f t="shared" si="0"/>
        <v/>
      </c>
      <c r="I26" s="32"/>
      <c r="J26" s="33"/>
    </row>
    <row r="27" spans="3:10" x14ac:dyDescent="0.25">
      <c r="C27" s="59">
        <v>42544</v>
      </c>
      <c r="D27" s="58"/>
      <c r="E27" s="20" t="str">
        <f t="shared" si="0"/>
        <v/>
      </c>
      <c r="I27" s="32"/>
      <c r="J27" s="33"/>
    </row>
    <row r="28" spans="3:10" x14ac:dyDescent="0.25">
      <c r="C28" s="59">
        <v>42545</v>
      </c>
      <c r="D28" s="58"/>
      <c r="E28" s="20" t="str">
        <f t="shared" si="0"/>
        <v/>
      </c>
      <c r="I28" s="32"/>
      <c r="J28" s="33"/>
    </row>
    <row r="29" spans="3:10" x14ac:dyDescent="0.25">
      <c r="C29" s="59">
        <v>42546</v>
      </c>
      <c r="D29" s="58"/>
      <c r="E29" s="20" t="str">
        <f t="shared" si="0"/>
        <v/>
      </c>
      <c r="I29" s="32"/>
      <c r="J29" s="33"/>
    </row>
    <row r="30" spans="3:10" x14ac:dyDescent="0.25">
      <c r="C30" s="59">
        <v>42547</v>
      </c>
      <c r="D30" s="58"/>
      <c r="E30" s="20" t="str">
        <f t="shared" si="0"/>
        <v/>
      </c>
      <c r="I30" s="32"/>
      <c r="J30" s="33"/>
    </row>
    <row r="31" spans="3:10" x14ac:dyDescent="0.25">
      <c r="C31" s="59">
        <v>42548</v>
      </c>
      <c r="D31" s="58"/>
      <c r="E31" s="20" t="str">
        <f t="shared" si="0"/>
        <v/>
      </c>
      <c r="I31" s="32"/>
      <c r="J31" s="33"/>
    </row>
    <row r="32" spans="3:10" x14ac:dyDescent="0.25">
      <c r="C32" s="59">
        <v>42549</v>
      </c>
      <c r="D32" s="58"/>
      <c r="E32" s="20" t="str">
        <f t="shared" si="0"/>
        <v/>
      </c>
      <c r="I32" s="32"/>
      <c r="J32" s="33"/>
    </row>
    <row r="33" spans="1:10" x14ac:dyDescent="0.25">
      <c r="C33" s="59">
        <v>42550</v>
      </c>
      <c r="D33" s="58"/>
      <c r="E33" s="20" t="str">
        <f t="shared" si="0"/>
        <v/>
      </c>
      <c r="I33" s="32"/>
      <c r="J33" s="33"/>
    </row>
    <row r="34" spans="1:10" x14ac:dyDescent="0.25">
      <c r="C34" s="59">
        <v>42551</v>
      </c>
      <c r="D34" s="58"/>
      <c r="E34" s="20" t="str">
        <f t="shared" si="0"/>
        <v/>
      </c>
      <c r="I34" s="32"/>
      <c r="J34" s="33"/>
    </row>
    <row r="35" spans="1:10" x14ac:dyDescent="0.25">
      <c r="C35" s="59">
        <v>42552</v>
      </c>
      <c r="D35" s="58"/>
      <c r="E35" s="20" t="str">
        <f t="shared" si="0"/>
        <v/>
      </c>
      <c r="I35" s="32"/>
      <c r="J35" s="33"/>
    </row>
    <row r="36" spans="1:10" x14ac:dyDescent="0.25">
      <c r="C36" s="59">
        <v>42553</v>
      </c>
      <c r="D36" s="58"/>
      <c r="E36" s="20" t="str">
        <f t="shared" si="0"/>
        <v/>
      </c>
      <c r="I36" s="32"/>
      <c r="J36" s="33"/>
    </row>
    <row r="37" spans="1:10" x14ac:dyDescent="0.25">
      <c r="C37" s="59">
        <v>42554</v>
      </c>
      <c r="D37" s="58"/>
      <c r="E37" s="20" t="str">
        <f t="shared" si="0"/>
        <v/>
      </c>
      <c r="I37" s="32"/>
      <c r="J37" s="33"/>
    </row>
    <row r="38" spans="1:10" x14ac:dyDescent="0.25">
      <c r="C38" s="59">
        <v>42555</v>
      </c>
      <c r="D38" s="58"/>
      <c r="E38" s="20" t="str">
        <f t="shared" si="0"/>
        <v/>
      </c>
      <c r="I38" s="32"/>
      <c r="J38" s="33"/>
    </row>
    <row r="39" spans="1:10" ht="31.5" customHeight="1" x14ac:dyDescent="0.25">
      <c r="A39" s="124">
        <v>1</v>
      </c>
      <c r="B39" s="124" t="s">
        <v>95</v>
      </c>
      <c r="C39" s="17" t="s">
        <v>6</v>
      </c>
      <c r="D39" s="18">
        <f>SUM(D5:D36)</f>
        <v>206</v>
      </c>
      <c r="E39" s="19">
        <f>SUM(E5:E38)</f>
        <v>721</v>
      </c>
      <c r="I39" s="37"/>
    </row>
    <row r="41" spans="1:10" ht="49.5" x14ac:dyDescent="0.25">
      <c r="C41" s="21" t="s">
        <v>19</v>
      </c>
      <c r="D41" s="30"/>
      <c r="E41" s="23" t="s">
        <v>21</v>
      </c>
    </row>
    <row r="42" spans="1:10" ht="18.75" x14ac:dyDescent="0.3">
      <c r="C42" s="6"/>
      <c r="D42" s="7"/>
      <c r="E42" s="24">
        <f>Stock!D3</f>
        <v>4</v>
      </c>
    </row>
    <row r="43" spans="1:10" x14ac:dyDescent="0.25">
      <c r="C43" s="4"/>
      <c r="D43" s="8"/>
      <c r="E43" s="25"/>
    </row>
    <row r="44" spans="1:10" x14ac:dyDescent="0.25">
      <c r="C44" s="28" t="s">
        <v>4</v>
      </c>
      <c r="D44" s="28" t="s">
        <v>5</v>
      </c>
      <c r="E44" s="26" t="s">
        <v>6</v>
      </c>
    </row>
    <row r="45" spans="1:10" x14ac:dyDescent="0.25">
      <c r="C45" s="59">
        <v>42604</v>
      </c>
      <c r="D45" s="58">
        <v>250</v>
      </c>
      <c r="E45" s="20">
        <f t="shared" ref="E45:E78" si="1">IF(D45="","",D45*$E$42)</f>
        <v>1000</v>
      </c>
    </row>
    <row r="46" spans="1:10" x14ac:dyDescent="0.25">
      <c r="C46" s="59">
        <v>42605</v>
      </c>
      <c r="D46" s="58"/>
      <c r="E46" s="20" t="str">
        <f t="shared" si="1"/>
        <v/>
      </c>
    </row>
    <row r="47" spans="1:10" x14ac:dyDescent="0.25">
      <c r="C47" s="59">
        <v>42606</v>
      </c>
      <c r="D47" s="58"/>
      <c r="E47" s="20" t="str">
        <f t="shared" si="1"/>
        <v/>
      </c>
    </row>
    <row r="48" spans="1:10" x14ac:dyDescent="0.25">
      <c r="C48" s="59">
        <v>42607</v>
      </c>
      <c r="D48" s="58"/>
      <c r="E48" s="20" t="str">
        <f t="shared" si="1"/>
        <v/>
      </c>
    </row>
    <row r="49" spans="3:5" x14ac:dyDescent="0.25">
      <c r="C49" s="59">
        <v>42608</v>
      </c>
      <c r="D49" s="58"/>
      <c r="E49" s="20" t="str">
        <f t="shared" si="1"/>
        <v/>
      </c>
    </row>
    <row r="50" spans="3:5" x14ac:dyDescent="0.25">
      <c r="C50" s="59">
        <v>42609</v>
      </c>
      <c r="D50" s="58"/>
      <c r="E50" s="20" t="str">
        <f t="shared" si="1"/>
        <v/>
      </c>
    </row>
    <row r="51" spans="3:5" x14ac:dyDescent="0.25">
      <c r="C51" s="59">
        <v>42610</v>
      </c>
      <c r="D51" s="58">
        <v>10</v>
      </c>
      <c r="E51" s="20">
        <f t="shared" si="1"/>
        <v>40</v>
      </c>
    </row>
    <row r="52" spans="3:5" x14ac:dyDescent="0.25">
      <c r="C52" s="59">
        <v>42611</v>
      </c>
      <c r="D52" s="58"/>
      <c r="E52" s="20" t="str">
        <f t="shared" si="1"/>
        <v/>
      </c>
    </row>
    <row r="53" spans="3:5" x14ac:dyDescent="0.25">
      <c r="C53" s="59">
        <v>42612</v>
      </c>
      <c r="D53" s="58"/>
      <c r="E53" s="20" t="str">
        <f t="shared" si="1"/>
        <v/>
      </c>
    </row>
    <row r="54" spans="3:5" x14ac:dyDescent="0.25">
      <c r="C54" s="59">
        <v>42613</v>
      </c>
      <c r="D54" s="58"/>
      <c r="E54" s="20" t="str">
        <f t="shared" si="1"/>
        <v/>
      </c>
    </row>
    <row r="55" spans="3:5" x14ac:dyDescent="0.25">
      <c r="C55" s="59">
        <v>42614</v>
      </c>
      <c r="D55" s="58"/>
      <c r="E55" s="20" t="str">
        <f t="shared" si="1"/>
        <v/>
      </c>
    </row>
    <row r="56" spans="3:5" x14ac:dyDescent="0.25">
      <c r="C56" s="59">
        <v>42615</v>
      </c>
      <c r="D56" s="58"/>
      <c r="E56" s="20" t="str">
        <f t="shared" si="1"/>
        <v/>
      </c>
    </row>
    <row r="57" spans="3:5" x14ac:dyDescent="0.25">
      <c r="C57" s="59">
        <v>42616</v>
      </c>
      <c r="D57" s="58"/>
      <c r="E57" s="20" t="str">
        <f t="shared" si="1"/>
        <v/>
      </c>
    </row>
    <row r="58" spans="3:5" x14ac:dyDescent="0.25">
      <c r="C58" s="59">
        <v>42617</v>
      </c>
      <c r="D58" s="58">
        <v>25</v>
      </c>
      <c r="E58" s="20">
        <f t="shared" si="1"/>
        <v>100</v>
      </c>
    </row>
    <row r="59" spans="3:5" x14ac:dyDescent="0.25">
      <c r="C59" s="59">
        <v>42618</v>
      </c>
      <c r="D59" s="58"/>
      <c r="E59" s="20" t="str">
        <f t="shared" si="1"/>
        <v/>
      </c>
    </row>
    <row r="60" spans="3:5" x14ac:dyDescent="0.25">
      <c r="C60" s="59">
        <v>42619</v>
      </c>
      <c r="D60" s="58"/>
      <c r="E60" s="20" t="str">
        <f t="shared" si="1"/>
        <v/>
      </c>
    </row>
    <row r="61" spans="3:5" x14ac:dyDescent="0.25">
      <c r="C61" s="59"/>
      <c r="D61" s="58"/>
      <c r="E61" s="20" t="str">
        <f t="shared" si="1"/>
        <v/>
      </c>
    </row>
    <row r="62" spans="3:5" x14ac:dyDescent="0.25">
      <c r="C62" s="59"/>
      <c r="D62" s="58"/>
      <c r="E62" s="20" t="str">
        <f t="shared" si="1"/>
        <v/>
      </c>
    </row>
    <row r="63" spans="3:5" x14ac:dyDescent="0.25">
      <c r="C63" s="59"/>
      <c r="D63" s="58"/>
      <c r="E63" s="20" t="str">
        <f t="shared" si="1"/>
        <v/>
      </c>
    </row>
    <row r="64" spans="3:5" x14ac:dyDescent="0.25">
      <c r="C64" s="59"/>
      <c r="D64" s="58"/>
      <c r="E64" s="20" t="str">
        <f t="shared" si="1"/>
        <v/>
      </c>
    </row>
    <row r="65" spans="1:5" x14ac:dyDescent="0.25">
      <c r="C65" s="59"/>
      <c r="D65" s="58"/>
      <c r="E65" s="20" t="str">
        <f t="shared" si="1"/>
        <v/>
      </c>
    </row>
    <row r="66" spans="1:5" x14ac:dyDescent="0.25">
      <c r="C66" s="59"/>
      <c r="D66" s="58"/>
      <c r="E66" s="20" t="str">
        <f t="shared" si="1"/>
        <v/>
      </c>
    </row>
    <row r="67" spans="1:5" x14ac:dyDescent="0.25">
      <c r="C67" s="59"/>
      <c r="D67" s="58"/>
      <c r="E67" s="20" t="str">
        <f t="shared" si="1"/>
        <v/>
      </c>
    </row>
    <row r="68" spans="1:5" x14ac:dyDescent="0.25">
      <c r="C68" s="59"/>
      <c r="D68" s="58"/>
      <c r="E68" s="20" t="str">
        <f t="shared" si="1"/>
        <v/>
      </c>
    </row>
    <row r="69" spans="1:5" x14ac:dyDescent="0.25">
      <c r="C69" s="59"/>
      <c r="D69" s="58"/>
      <c r="E69" s="20" t="str">
        <f t="shared" si="1"/>
        <v/>
      </c>
    </row>
    <row r="70" spans="1:5" x14ac:dyDescent="0.25">
      <c r="C70" s="59"/>
      <c r="D70" s="58"/>
      <c r="E70" s="20" t="str">
        <f t="shared" si="1"/>
        <v/>
      </c>
    </row>
    <row r="71" spans="1:5" x14ac:dyDescent="0.25">
      <c r="C71" s="59"/>
      <c r="D71" s="58"/>
      <c r="E71" s="20" t="str">
        <f t="shared" si="1"/>
        <v/>
      </c>
    </row>
    <row r="72" spans="1:5" x14ac:dyDescent="0.25">
      <c r="C72" s="59"/>
      <c r="D72" s="58"/>
      <c r="E72" s="20" t="str">
        <f t="shared" si="1"/>
        <v/>
      </c>
    </row>
    <row r="73" spans="1:5" x14ac:dyDescent="0.25">
      <c r="C73" s="59"/>
      <c r="D73" s="58"/>
      <c r="E73" s="20" t="str">
        <f t="shared" si="1"/>
        <v/>
      </c>
    </row>
    <row r="74" spans="1:5" x14ac:dyDescent="0.25">
      <c r="C74" s="59"/>
      <c r="D74" s="58"/>
      <c r="E74" s="20" t="str">
        <f t="shared" si="1"/>
        <v/>
      </c>
    </row>
    <row r="75" spans="1:5" x14ac:dyDescent="0.25">
      <c r="C75" s="59"/>
      <c r="D75" s="58"/>
      <c r="E75" s="20" t="str">
        <f t="shared" si="1"/>
        <v/>
      </c>
    </row>
    <row r="76" spans="1:5" x14ac:dyDescent="0.25">
      <c r="C76" s="59"/>
      <c r="D76" s="58"/>
      <c r="E76" s="20" t="str">
        <f t="shared" si="1"/>
        <v/>
      </c>
    </row>
    <row r="77" spans="1:5" x14ac:dyDescent="0.25">
      <c r="C77" s="59"/>
      <c r="D77" s="58"/>
      <c r="E77" s="20" t="str">
        <f t="shared" si="1"/>
        <v/>
      </c>
    </row>
    <row r="78" spans="1:5" x14ac:dyDescent="0.25">
      <c r="C78" s="59"/>
      <c r="D78" s="58"/>
      <c r="E78" s="20" t="str">
        <f t="shared" si="1"/>
        <v/>
      </c>
    </row>
    <row r="79" spans="1:5" ht="18.75" x14ac:dyDescent="0.25">
      <c r="A79" s="124">
        <v>2</v>
      </c>
      <c r="B79" s="124" t="s">
        <v>73</v>
      </c>
      <c r="C79" s="17" t="s">
        <v>6</v>
      </c>
      <c r="D79" s="18">
        <f>SUM(D45:D76)</f>
        <v>285</v>
      </c>
      <c r="E79" s="27">
        <f>SUM(D45:E78)</f>
        <v>1425</v>
      </c>
    </row>
  </sheetData>
  <sheetProtection selectLockedCells="1"/>
  <hyperlinks>
    <hyperlink ref="F3" location="'Page principal'!A1" display="Page principal"/>
    <hyperlink ref="F4" location="Facture!A1" display="Facture"/>
    <hyperlink ref="F5" location="Stock!A1" display="Stock"/>
    <hyperlink ref="F7" location="TPS!A1" display="TPS"/>
    <hyperlink ref="F8" location="TVQ!A1" display="TVQ"/>
    <hyperlink ref="F6" location="Clients!A1" display="Clients"/>
    <hyperlink ref="F10" location="'Historique des factures'!A1" display="Historique des factures"/>
    <hyperlink ref="F9" location="Transport!A1" display="Transport"/>
  </hyperlink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9"/>
  <sheetViews>
    <sheetView workbookViewId="0">
      <selection activeCell="E9" sqref="E9"/>
    </sheetView>
  </sheetViews>
  <sheetFormatPr baseColWidth="10" defaultRowHeight="15" x14ac:dyDescent="0.25"/>
  <cols>
    <col min="2" max="2" width="15.28515625" bestFit="1" customWidth="1"/>
    <col min="5" max="5" width="24.7109375" customWidth="1"/>
  </cols>
  <sheetData>
    <row r="1" spans="1:5" x14ac:dyDescent="0.25">
      <c r="A1" s="161" t="s">
        <v>9</v>
      </c>
      <c r="B1" s="161"/>
      <c r="C1" s="161"/>
    </row>
    <row r="2" spans="1:5" x14ac:dyDescent="0.25">
      <c r="A2" s="3" t="s">
        <v>12</v>
      </c>
      <c r="B2" s="3" t="s">
        <v>16</v>
      </c>
      <c r="C2" s="3" t="s">
        <v>15</v>
      </c>
      <c r="D2" s="3" t="s">
        <v>17</v>
      </c>
      <c r="E2" s="80" t="s">
        <v>63</v>
      </c>
    </row>
    <row r="3" spans="1:5" x14ac:dyDescent="0.25">
      <c r="A3" s="3">
        <v>1</v>
      </c>
      <c r="B3" s="14">
        <v>0.75</v>
      </c>
      <c r="C3" s="15">
        <f>Facture!D38</f>
        <v>0</v>
      </c>
      <c r="D3" s="14">
        <f>C3*B3</f>
        <v>0</v>
      </c>
      <c r="E3" s="81" t="s">
        <v>38</v>
      </c>
    </row>
    <row r="4" spans="1:5" x14ac:dyDescent="0.25">
      <c r="A4" s="3"/>
      <c r="E4" s="81" t="s">
        <v>39</v>
      </c>
    </row>
    <row r="5" spans="1:5" x14ac:dyDescent="0.25">
      <c r="E5" s="81" t="s">
        <v>40</v>
      </c>
    </row>
    <row r="6" spans="1:5" x14ac:dyDescent="0.25">
      <c r="E6" s="81" t="s">
        <v>0</v>
      </c>
    </row>
    <row r="7" spans="1:5" x14ac:dyDescent="0.25">
      <c r="E7" s="81" t="s">
        <v>1</v>
      </c>
    </row>
    <row r="8" spans="1:5" x14ac:dyDescent="0.25">
      <c r="E8" s="81" t="s">
        <v>61</v>
      </c>
    </row>
    <row r="9" spans="1:5" x14ac:dyDescent="0.25">
      <c r="E9" s="82" t="s">
        <v>64</v>
      </c>
    </row>
  </sheetData>
  <mergeCells count="1">
    <mergeCell ref="A1:C1"/>
  </mergeCells>
  <hyperlinks>
    <hyperlink ref="E2" location="'Page principal'!A1" display="Page principal"/>
    <hyperlink ref="E3" location="Facture!A1" display="Facture"/>
    <hyperlink ref="E4" location="Stock!A1" display="Stock"/>
    <hyperlink ref="E6" location="TPS!A1" display="TPS"/>
    <hyperlink ref="E7" location="TVQ!A1" display="TVQ"/>
    <hyperlink ref="E5" location="Clients!A1" display="Clients"/>
    <hyperlink ref="E9" location="'Historique des factures'!A1" display="Historique des factures"/>
    <hyperlink ref="E8" location="Production!A1" display="Production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U38"/>
  <sheetViews>
    <sheetView workbookViewId="0">
      <selection activeCell="F1" sqref="F1"/>
    </sheetView>
  </sheetViews>
  <sheetFormatPr baseColWidth="10" defaultRowHeight="15" x14ac:dyDescent="0.25"/>
  <cols>
    <col min="1" max="1" width="13.140625" style="3" customWidth="1"/>
    <col min="2" max="2" width="25.42578125" style="3" customWidth="1"/>
    <col min="3" max="3" width="14.5703125" style="106" bestFit="1" customWidth="1"/>
    <col min="4" max="4" width="11.42578125" style="14"/>
    <col min="6" max="6" width="17.7109375" customWidth="1"/>
    <col min="7" max="7" width="11.42578125" customWidth="1"/>
  </cols>
  <sheetData>
    <row r="1" spans="1:21" ht="36" customHeight="1" thickTop="1" thickBot="1" x14ac:dyDescent="0.3">
      <c r="A1" s="51" t="s">
        <v>32</v>
      </c>
      <c r="B1" s="51" t="s">
        <v>33</v>
      </c>
      <c r="C1" s="103" t="s">
        <v>34</v>
      </c>
      <c r="D1" s="107" t="s">
        <v>35</v>
      </c>
      <c r="E1" s="51" t="s">
        <v>62</v>
      </c>
      <c r="U1" s="108">
        <f>COUNTA(A:A)</f>
        <v>6</v>
      </c>
    </row>
    <row r="2" spans="1:21" s="73" customFormat="1" ht="16.5" thickTop="1" x14ac:dyDescent="0.25">
      <c r="A2" s="76">
        <v>5</v>
      </c>
      <c r="B2" s="76" t="s">
        <v>86</v>
      </c>
      <c r="C2" s="104">
        <v>42373</v>
      </c>
      <c r="D2" s="77">
        <v>629.33193749999998</v>
      </c>
      <c r="E2" s="76">
        <f>MONTH(C2)</f>
        <v>1</v>
      </c>
      <c r="U2" s="109"/>
    </row>
    <row r="3" spans="1:21" s="73" customFormat="1" ht="15.75" x14ac:dyDescent="0.25">
      <c r="A3" s="76">
        <v>4</v>
      </c>
      <c r="B3" s="76" t="s">
        <v>86</v>
      </c>
      <c r="C3" s="104">
        <v>42523</v>
      </c>
      <c r="D3" s="77">
        <v>620.6714062499999</v>
      </c>
      <c r="E3" s="76">
        <f>MONTH(C3)</f>
        <v>6</v>
      </c>
      <c r="F3" s="85" t="s">
        <v>63</v>
      </c>
      <c r="U3" s="109"/>
    </row>
    <row r="4" spans="1:21" s="73" customFormat="1" ht="15.75" x14ac:dyDescent="0.25">
      <c r="A4" s="76">
        <v>5</v>
      </c>
      <c r="B4" s="76" t="s">
        <v>86</v>
      </c>
      <c r="C4" s="120">
        <v>42371</v>
      </c>
      <c r="D4" s="77">
        <v>106.81321875</v>
      </c>
      <c r="E4" s="76">
        <f t="shared" ref="E4:E5" si="0">MONTH(C4)</f>
        <v>1</v>
      </c>
      <c r="F4" s="81" t="s">
        <v>38</v>
      </c>
      <c r="U4" s="109"/>
    </row>
    <row r="5" spans="1:21" s="73" customFormat="1" ht="15.75" x14ac:dyDescent="0.25">
      <c r="A5" s="76">
        <v>4</v>
      </c>
      <c r="B5" s="76" t="s">
        <v>93</v>
      </c>
      <c r="C5" s="120">
        <v>42432</v>
      </c>
      <c r="D5" s="77">
        <v>1299.0796875000001</v>
      </c>
      <c r="E5" s="76">
        <f t="shared" si="0"/>
        <v>3</v>
      </c>
      <c r="F5" s="81" t="s">
        <v>39</v>
      </c>
      <c r="U5" s="109"/>
    </row>
    <row r="6" spans="1:21" s="73" customFormat="1" ht="15.75" x14ac:dyDescent="0.25">
      <c r="A6" s="76">
        <v>3</v>
      </c>
      <c r="B6" s="76" t="s">
        <v>86</v>
      </c>
      <c r="C6" s="120">
        <v>42494</v>
      </c>
      <c r="D6" s="77">
        <v>375.28968750000001</v>
      </c>
      <c r="E6" s="76">
        <f>MONTH(C6)</f>
        <v>5</v>
      </c>
      <c r="F6" s="81" t="s">
        <v>40</v>
      </c>
      <c r="U6" s="109"/>
    </row>
    <row r="7" spans="1:21" s="73" customFormat="1" ht="15.75" x14ac:dyDescent="0.25">
      <c r="A7" s="76"/>
      <c r="B7" s="76"/>
      <c r="C7" s="104"/>
      <c r="D7" s="77"/>
      <c r="E7" s="76"/>
      <c r="F7" s="81" t="s">
        <v>0</v>
      </c>
      <c r="U7" s="109"/>
    </row>
    <row r="8" spans="1:21" s="73" customFormat="1" ht="15.75" x14ac:dyDescent="0.25">
      <c r="A8" s="76"/>
      <c r="B8" s="76"/>
      <c r="C8" s="104"/>
      <c r="D8" s="77"/>
      <c r="E8" s="76"/>
      <c r="F8" s="81" t="s">
        <v>1</v>
      </c>
      <c r="U8" s="109"/>
    </row>
    <row r="9" spans="1:21" s="73" customFormat="1" ht="15.75" x14ac:dyDescent="0.25">
      <c r="A9" s="76"/>
      <c r="B9" s="76"/>
      <c r="C9" s="104"/>
      <c r="D9" s="77"/>
      <c r="E9" s="76"/>
      <c r="F9" s="81" t="s">
        <v>61</v>
      </c>
      <c r="U9" s="109"/>
    </row>
    <row r="10" spans="1:21" s="73" customFormat="1" ht="15.75" x14ac:dyDescent="0.25">
      <c r="A10" s="76"/>
      <c r="B10" s="76"/>
      <c r="C10" s="104"/>
      <c r="D10" s="77"/>
      <c r="E10" s="76"/>
      <c r="F10" s="82" t="s">
        <v>31</v>
      </c>
      <c r="U10" s="109"/>
    </row>
    <row r="11" spans="1:21" s="73" customFormat="1" ht="15.75" x14ac:dyDescent="0.25">
      <c r="A11" s="76"/>
      <c r="B11" s="76"/>
      <c r="C11" s="104"/>
      <c r="D11" s="77"/>
      <c r="E11" s="76"/>
      <c r="U11" s="109"/>
    </row>
    <row r="12" spans="1:21" s="73" customFormat="1" ht="15.75" x14ac:dyDescent="0.25">
      <c r="A12" s="76"/>
      <c r="B12" s="76"/>
      <c r="C12" s="104"/>
      <c r="D12" s="77"/>
      <c r="E12" s="76"/>
      <c r="O12" s="109"/>
    </row>
    <row r="13" spans="1:21" ht="15.75" x14ac:dyDescent="0.25">
      <c r="A13" s="76"/>
      <c r="B13" s="76"/>
      <c r="C13" s="104"/>
      <c r="D13" s="77"/>
      <c r="E13" s="76"/>
      <c r="O13" s="109"/>
    </row>
    <row r="14" spans="1:21" ht="15.75" x14ac:dyDescent="0.25">
      <c r="A14" s="76"/>
      <c r="B14" s="76"/>
      <c r="C14" s="104"/>
      <c r="D14" s="77"/>
      <c r="E14" s="76"/>
      <c r="O14" s="109"/>
    </row>
    <row r="15" spans="1:21" ht="15.75" customHeight="1" x14ac:dyDescent="0.25">
      <c r="A15" s="76"/>
      <c r="B15" s="76"/>
      <c r="C15" s="104"/>
      <c r="D15" s="77"/>
      <c r="E15" s="77"/>
      <c r="O15" s="69"/>
    </row>
    <row r="16" spans="1:21" ht="15.75" customHeight="1" x14ac:dyDescent="0.25">
      <c r="A16" s="76"/>
      <c r="B16" s="76"/>
      <c r="C16" s="104"/>
      <c r="O16" s="69"/>
    </row>
    <row r="17" spans="1:15" ht="15.75" customHeight="1" x14ac:dyDescent="0.25">
      <c r="A17" s="76"/>
      <c r="B17" s="76"/>
      <c r="C17" s="104"/>
      <c r="O17" s="69"/>
    </row>
    <row r="18" spans="1:15" ht="15.75" customHeight="1" x14ac:dyDescent="0.25">
      <c r="A18" s="76"/>
      <c r="B18" s="76"/>
      <c r="C18" s="104"/>
      <c r="O18" s="69"/>
    </row>
    <row r="19" spans="1:15" ht="15.75" x14ac:dyDescent="0.25">
      <c r="A19" s="76"/>
      <c r="B19" s="52"/>
      <c r="C19" s="105"/>
      <c r="O19" s="72"/>
    </row>
    <row r="20" spans="1:15" ht="15.75" customHeight="1" x14ac:dyDescent="0.25">
      <c r="A20" s="76"/>
      <c r="B20" s="52"/>
      <c r="C20" s="105"/>
      <c r="O20" s="72"/>
    </row>
    <row r="21" spans="1:15" ht="15.75" x14ac:dyDescent="0.25">
      <c r="A21" s="53"/>
      <c r="B21" s="52"/>
      <c r="C21" s="105"/>
      <c r="O21" s="72"/>
    </row>
    <row r="22" spans="1:15" ht="15.75" x14ac:dyDescent="0.25">
      <c r="A22" s="53"/>
      <c r="B22" s="52"/>
      <c r="C22" s="105"/>
      <c r="O22" s="72"/>
    </row>
    <row r="23" spans="1:15" ht="15.75" x14ac:dyDescent="0.25">
      <c r="A23" s="53"/>
      <c r="B23" s="52"/>
      <c r="C23" s="105"/>
      <c r="O23" s="72"/>
    </row>
    <row r="24" spans="1:15" ht="15.75" x14ac:dyDescent="0.25">
      <c r="A24" s="53"/>
      <c r="B24" s="52"/>
      <c r="C24" s="105"/>
      <c r="O24" s="72"/>
    </row>
    <row r="25" spans="1:15" ht="15.75" x14ac:dyDescent="0.25">
      <c r="A25" s="53"/>
      <c r="B25" s="52"/>
      <c r="C25" s="105"/>
      <c r="O25" s="72"/>
    </row>
    <row r="26" spans="1:15" ht="15.75" x14ac:dyDescent="0.25">
      <c r="A26" s="53"/>
      <c r="B26" s="52"/>
      <c r="C26" s="105"/>
      <c r="L26" s="65"/>
      <c r="O26" s="72"/>
    </row>
    <row r="27" spans="1:15" ht="15.75" x14ac:dyDescent="0.25">
      <c r="A27" s="53"/>
      <c r="B27" s="52"/>
      <c r="C27" s="105"/>
      <c r="O27" s="72"/>
    </row>
    <row r="28" spans="1:15" ht="15.75" x14ac:dyDescent="0.25">
      <c r="A28" s="53"/>
      <c r="B28" s="52"/>
      <c r="C28" s="105"/>
      <c r="O28" s="72"/>
    </row>
    <row r="29" spans="1:15" ht="15.75" x14ac:dyDescent="0.25">
      <c r="A29" s="53"/>
      <c r="B29" s="52"/>
      <c r="C29" s="105"/>
      <c r="O29" s="72"/>
    </row>
    <row r="30" spans="1:15" ht="15.75" x14ac:dyDescent="0.25">
      <c r="A30" s="53"/>
      <c r="B30" s="52"/>
      <c r="C30" s="105"/>
      <c r="O30" s="72"/>
    </row>
    <row r="31" spans="1:15" ht="15.75" x14ac:dyDescent="0.25">
      <c r="A31" s="53"/>
      <c r="B31" s="52"/>
      <c r="C31" s="105"/>
      <c r="O31" s="72"/>
    </row>
    <row r="32" spans="1:15" ht="15.75" x14ac:dyDescent="0.25">
      <c r="A32" s="53"/>
      <c r="B32" s="52"/>
      <c r="C32" s="105"/>
      <c r="O32" s="72"/>
    </row>
    <row r="33" spans="1:15" ht="15.75" x14ac:dyDescent="0.25">
      <c r="A33" s="53"/>
      <c r="B33" s="52"/>
      <c r="C33" s="105"/>
      <c r="O33" s="72"/>
    </row>
    <row r="34" spans="1:15" ht="15.75" x14ac:dyDescent="0.25">
      <c r="A34" s="53"/>
      <c r="B34" s="52"/>
      <c r="C34" s="105"/>
      <c r="O34" s="72"/>
    </row>
    <row r="35" spans="1:15" ht="15.75" x14ac:dyDescent="0.25">
      <c r="A35" s="53"/>
      <c r="B35" s="53"/>
      <c r="C35" s="105"/>
      <c r="O35" s="72"/>
    </row>
    <row r="36" spans="1:15" ht="15.75" x14ac:dyDescent="0.25">
      <c r="A36" s="53"/>
      <c r="B36" s="52"/>
      <c r="C36" s="105"/>
      <c r="O36" s="72"/>
    </row>
    <row r="37" spans="1:15" ht="15.75" x14ac:dyDescent="0.25">
      <c r="A37" s="53"/>
    </row>
    <row r="38" spans="1:15" ht="15.75" x14ac:dyDescent="0.25">
      <c r="A38" s="53"/>
    </row>
  </sheetData>
  <hyperlinks>
    <hyperlink ref="F3" location="'Page principal'!A1" display="Page principal"/>
    <hyperlink ref="F4" location="Facture!A1" display="Facture"/>
    <hyperlink ref="F5" location="Stock!A1" display="Stock"/>
    <hyperlink ref="F7" location="TPS!A1" display="TPS"/>
    <hyperlink ref="F8" location="TVQ!A1" display="TVQ"/>
    <hyperlink ref="F6" location="Clients!A1" display="Clients"/>
    <hyperlink ref="F9" location="Production!A1" display="Production"/>
    <hyperlink ref="F10" location="Transport!A1" display="Transport"/>
  </hyperlink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19</vt:i4>
      </vt:variant>
    </vt:vector>
  </HeadingPairs>
  <TitlesOfParts>
    <vt:vector size="28" baseType="lpstr">
      <vt:lpstr>Page principal</vt:lpstr>
      <vt:lpstr>Facture</vt:lpstr>
      <vt:lpstr>Stock</vt:lpstr>
      <vt:lpstr>Clients</vt:lpstr>
      <vt:lpstr>TPS</vt:lpstr>
      <vt:lpstr>TVQ</vt:lpstr>
      <vt:lpstr>Production</vt:lpstr>
      <vt:lpstr>Transport</vt:lpstr>
      <vt:lpstr>Historique des factures</vt:lpstr>
      <vt:lpstr>Adresse</vt:lpstr>
      <vt:lpstr>Codepostal</vt:lpstr>
      <vt:lpstr>Description</vt:lpstr>
      <vt:lpstr>Egalaa</vt:lpstr>
      <vt:lpstr>Identite</vt:lpstr>
      <vt:lpstr>Identité</vt:lpstr>
      <vt:lpstr>Manque</vt:lpstr>
      <vt:lpstr>Minimum</vt:lpstr>
      <vt:lpstr>Montanttotal</vt:lpstr>
      <vt:lpstr>Nom</vt:lpstr>
      <vt:lpstr>Prenom</vt:lpstr>
      <vt:lpstr>Prix</vt:lpstr>
      <vt:lpstr>Quantite</vt:lpstr>
      <vt:lpstr>Reference</vt:lpstr>
      <vt:lpstr>Tel</vt:lpstr>
      <vt:lpstr>Totalfactures</vt:lpstr>
      <vt:lpstr>TPS</vt:lpstr>
      <vt:lpstr>TVQ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LeBlanc</dc:creator>
  <cp:lastModifiedBy>Marcel LeBlanc</cp:lastModifiedBy>
  <cp:lastPrinted>2016-01-05T00:17:28Z</cp:lastPrinted>
  <dcterms:created xsi:type="dcterms:W3CDTF">2015-12-05T23:59:32Z</dcterms:created>
  <dcterms:modified xsi:type="dcterms:W3CDTF">2016-01-06T21:07:02Z</dcterms:modified>
</cp:coreProperties>
</file>