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tables/table7.xml" ContentType="application/vnd.openxmlformats-officedocument.spreadsheetml.table+xml"/>
  <Override PartName="/xl/drawings/drawing4.xml" ContentType="application/vnd.openxmlformats-officedocument.drawing+xml"/>
  <Override PartName="/xl/ctrlProps/ctrlProp4.xml" ContentType="application/vnd.ms-excel.controlproperties+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0490" windowHeight="7755" tabRatio="646" activeTab="6"/>
  </bookViews>
  <sheets>
    <sheet name="POINTS CC 2" sheetId="4" r:id="rId1"/>
    <sheet name="Période" sheetId="18" r:id="rId2"/>
    <sheet name="Liste tableaux" sheetId="20" r:id="rId3"/>
    <sheet name="Matrice Point CC" sheetId="67" state="veryHidden" r:id="rId4"/>
    <sheet name="Formules" sheetId="68" r:id="rId5"/>
    <sheet name="Trimestre1" sheetId="90" r:id="rId6"/>
    <sheet name="Point CC T1" sheetId="91" r:id="rId7"/>
  </sheets>
  <definedNames>
    <definedName name="Chiffres" localSheetId="6">Tableau2[#All]</definedName>
    <definedName name="Chiffres">Tableau2[#All]</definedName>
    <definedName name="listecc" localSheetId="6">Tableau3[Conseillers]</definedName>
    <definedName name="listecc">Tableau3[Conseillers]</definedName>
    <definedName name="ListeT2" localSheetId="6">'Liste tableaux'!#REF!</definedName>
    <definedName name="ListeT2">'Liste tableaux'!#REF!</definedName>
    <definedName name="ListeTrimestre">'Liste tableaux'!$F$2:$F$5</definedName>
    <definedName name="Mois">'Liste tableaux'!$G$2:$G$13</definedName>
    <definedName name="trim1" localSheetId="6">Listetrim[Liste Objectifs]</definedName>
    <definedName name="trim1">Listetrim[Liste Objectifs]</definedName>
    <definedName name="Trim1DebDec" localSheetId="6">INDEX(#REF!,MATCH('Point CC T1'!$G$5&amp;'Point CC T1'!$E$12,#REF!&amp;#REF!,0))</definedName>
    <definedName name="Trim1DebDec">INDEX(#REF!,MATCH('Matrice Point CC'!$E$5&amp;'Matrice Point CC'!$C$12,#REF!&amp;#REF!,0))</definedName>
    <definedName name="Trim1DebFev" localSheetId="6">INDEX(#REF!,MATCH('Point CC T1'!$G$5&amp;'Point CC T1'!$E$14,#REF!&amp;#REF!,0))</definedName>
    <definedName name="Trim1DebFev">INDEX(#REF!,MATCH('Matrice Point CC'!$E$5&amp;'Matrice Point CC'!$C$14,#REF!&amp;#REF!,0))</definedName>
    <definedName name="Trim1DebJan" localSheetId="6">INDEX(#REF!,MATCH('Point CC T1'!$G$5&amp;'Point CC T1'!$E$13,#REF!&amp;#REF!,0))</definedName>
    <definedName name="Trim1DebJan">INDEX(#REF!,MATCH('Matrice Point CC'!$E$5&amp;'Matrice Point CC'!$C$13,#REF!&amp;#REF!,0))</definedName>
    <definedName name="Trim1OuvDec" localSheetId="6">INDEX(#REF!,MATCH('Point CC T1'!$G$5&amp;'Point CC T1'!$E$12,#REF!&amp;#REF!,0))</definedName>
    <definedName name="Trim1OuvDec">INDEX(#REF!,MATCH('Matrice Point CC'!$E$5&amp;'Matrice Point CC'!$C$12,#REF!&amp;#REF!,0))</definedName>
    <definedName name="Trim1Ouvfev" localSheetId="6">INDEX(#REF!,MATCH('Point CC T1'!$G$5&amp;'Point CC T1'!$E$14,#REF!&amp;#REF!,0))</definedName>
    <definedName name="Trim1Ouvfev">INDEX(#REF!,MATCH('Matrice Point CC'!$E$5&amp;'Matrice Point CC'!$C$14,#REF!&amp;#REF!,0))</definedName>
    <definedName name="Trim1OuvJan" localSheetId="6">INDEX(#REF!,MATCH('Point CC T1'!$G$5&amp;'Point CC T1'!$E$13,#REF!&amp;#REF!,0))</definedName>
    <definedName name="Trim1OuvJan">INDEX(#REF!,MATCH('Matrice Point CC'!$E$5&amp;'Matrice Point CC'!$C$13,#REF!&amp;#REF!,0))</definedName>
  </definedNames>
  <calcPr calcId="145621" iterate="1"/>
</workbook>
</file>

<file path=xl/calcChain.xml><?xml version="1.0" encoding="utf-8"?>
<calcChain xmlns="http://schemas.openxmlformats.org/spreadsheetml/2006/main">
  <c r="F12" i="91" l="1" a="1"/>
  <c r="F12" i="91" s="1"/>
  <c r="F13" i="91" a="1"/>
  <c r="F13" i="91" s="1"/>
  <c r="F14" i="91" a="1"/>
  <c r="F14" i="91" s="1"/>
  <c r="G21" i="91" l="1" a="1"/>
  <c r="G21" i="91" s="1"/>
  <c r="G22" i="91" a="1"/>
  <c r="G22" i="91" s="1"/>
  <c r="G23" i="91" a="1"/>
  <c r="G23" i="91" s="1"/>
  <c r="M6" i="91" l="1" a="1"/>
  <c r="M6" i="91" s="1"/>
  <c r="F23" i="91"/>
  <c r="F22" i="91"/>
  <c r="F21" i="91"/>
  <c r="J15" i="91"/>
  <c r="I15" i="91"/>
  <c r="H15" i="91"/>
  <c r="G15" i="91"/>
  <c r="E14" i="91"/>
  <c r="O5" i="91" s="1"/>
  <c r="E13" i="91"/>
  <c r="N5" i="91" s="1"/>
  <c r="E12" i="91"/>
  <c r="M5" i="91" s="1"/>
  <c r="F15" i="91" l="1"/>
  <c r="D23" i="67"/>
  <c r="D22" i="67"/>
  <c r="D21" i="67"/>
  <c r="C12" i="67"/>
  <c r="K5" i="67" l="1"/>
  <c r="C14" i="67"/>
  <c r="C13" i="67"/>
  <c r="L5" i="67" l="1"/>
  <c r="M5" i="67"/>
  <c r="H15" i="67"/>
  <c r="F15" i="67"/>
  <c r="G15" i="67" l="1"/>
  <c r="E15" i="67"/>
  <c r="D15" i="67" l="1"/>
  <c r="B5" i="4" l="1"/>
  <c r="B29" i="4" l="1"/>
  <c r="B41" i="4"/>
  <c r="B35" i="4"/>
  <c r="E24" i="4"/>
  <c r="D24" i="4" l="1"/>
  <c r="C24" i="4"/>
  <c r="F19" i="4"/>
  <c r="F18" i="4"/>
  <c r="C11" i="4"/>
  <c r="C10" i="4"/>
  <c r="J24" i="4" l="1"/>
  <c r="I24" i="4"/>
  <c r="H24" i="4"/>
  <c r="G24" i="4"/>
  <c r="F24" i="4"/>
  <c r="B24" i="4"/>
  <c r="B19" i="4"/>
  <c r="B18" i="4"/>
  <c r="B10" i="4"/>
  <c r="B11" i="4"/>
  <c r="J26" i="4" l="1"/>
  <c r="J25" i="4"/>
  <c r="I26" i="4"/>
  <c r="I25" i="4"/>
  <c r="H26" i="4"/>
  <c r="H25" i="4"/>
  <c r="G26" i="4"/>
  <c r="G25" i="4"/>
  <c r="F26" i="4"/>
  <c r="F25" i="4"/>
  <c r="E26" i="4"/>
  <c r="E25" i="4"/>
  <c r="D26" i="4"/>
  <c r="C26" i="4"/>
  <c r="D25" i="4"/>
  <c r="C25" i="4"/>
  <c r="B26" i="4"/>
  <c r="B25" i="4"/>
  <c r="L19" i="4"/>
  <c r="L18" i="4"/>
  <c r="K19" i="4"/>
  <c r="K18" i="4"/>
  <c r="J19" i="4"/>
  <c r="J18" i="4"/>
  <c r="H19" i="4"/>
  <c r="H18" i="4"/>
  <c r="G19" i="4"/>
  <c r="G18" i="4"/>
  <c r="D10" i="4"/>
  <c r="D8" i="4"/>
  <c r="D7" i="4"/>
  <c r="D6" i="4"/>
  <c r="D5" i="4"/>
  <c r="C8" i="4"/>
  <c r="C7" i="4"/>
  <c r="C6" i="4"/>
  <c r="C5" i="4"/>
  <c r="B8" i="4"/>
  <c r="B7" i="4"/>
  <c r="B6" i="4"/>
  <c r="AO22" i="18"/>
  <c r="AS22" i="18" s="1"/>
  <c r="L17" i="4" s="1"/>
  <c r="AR20" i="18"/>
  <c r="AQ20" i="18"/>
  <c r="AP20" i="18"/>
  <c r="AN20" i="18"/>
  <c r="AM20" i="18"/>
  <c r="AL20" i="18"/>
  <c r="AK20" i="18"/>
  <c r="AO18" i="18"/>
  <c r="AS18" i="18" s="1"/>
  <c r="AO17" i="18"/>
  <c r="AS17" i="18" s="1"/>
  <c r="AO16" i="18"/>
  <c r="AS16" i="18" s="1"/>
  <c r="AO15" i="18"/>
  <c r="AS15" i="18" s="1"/>
  <c r="AO14" i="18"/>
  <c r="AS14" i="18" s="1"/>
  <c r="AO13" i="18"/>
  <c r="AS13" i="18" s="1"/>
  <c r="AO12" i="18"/>
  <c r="AS12" i="18" s="1"/>
  <c r="AO11" i="18"/>
  <c r="AS11" i="18" s="1"/>
  <c r="AO10" i="18"/>
  <c r="AS10" i="18" s="1"/>
  <c r="AO9" i="18"/>
  <c r="AS9" i="18" s="1"/>
  <c r="AO8" i="18"/>
  <c r="AS8" i="18" s="1"/>
  <c r="AO7" i="18"/>
  <c r="AS7" i="18" s="1"/>
  <c r="AO6" i="18"/>
  <c r="AS6" i="18" s="1"/>
  <c r="AO5" i="18"/>
  <c r="X22" i="18"/>
  <c r="AB22" i="18" s="1"/>
  <c r="H17" i="4" s="1"/>
  <c r="AA20" i="18"/>
  <c r="Z20" i="18"/>
  <c r="Y20" i="18"/>
  <c r="W20" i="18"/>
  <c r="V20" i="18"/>
  <c r="U20" i="18"/>
  <c r="T20" i="18"/>
  <c r="X18" i="18"/>
  <c r="AB18" i="18" s="1"/>
  <c r="X17" i="18"/>
  <c r="AB17" i="18" s="1"/>
  <c r="X16" i="18"/>
  <c r="AB16" i="18" s="1"/>
  <c r="X15" i="18"/>
  <c r="AB15" i="18" s="1"/>
  <c r="X14" i="18"/>
  <c r="AB14" i="18" s="1"/>
  <c r="X13" i="18"/>
  <c r="AB13" i="18" s="1"/>
  <c r="X12" i="18"/>
  <c r="AB12" i="18" s="1"/>
  <c r="X11" i="18"/>
  <c r="AB11" i="18" s="1"/>
  <c r="X10" i="18"/>
  <c r="AB10" i="18" s="1"/>
  <c r="X9" i="18"/>
  <c r="AB9" i="18" s="1"/>
  <c r="X8" i="18"/>
  <c r="AB8" i="18" s="1"/>
  <c r="X7" i="18"/>
  <c r="AB7" i="18" s="1"/>
  <c r="F17" i="4" s="1"/>
  <c r="X6" i="18"/>
  <c r="AB6" i="18" s="1"/>
  <c r="X5" i="18"/>
  <c r="X20" i="18" s="1"/>
  <c r="S4" i="4"/>
  <c r="AO20" i="18" l="1"/>
  <c r="E11" i="4"/>
  <c r="E10" i="4"/>
  <c r="E8" i="4"/>
  <c r="E7" i="4"/>
  <c r="E6" i="4"/>
  <c r="D9" i="4"/>
  <c r="C9" i="4"/>
  <c r="AS20" i="18"/>
  <c r="K17" i="4" s="1"/>
  <c r="AS5" i="18"/>
  <c r="J17" i="4" s="1"/>
  <c r="AB20" i="18"/>
  <c r="G17" i="4" s="1"/>
  <c r="AB5" i="18"/>
  <c r="B9" i="4"/>
  <c r="E5" i="4"/>
  <c r="E9" i="4" l="1"/>
  <c r="J20" i="18" l="1"/>
  <c r="I20" i="18"/>
  <c r="H20" i="18"/>
  <c r="G6" i="18"/>
  <c r="K6" i="18" s="1"/>
  <c r="G7" i="18"/>
  <c r="K7" i="18" s="1"/>
  <c r="G8" i="18"/>
  <c r="K8" i="18" s="1"/>
  <c r="G9" i="18"/>
  <c r="K9" i="18" s="1"/>
  <c r="G10" i="18"/>
  <c r="K10" i="18" s="1"/>
  <c r="G11" i="18"/>
  <c r="K11" i="18" s="1"/>
  <c r="G12" i="18"/>
  <c r="K12" i="18" s="1"/>
  <c r="G13" i="18"/>
  <c r="K13" i="18" s="1"/>
  <c r="G14" i="18"/>
  <c r="K14" i="18" s="1"/>
  <c r="G15" i="18"/>
  <c r="K15" i="18" s="1"/>
  <c r="G16" i="18"/>
  <c r="K16" i="18" s="1"/>
  <c r="G17" i="18"/>
  <c r="K17" i="18" s="1"/>
  <c r="G18" i="18"/>
  <c r="K18" i="18" s="1"/>
  <c r="G5" i="18"/>
  <c r="K5" i="18" s="1"/>
  <c r="B17" i="4" s="1"/>
  <c r="G22" i="18" l="1"/>
  <c r="K22" i="18" s="1"/>
  <c r="F20" i="18"/>
  <c r="E20" i="18"/>
  <c r="D20" i="18"/>
  <c r="G20" i="18"/>
  <c r="C20" i="18" l="1"/>
  <c r="K20" i="18" s="1"/>
</calcChain>
</file>

<file path=xl/sharedStrings.xml><?xml version="1.0" encoding="utf-8"?>
<sst xmlns="http://schemas.openxmlformats.org/spreadsheetml/2006/main" count="328" uniqueCount="191">
  <si>
    <t>BV</t>
  </si>
  <si>
    <t>OUVERTURES</t>
  </si>
  <si>
    <t>DEBLOCAGES</t>
  </si>
  <si>
    <t>ASSURANCE 1 TETE</t>
  </si>
  <si>
    <t>ASSURANCE 2 TETES</t>
  </si>
  <si>
    <t>SEPTEMBRE</t>
  </si>
  <si>
    <t>OCTOBRE</t>
  </si>
  <si>
    <t>NOVEMBRE</t>
  </si>
  <si>
    <t>T4 2015</t>
  </si>
  <si>
    <t>TOTAL VENTES</t>
  </si>
  <si>
    <t>MONTANT BV</t>
  </si>
  <si>
    <t>INDICATEURS PRIME TRIMESTRIELLE</t>
  </si>
  <si>
    <t>REALISATION</t>
  </si>
  <si>
    <t>TAUX D'OUV / VENTES</t>
  </si>
  <si>
    <t>PRODUCTIVITE TELEPHONIQUE</t>
  </si>
  <si>
    <t>SEPT</t>
  </si>
  <si>
    <t>OCT</t>
  </si>
  <si>
    <t>NOV</t>
  </si>
  <si>
    <t>SECT</t>
  </si>
  <si>
    <t>SCE</t>
  </si>
  <si>
    <t>CC</t>
  </si>
  <si>
    <t>* DETAIL DEBLOCAGES</t>
  </si>
  <si>
    <t>RHA</t>
  </si>
  <si>
    <t>MONTANT MOYEN</t>
  </si>
  <si>
    <t>RNV</t>
  </si>
  <si>
    <t>OBJ</t>
  </si>
  <si>
    <t>MONTANT MOYEN DEBLOQUE *</t>
  </si>
  <si>
    <t>MONTANT BV PAR REPARTITION</t>
  </si>
  <si>
    <t>RNV P</t>
  </si>
  <si>
    <t>SERVICE</t>
  </si>
  <si>
    <t>SECTEUR</t>
  </si>
  <si>
    <t>BIM</t>
  </si>
  <si>
    <t>Non obj</t>
  </si>
  <si>
    <t>CONSEILLERS</t>
  </si>
  <si>
    <t>ASSURANCE 
1 TETE</t>
  </si>
  <si>
    <t>ASSURANCE 
2 TETES</t>
  </si>
  <si>
    <t>TOTAL 
VENTES</t>
  </si>
  <si>
    <t>MONTANT MOYEN 
DEBLOQUE</t>
  </si>
  <si>
    <t>VERONIQUE
LAUMONT</t>
  </si>
  <si>
    <t>TAUX DE RETRAIT</t>
  </si>
  <si>
    <t>Non BV</t>
  </si>
  <si>
    <t>RACHAT</t>
  </si>
  <si>
    <t>GLOBAL</t>
  </si>
  <si>
    <t>TAUX 
D'OBJ</t>
  </si>
  <si>
    <t>BV PAR REPART</t>
  </si>
  <si>
    <t>TAUX D'OUV
 / VENTES</t>
  </si>
  <si>
    <t>PROD 
TEL</t>
  </si>
  <si>
    <t>TAUX DE 
RETOURS</t>
  </si>
  <si>
    <t>Conseiller</t>
  </si>
  <si>
    <t>Montant Rachat</t>
  </si>
  <si>
    <t>Montant REVO</t>
  </si>
  <si>
    <t>Montant REVO PART</t>
  </si>
  <si>
    <t>Septembre</t>
  </si>
  <si>
    <t>ASSURANCE 
1 TETE5</t>
  </si>
  <si>
    <t>Octobre</t>
  </si>
  <si>
    <t>Novembre</t>
  </si>
  <si>
    <t xml:space="preserve">OUVERTURES </t>
  </si>
  <si>
    <t>DEBLOCAGES2</t>
  </si>
  <si>
    <t>ASSURANCE 
2 TETES2</t>
  </si>
  <si>
    <t>TOTAL 
VENTES2</t>
  </si>
  <si>
    <t>TAUX 
D'OBJ2</t>
  </si>
  <si>
    <t>BV2</t>
  </si>
  <si>
    <t>BV PAR REPART2</t>
  </si>
  <si>
    <t>TAUX D'OUV
 / VENTES2</t>
  </si>
  <si>
    <t>MONTANT MOYEN 
DEBLOQUE2</t>
  </si>
  <si>
    <t>Montant Rachat2</t>
  </si>
  <si>
    <t>Montant REVO2</t>
  </si>
  <si>
    <t>Montant REVO PART2</t>
  </si>
  <si>
    <t>PROD 
TEL2</t>
  </si>
  <si>
    <t>TAUX DE RETRAIT2</t>
  </si>
  <si>
    <t>OUVERTURES2</t>
  </si>
  <si>
    <t>DEBLOCAGES3</t>
  </si>
  <si>
    <t>ASSURANCE 
1 TETE2</t>
  </si>
  <si>
    <t>ASSURANCE 
2 TETES3</t>
  </si>
  <si>
    <t>TOTAL 
VENTES3</t>
  </si>
  <si>
    <t>TAUX 
D'OBJ3</t>
  </si>
  <si>
    <t>BV3</t>
  </si>
  <si>
    <t>BV PAR REPART3</t>
  </si>
  <si>
    <t>TAUX D'OUV
 / VENTES3</t>
  </si>
  <si>
    <t>MONTANT MOYEN 
DEBLOQUE3</t>
  </si>
  <si>
    <t>Montant Rachat3</t>
  </si>
  <si>
    <t>Montant REVO3</t>
  </si>
  <si>
    <t>Montant REVO PART3</t>
  </si>
  <si>
    <t>PROD 
TEL3</t>
  </si>
  <si>
    <t>TAUX DE RETRAIT3</t>
  </si>
  <si>
    <t>TAUX DE 
RETOURS3</t>
  </si>
  <si>
    <t xml:space="preserve">POINTS MENSUELS T4 2015 </t>
  </si>
  <si>
    <t>TAUX DE 
RETOURS2 M-1</t>
  </si>
  <si>
    <t>Non élig</t>
  </si>
  <si>
    <t>Echange Sept</t>
  </si>
  <si>
    <t>Echange Oct</t>
  </si>
  <si>
    <t>Echange Nov</t>
  </si>
  <si>
    <t>AURORE MERLIN</t>
  </si>
  <si>
    <t>MICHAEL CANONNE</t>
  </si>
  <si>
    <t>VIRGINIE CROES</t>
  </si>
  <si>
    <t>AXELLE DUGUE</t>
  </si>
  <si>
    <t>ALEXANDRE FERREIRA DOS SANTOS</t>
  </si>
  <si>
    <t>LYNDA FREARD</t>
  </si>
  <si>
    <t>ALEXANDRE GAILLARD</t>
  </si>
  <si>
    <t>SEVERINE GUAPO</t>
  </si>
  <si>
    <t>REMI HENNEGUY</t>
  </si>
  <si>
    <t>VERONIQUE LANNAULT</t>
  </si>
  <si>
    <t>MORGANE MANGIN</t>
  </si>
  <si>
    <t>STEPHANIE PONTIEUX</t>
  </si>
  <si>
    <t>MARION PREVOST</t>
  </si>
  <si>
    <r>
      <t xml:space="preserve">ECHANGES :
</t>
    </r>
    <r>
      <rPr>
        <i/>
        <sz val="11"/>
        <color rgb="FFFF0000"/>
        <rFont val="Calibri"/>
        <family val="2"/>
        <scheme val="minor"/>
      </rPr>
      <t xml:space="preserve">Morgane est déçue par rapport à ses ouverture et pense qu'elle aurait pu faire mieux, notamment en faisant davantage de relances et en peaufinant son discours commercial lors de celles-ci.
Elle souhaite être écoutée lors de prochains montages afin d'être guidée sur ses axes de travail.
Elle s'est fixée pour objectif d'obtenir un BV.
Pour ce faire, elle doit agir sur son nombre de ventes en réalisant plus d'ouvertures et plus de déblocages.
Cf analyse chiffrée
</t>
    </r>
  </si>
  <si>
    <t>Morgane est déçue par rapport à ses ouvertures, et pense qu'elle aurait pu faire mieux, notamment en faisant davantage de relances et en peaufinant son discours commercial lors de celles-ci. Elle souhaite être écoutée lors de prochains montages afin d'être guidée sur ses axes de travail. Elle s'est fixée pour objectif d'obtenir un BV. Pour ce fait, elle doit agir sur son nombre de ventes en réalisant plus d'ouvertures et plus de déblocages. CF analyse chiffrée</t>
  </si>
  <si>
    <t>Mois</t>
  </si>
  <si>
    <t>Trimestre 1</t>
  </si>
  <si>
    <t/>
  </si>
  <si>
    <t>Ouvertures</t>
  </si>
  <si>
    <t>Déblocages</t>
  </si>
  <si>
    <t>Ass 1 t</t>
  </si>
  <si>
    <t>Ass 2 t</t>
  </si>
  <si>
    <t>Total ventes</t>
  </si>
  <si>
    <t>Tx obj</t>
  </si>
  <si>
    <t>QRC</t>
  </si>
  <si>
    <t>RCP</t>
  </si>
  <si>
    <t>% ouv+ass/ventes</t>
  </si>
  <si>
    <t>%ass 2t / ass</t>
  </si>
  <si>
    <t>% demandes/appels</t>
  </si>
  <si>
    <t>Total Secteur</t>
  </si>
  <si>
    <t>Total Service</t>
  </si>
  <si>
    <t>Conseillers</t>
  </si>
  <si>
    <t>Liste Objectifs</t>
  </si>
  <si>
    <t>Trimestres</t>
  </si>
  <si>
    <t>VERONIQUE LAUMONT</t>
  </si>
  <si>
    <t>Décembre</t>
  </si>
  <si>
    <t>Janvier</t>
  </si>
  <si>
    <t>Février</t>
  </si>
  <si>
    <t>Mars</t>
  </si>
  <si>
    <t>Avril</t>
  </si>
  <si>
    <t>Mai</t>
  </si>
  <si>
    <t>Juin</t>
  </si>
  <si>
    <t>Juillet</t>
  </si>
  <si>
    <t>Août</t>
  </si>
  <si>
    <t>Point mensuel</t>
  </si>
  <si>
    <t>Récap BV</t>
  </si>
  <si>
    <t>Assurance 1 T</t>
  </si>
  <si>
    <t>Assurance 2 T</t>
  </si>
  <si>
    <t>Total Ventes</t>
  </si>
  <si>
    <t>Montant BV</t>
  </si>
  <si>
    <t>Obectivation</t>
  </si>
  <si>
    <t>Colonne1</t>
  </si>
  <si>
    <t>Total</t>
  </si>
  <si>
    <t>trimestre1</t>
  </si>
  <si>
    <t>=INDEX(Trimestre1[Déblocages];EQUIV($G$5&amp;$E$12;Trimestre1[Conseiller]&amp;Trimestre1[Mois];0))</t>
  </si>
  <si>
    <t>=INDEX(Trimestre1[Ass 1 t];EQUIV($G$5&amp;$E$12;Trimestre1[Conseiller]&amp;Trimestre1[Mois];0))</t>
  </si>
  <si>
    <t>=INDEX(Trimestre1[Ass 2 t];EQUIV($G$5&amp;$E$12;Trimestre1[Conseiller]&amp;Trimestre1[Mois];0))</t>
  </si>
  <si>
    <t>=INDEX(Trimestre1[Total ventes];EQUIV($G$5&amp;$E$12;Trimestre1[Conseiller]&amp;Trimestre1[Mois];0))</t>
  </si>
  <si>
    <t>=INDEX(Trimestre1[BV];EQUIV($G$5&amp;$E$12;Trimestre1[Conseiller]&amp;Trimestre1[Mois];0))</t>
  </si>
  <si>
    <t>=INDEX(Trimestre1[Ouvertures];EQUIV($G$5&amp;$E$13;Trimestre1[Conseiller]&amp;Trimestre1[Mois];0))</t>
  </si>
  <si>
    <t>=INDEX(Trimestre1[Déblocages];EQUIV($G$5&amp;$E$13;Trimestre1[Conseiller]&amp;Trimestre1[Mois];0))</t>
  </si>
  <si>
    <t>=INDEX(Trimestre1[Ass 1 t];EQUIV($G$5&amp;$E$13;Trimestre1[Conseiller]&amp;Trimestre1[Mois];0))</t>
  </si>
  <si>
    <t>=INDEX(Trimestre1[Ass 2 t];EQUIV($G$5&amp;$E$13;Trimestre1[Conseiller]&amp;Trimestre1[Mois];0))</t>
  </si>
  <si>
    <t>=INDEX(Trimestre1[Total ventes];EQUIV($G$5&amp;$E$13;Trimestre1[Conseiller]&amp;Trimestre1[Mois];0))</t>
  </si>
  <si>
    <t>=INDEX(Trimestre1[BV];EQUIV($G$5&amp;$E$13;Trimestre1[Conseiller]&amp;Trimestre1[Mois];0))</t>
  </si>
  <si>
    <t>=INDEX(Trimestre1[Ouvertures];EQUIV($G$5&amp;$E$14;Trimestre1[Conseiller]&amp;Trimestre1[Mois];0))</t>
  </si>
  <si>
    <t>=INDEX(Trimestre1[Déblocages];EQUIV($G$5&amp;$E$14;Trimestre1[Conseiller]&amp;Trimestre1[Mois];0))</t>
  </si>
  <si>
    <t>=INDEX(Trimestre1[Ass 1 t];EQUIV($G$5&amp;$E$14;Trimestre1[Conseiller]&amp;Trimestre1[Mois];0))</t>
  </si>
  <si>
    <t>=INDEX(Trimestre1[Ass 2 t];EQUIV($G$5&amp;$E$14;Trimestre1[Conseiller]&amp;Trimestre1[Mois];0))</t>
  </si>
  <si>
    <t>=INDEX(Trimestre1[Total ventes];EQUIV($G$5&amp;$E$14;Trimestre1[Conseiller]&amp;Trimestre1[Mois];0))</t>
  </si>
  <si>
    <t>=INDEX(Trimestre1[BV];EQUIV($G$5&amp;$E$14;Trimestre1[Conseiller]&amp;Trimestre1[Mois];0))</t>
  </si>
  <si>
    <t>Trimestre</t>
  </si>
  <si>
    <t>Colonne2</t>
  </si>
  <si>
    <t>Colonne3</t>
  </si>
  <si>
    <t>Colonne4</t>
  </si>
  <si>
    <t>Récap Trimestre</t>
  </si>
  <si>
    <t>=INDEX(Trimestre1[Tx obj];EQUIV($G$5&amp;$M$5;Trimestre1[Conseiller]&amp;Trimestre1[Mois];0))</t>
  </si>
  <si>
    <t>=INDEX(Trimestre1[Tx obj];EQUIV($G$5&amp;$N$5;Trimestre1[Conseiller]&amp;Trimestre1[Mois];0))</t>
  </si>
  <si>
    <t>=INDEX(Trimestre1[Tx obj];EQUIV($G$5&amp;$O$5;Trimestre1[Conseiller]&amp;Trimestre1[Mois];0))</t>
  </si>
  <si>
    <t>=INDEX(Trimestre1[QRC];EQUIV($G$5&amp;$F$21;Trimestre1[Conseiller]&amp;Mois;0))</t>
  </si>
  <si>
    <t>=INDEX(Trimestre1[RCP];EQUIV($G$5&amp;$F$21;Trimestre1[Conseiller]&amp;Mois;0))</t>
  </si>
  <si>
    <t>=INDEX(Trimestre1[% ouv+ass/ventes];EQUIV($G$5&amp;$F$21;Trimestre1[Conseiller]&amp;Mois;0))</t>
  </si>
  <si>
    <t>=INDEX(Trimestre1[%ass 2t / ass];EQUIV($G$5&amp;$F$21;Trimestre1[Conseiller]&amp;Mois;0))</t>
  </si>
  <si>
    <t>=INDEX(Trimestre1[% demandes/appels];EQUIV($G$5&amp;$F$21;Trimestre1[Conseiller]&amp;Mois;0))</t>
  </si>
  <si>
    <t>=INDEX(Trimestre1[QRC];EQUIV($G$5&amp;$F$22;Trimestre1[Conseiller]&amp;Mois;0))</t>
  </si>
  <si>
    <t>=INDEX(Trimestre1[RCP];EQUIV($G$5&amp;$F$22;Trimestre1[Conseiller]&amp;Mois;0))</t>
  </si>
  <si>
    <t>=INDEX(Trimestre1[% ouv+ass/ventes];EQUIV($G$5&amp;$F$22;Trimestre1[Conseiller]&amp;Mois;0))</t>
  </si>
  <si>
    <t>=INDEX(Trimestre1[%ass 2t / ass];EQUIV($G$5&amp;$F$22;Trimestre1[Conseiller]&amp;Mois;0))</t>
  </si>
  <si>
    <t>=INDEX(Trimestre1[% demandes/appels];EQUIV($G$5&amp;$F$22;Trimestre1[Conseiller]&amp;Mois;0))</t>
  </si>
  <si>
    <t>=INDEX(Trimestre1[QRC];EQUIV($G$5&amp;$F$23;Trimestre1[Conseiller]&amp;Mois;0))</t>
  </si>
  <si>
    <t>=INDEX(Trimestre1[RCP];EQUIV($G$5&amp;$F$23;Trimestre1[Conseiller]&amp;Mois;0))</t>
  </si>
  <si>
    <t>=INDEX(Trimestre1[% ouv+ass/ventes];EQUIV($G$5&amp;$F$23;Trimestre1[Conseiller]&amp;Mois;0))</t>
  </si>
  <si>
    <t>=INDEX(Trimestre1[%ass 2t / ass];EQUIV($G$5&amp;$F$23;Trimestre1[Conseiller]&amp;Mois;0))</t>
  </si>
  <si>
    <t>=INDEX(Trimestre1[% demandes/appels];EQUIV($G$5&amp;$F$23;Trimestre1[Conseiller]&amp;Mois;0))</t>
  </si>
  <si>
    <t>Trimestre1</t>
  </si>
  <si>
    <t>Trimestre2</t>
  </si>
  <si>
    <t>Trimestre3</t>
  </si>
  <si>
    <t>Trimestre4</t>
  </si>
  <si>
    <t>=INDEX(Ouvertures;EQUIV($G$5&amp;$E$12;Trimestre1[Conseiller]&amp;Trimestre1[Mois];0))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</si>
</sst>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quot;€&quot;"/>
    <numFmt numFmtId="165" formatCode="#,##0.00\ &quot;€&quot;"/>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20"/>
      <color rgb="FF0070C0"/>
      <name val="Calibri"/>
      <family val="2"/>
      <scheme val="minor"/>
    </font>
    <font>
      <b/>
      <sz val="11"/>
      <color rgb="FF0070C0"/>
      <name val="Calibri"/>
      <family val="2"/>
      <scheme val="minor"/>
    </font>
    <font>
      <b/>
      <sz val="11"/>
      <color rgb="FFFF0000"/>
      <name val="Calibri"/>
      <family val="2"/>
      <scheme val="minor"/>
    </font>
    <font>
      <b/>
      <i/>
      <sz val="11"/>
      <color rgb="FFFF0000"/>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sz val="14"/>
      <color theme="1"/>
      <name val="Calibri"/>
      <family val="2"/>
      <scheme val="minor"/>
    </font>
    <font>
      <b/>
      <i/>
      <u/>
      <sz val="11"/>
      <color rgb="FFFF0000"/>
      <name val="Calibri"/>
      <family val="2"/>
      <scheme val="minor"/>
    </font>
    <font>
      <i/>
      <sz val="11"/>
      <color rgb="FFFF0000"/>
      <name val="Calibri"/>
      <family val="2"/>
      <scheme val="minor"/>
    </font>
    <font>
      <b/>
      <sz val="22"/>
      <color rgb="FFFF0000"/>
      <name val="Calibri"/>
      <family val="2"/>
      <scheme val="minor"/>
    </font>
    <font>
      <b/>
      <sz val="11"/>
      <color theme="0"/>
      <name val="Calibri"/>
      <family val="2"/>
      <scheme val="minor"/>
    </font>
    <font>
      <sz val="11"/>
      <color rgb="FF000000"/>
      <name val="Calibri"/>
      <family val="2"/>
    </font>
    <font>
      <sz val="16"/>
      <color theme="3" tint="0.39997558519241921"/>
      <name val="Calibri"/>
      <family val="2"/>
      <scheme val="minor"/>
    </font>
    <font>
      <b/>
      <sz val="22"/>
      <color theme="3" tint="0.39997558519241921"/>
      <name val="Calibri"/>
      <family val="2"/>
      <scheme val="minor"/>
    </font>
    <font>
      <b/>
      <sz val="16"/>
      <color theme="1"/>
      <name val="Calibri"/>
      <family val="2"/>
      <scheme val="minor"/>
    </font>
    <font>
      <b/>
      <sz val="16"/>
      <color theme="5" tint="-0.249977111117893"/>
      <name val="Calibri"/>
      <family val="2"/>
      <scheme val="minor"/>
    </font>
    <font>
      <b/>
      <sz val="11"/>
      <color theme="1"/>
      <name val="Calibri"/>
      <scheme val="minor"/>
    </font>
  </fonts>
  <fills count="11">
    <fill>
      <patternFill patternType="none"/>
    </fill>
    <fill>
      <patternFill patternType="gray125"/>
    </fill>
    <fill>
      <patternFill patternType="solid">
        <fgColor theme="6"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theme="9" tint="0.79998168889431442"/>
        <bgColor indexed="64"/>
      </patternFill>
    </fill>
    <fill>
      <patternFill patternType="solid">
        <fgColor theme="7"/>
        <bgColor theme="7"/>
      </patternFill>
    </fill>
    <fill>
      <patternFill patternType="solid">
        <fgColor theme="7" tint="0.79998168889431442"/>
        <bgColor indexed="64"/>
      </patternFill>
    </fill>
    <fill>
      <patternFill patternType="solid">
        <fgColor theme="4"/>
        <bgColor theme="4"/>
      </patternFill>
    </fill>
    <fill>
      <patternFill patternType="solid">
        <fgColor theme="4" tint="0.79998168889431442"/>
        <bgColor theme="4" tint="0.79998168889431442"/>
      </patternFill>
    </fill>
  </fills>
  <borders count="41">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diagonalUp="1">
      <left style="thin">
        <color auto="1"/>
      </left>
      <right style="thin">
        <color auto="1"/>
      </right>
      <top style="thin">
        <color auto="1"/>
      </top>
      <bottom style="thin">
        <color auto="1"/>
      </bottom>
      <diagonal style="thin">
        <color auto="1"/>
      </diagonal>
    </border>
    <border>
      <left/>
      <right/>
      <top style="thin">
        <color theme="7"/>
      </top>
      <bottom/>
      <diagonal/>
    </border>
    <border>
      <left style="thin">
        <color theme="7"/>
      </left>
      <right style="thin">
        <color theme="7"/>
      </right>
      <top/>
      <bottom/>
      <diagonal/>
    </border>
    <border>
      <left style="thin">
        <color theme="5" tint="-0.249977111117893"/>
      </left>
      <right/>
      <top style="thin">
        <color theme="5" tint="-0.249977111117893"/>
      </top>
      <bottom/>
      <diagonal/>
    </border>
    <border>
      <left style="thin">
        <color theme="5" tint="-0.249977111117893"/>
      </left>
      <right/>
      <top/>
      <bottom style="thin">
        <color theme="5" tint="-0.249977111117893"/>
      </bottom>
      <diagonal/>
    </border>
    <border>
      <left/>
      <right style="thin">
        <color theme="5" tint="-0.249977111117893"/>
      </right>
      <top style="thin">
        <color theme="5" tint="-0.249977111117893"/>
      </top>
      <bottom style="thin">
        <color theme="5" tint="-0.249977111117893"/>
      </bottom>
      <diagonal/>
    </border>
    <border>
      <left style="thin">
        <color theme="5" tint="-0.249977111117893"/>
      </left>
      <right style="thin">
        <color theme="5" tint="-0.249977111117893"/>
      </right>
      <top style="thin">
        <color theme="5" tint="-0.249977111117893"/>
      </top>
      <bottom style="thin">
        <color theme="5" tint="-0.249977111117893"/>
      </bottom>
      <diagonal/>
    </border>
    <border>
      <left/>
      <right style="thin">
        <color theme="5" tint="-0.249977111117893"/>
      </right>
      <top style="thin">
        <color theme="5" tint="-0.249977111117893"/>
      </top>
      <bottom/>
      <diagonal/>
    </border>
    <border>
      <left/>
      <right style="thin">
        <color theme="5" tint="-0.249977111117893"/>
      </right>
      <top/>
      <bottom style="thin">
        <color theme="5" tint="-0.249977111117893"/>
      </bottom>
      <diagonal/>
    </border>
    <border>
      <left style="thick">
        <color theme="5" tint="-0.249977111117893"/>
      </left>
      <right/>
      <top style="thick">
        <color theme="5" tint="-0.249977111117893"/>
      </top>
      <bottom/>
      <diagonal/>
    </border>
    <border>
      <left/>
      <right/>
      <top style="thick">
        <color theme="5" tint="-0.249977111117893"/>
      </top>
      <bottom/>
      <diagonal/>
    </border>
    <border>
      <left/>
      <right style="thick">
        <color theme="5" tint="-0.249977111117893"/>
      </right>
      <top style="thick">
        <color theme="5" tint="-0.249977111117893"/>
      </top>
      <bottom/>
      <diagonal/>
    </border>
    <border>
      <left style="thick">
        <color theme="5" tint="-0.249977111117893"/>
      </left>
      <right/>
      <top/>
      <bottom/>
      <diagonal/>
    </border>
    <border>
      <left/>
      <right style="thick">
        <color theme="5" tint="-0.249977111117893"/>
      </right>
      <top/>
      <bottom/>
      <diagonal/>
    </border>
    <border>
      <left style="thin">
        <color theme="5" tint="-0.249977111117893"/>
      </left>
      <right style="thin">
        <color theme="5" tint="-0.249977111117893"/>
      </right>
      <top/>
      <bottom style="thin">
        <color theme="5" tint="-0.249977111117893"/>
      </bottom>
      <diagonal/>
    </border>
    <border>
      <left style="thin">
        <color theme="5" tint="-0.249977111117893"/>
      </left>
      <right style="thin">
        <color theme="5" tint="-0.249977111117893"/>
      </right>
      <top style="thin">
        <color theme="5" tint="-0.249977111117893"/>
      </top>
      <bottom/>
      <diagonal/>
    </border>
    <border>
      <left/>
      <right style="thin">
        <color theme="5" tint="-0.24994659260841701"/>
      </right>
      <top/>
      <bottom style="thin">
        <color theme="5" tint="-0.24994659260841701"/>
      </bottom>
      <diagonal/>
    </border>
    <border>
      <left style="thin">
        <color theme="5" tint="-0.24994659260841701"/>
      </left>
      <right style="thin">
        <color theme="5" tint="-0.24994659260841701"/>
      </right>
      <top/>
      <bottom style="thin">
        <color theme="5" tint="-0.24994659260841701"/>
      </bottom>
      <diagonal/>
    </border>
    <border>
      <left/>
      <right style="thin">
        <color theme="5" tint="-0.24994659260841701"/>
      </right>
      <top style="thin">
        <color theme="5" tint="-0.24994659260841701"/>
      </top>
      <bottom style="thin">
        <color theme="5" tint="-0.24994659260841701"/>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right style="thin">
        <color theme="5" tint="-0.24994659260841701"/>
      </right>
      <top style="thin">
        <color theme="5" tint="-0.24994659260841701"/>
      </top>
      <bottom/>
      <diagonal/>
    </border>
    <border>
      <left style="thin">
        <color theme="5" tint="-0.24994659260841701"/>
      </left>
      <right style="thin">
        <color theme="5" tint="-0.24994659260841701"/>
      </right>
      <top style="thin">
        <color theme="5" tint="-0.24994659260841701"/>
      </top>
      <bottom/>
      <diagonal/>
    </border>
    <border>
      <left style="thin">
        <color theme="5" tint="-0.24994659260841701"/>
      </left>
      <right style="thick">
        <color theme="5" tint="-0.24994659260841701"/>
      </right>
      <top style="thin">
        <color theme="5" tint="-0.24994659260841701"/>
      </top>
      <bottom style="thin">
        <color theme="5" tint="-0.24994659260841701"/>
      </bottom>
      <diagonal/>
    </border>
    <border>
      <left style="thin">
        <color theme="5" tint="-0.24994659260841701"/>
      </left>
      <right style="thick">
        <color theme="5" tint="-0.24994659260841701"/>
      </right>
      <top style="thin">
        <color theme="5" tint="-0.24994659260841701"/>
      </top>
      <bottom/>
      <diagonal/>
    </border>
    <border>
      <left style="thin">
        <color theme="7"/>
      </left>
      <right/>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7"/>
      </top>
      <bottom/>
      <diagonal/>
    </border>
  </borders>
  <cellStyleXfs count="2">
    <xf numFmtId="0" fontId="0" fillId="0" borderId="0"/>
    <xf numFmtId="9" fontId="1" fillId="0" borderId="0" applyFont="0" applyFill="0" applyBorder="0" applyAlignment="0" applyProtection="0"/>
  </cellStyleXfs>
  <cellXfs count="165">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0" fontId="0" fillId="0" borderId="3" xfId="0" applyBorder="1"/>
    <xf numFmtId="0" fontId="0" fillId="0" borderId="2" xfId="0" applyBorder="1"/>
    <xf numFmtId="9" fontId="0" fillId="0" borderId="1" xfId="0" applyNumberFormat="1" applyBorder="1" applyAlignment="1">
      <alignment horizontal="center" vertical="center"/>
    </xf>
    <xf numFmtId="9" fontId="0" fillId="0" borderId="1" xfId="1" applyFont="1" applyBorder="1" applyAlignment="1">
      <alignment horizontal="center" vertical="center"/>
    </xf>
    <xf numFmtId="164" fontId="0" fillId="0" borderId="1" xfId="0" applyNumberFormat="1" applyBorder="1" applyAlignment="1">
      <alignment horizontal="center" vertical="center"/>
    </xf>
    <xf numFmtId="0" fontId="2" fillId="0" borderId="1" xfId="0" applyFont="1" applyBorder="1"/>
    <xf numFmtId="0" fontId="2" fillId="0" borderId="1" xfId="0" applyFont="1" applyBorder="1" applyAlignment="1">
      <alignment horizontal="center" vertical="center"/>
    </xf>
    <xf numFmtId="0" fontId="5" fillId="3" borderId="1" xfId="0" applyFont="1" applyFill="1" applyBorder="1"/>
    <xf numFmtId="0" fontId="4" fillId="4" borderId="1" xfId="0" applyFont="1" applyFill="1" applyBorder="1"/>
    <xf numFmtId="0" fontId="4" fillId="4" borderId="1" xfId="0" applyFont="1" applyFill="1" applyBorder="1" applyAlignment="1">
      <alignment horizontal="center" vertical="center"/>
    </xf>
    <xf numFmtId="0" fontId="2" fillId="2" borderId="1" xfId="0" applyFont="1" applyFill="1" applyBorder="1" applyAlignment="1">
      <alignment horizontal="center" vertical="center"/>
    </xf>
    <xf numFmtId="0" fontId="0" fillId="2" borderId="1" xfId="0" applyFill="1" applyBorder="1" applyAlignment="1">
      <alignment horizontal="center" vertical="center"/>
    </xf>
    <xf numFmtId="9" fontId="0" fillId="2" borderId="1" xfId="0" applyNumberFormat="1" applyFill="1" applyBorder="1" applyAlignment="1">
      <alignment horizontal="center" vertical="center"/>
    </xf>
    <xf numFmtId="164" fontId="0" fillId="2" borderId="1" xfId="0" applyNumberFormat="1" applyFill="1" applyBorder="1" applyAlignment="1">
      <alignment horizontal="center" vertical="center"/>
    </xf>
    <xf numFmtId="164" fontId="0" fillId="0" borderId="1" xfId="0" applyNumberFormat="1" applyBorder="1"/>
    <xf numFmtId="10" fontId="0" fillId="2" borderId="1" xfId="0" applyNumberFormat="1" applyFill="1" applyBorder="1" applyAlignment="1">
      <alignment horizontal="center" vertical="center"/>
    </xf>
    <xf numFmtId="165" fontId="5" fillId="3" borderId="1" xfId="0" applyNumberFormat="1" applyFont="1" applyFill="1" applyBorder="1" applyAlignment="1">
      <alignment horizontal="center" vertical="center"/>
    </xf>
    <xf numFmtId="165" fontId="5" fillId="3" borderId="13" xfId="0" applyNumberFormat="1" applyFont="1" applyFill="1" applyBorder="1"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165" fontId="0" fillId="0" borderId="0" xfId="0" applyNumberFormat="1" applyAlignment="1">
      <alignment horizontal="center" vertical="center"/>
    </xf>
    <xf numFmtId="10" fontId="0" fillId="0" borderId="0" xfId="0" applyNumberFormat="1" applyAlignment="1">
      <alignment horizontal="center" vertical="center"/>
    </xf>
    <xf numFmtId="0" fontId="0" fillId="0" borderId="0" xfId="0" applyAlignment="1">
      <alignment horizontal="center" vertical="center" wrapText="1"/>
    </xf>
    <xf numFmtId="164" fontId="0" fillId="0" borderId="0" xfId="0" applyNumberFormat="1" applyAlignment="1">
      <alignment horizontal="center" vertical="center"/>
    </xf>
    <xf numFmtId="2" fontId="0" fillId="0" borderId="0" xfId="0" applyNumberFormat="1" applyAlignment="1">
      <alignment horizontal="center" vertical="center"/>
    </xf>
    <xf numFmtId="0" fontId="2" fillId="0" borderId="1" xfId="0" applyFont="1" applyBorder="1" applyAlignment="1">
      <alignment horizontal="center" vertical="center"/>
    </xf>
    <xf numFmtId="0" fontId="5"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6" fillId="3" borderId="3" xfId="0" applyFont="1" applyFill="1" applyBorder="1"/>
    <xf numFmtId="0" fontId="0" fillId="5" borderId="0" xfId="0" applyFill="1" applyAlignment="1">
      <alignment horizontal="center" vertical="center"/>
    </xf>
    <xf numFmtId="165" fontId="0" fillId="5" borderId="0" xfId="0" applyNumberFormat="1" applyFill="1" applyAlignment="1">
      <alignment horizontal="center" vertical="center"/>
    </xf>
    <xf numFmtId="10" fontId="0" fillId="5" borderId="0" xfId="0" applyNumberFormat="1" applyFill="1" applyAlignment="1">
      <alignment horizontal="center" vertical="center"/>
    </xf>
    <xf numFmtId="164" fontId="0" fillId="5" borderId="0" xfId="0" applyNumberFormat="1" applyFill="1" applyAlignment="1">
      <alignment horizontal="center" vertical="center"/>
    </xf>
    <xf numFmtId="2" fontId="0" fillId="5" borderId="0" xfId="0" applyNumberFormat="1" applyFill="1" applyAlignment="1">
      <alignment horizontal="center" vertical="center"/>
    </xf>
    <xf numFmtId="0" fontId="9" fillId="5" borderId="0" xfId="0" applyFont="1" applyFill="1" applyAlignment="1">
      <alignment horizontal="center" vertical="center" wrapText="1"/>
    </xf>
    <xf numFmtId="0" fontId="8" fillId="5" borderId="0" xfId="0" applyFont="1" applyFill="1" applyAlignment="1">
      <alignment horizontal="center" vertical="center" wrapText="1"/>
    </xf>
    <xf numFmtId="0" fontId="7" fillId="0" borderId="0" xfId="0" applyFont="1" applyAlignment="1">
      <alignment vertical="center"/>
    </xf>
    <xf numFmtId="10"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0" fillId="0" borderId="1" xfId="0" applyFill="1" applyBorder="1" applyAlignment="1">
      <alignment horizontal="center" vertical="center"/>
    </xf>
    <xf numFmtId="2" fontId="0" fillId="0" borderId="1" xfId="0" applyNumberFormat="1" applyBorder="1" applyAlignment="1">
      <alignment horizontal="center" vertical="center"/>
    </xf>
    <xf numFmtId="10" fontId="0" fillId="0" borderId="1" xfId="0" applyNumberFormat="1" applyBorder="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wrapText="1"/>
    </xf>
    <xf numFmtId="165" fontId="10" fillId="0" borderId="0" xfId="0" applyNumberFormat="1" applyFont="1" applyAlignment="1">
      <alignment horizontal="center" vertical="center"/>
    </xf>
    <xf numFmtId="10" fontId="10" fillId="0" borderId="0" xfId="0" applyNumberFormat="1" applyFont="1" applyAlignment="1">
      <alignment horizontal="center" vertical="center"/>
    </xf>
    <xf numFmtId="164" fontId="10" fillId="0" borderId="0" xfId="0" applyNumberFormat="1" applyFont="1" applyAlignment="1">
      <alignment horizontal="center" vertical="center"/>
    </xf>
    <xf numFmtId="2" fontId="10" fillId="0" borderId="0" xfId="0" applyNumberFormat="1" applyFont="1" applyAlignment="1">
      <alignment horizontal="center" vertical="center"/>
    </xf>
    <xf numFmtId="0" fontId="10" fillId="5" borderId="0" xfId="0" applyFont="1" applyFill="1" applyAlignment="1">
      <alignment horizontal="center" wrapText="1"/>
    </xf>
    <xf numFmtId="0" fontId="10" fillId="5" borderId="0" xfId="0" applyFont="1" applyFill="1" applyAlignment="1">
      <alignment horizontal="center" vertical="center"/>
    </xf>
    <xf numFmtId="165" fontId="10" fillId="5" borderId="0" xfId="0" applyNumberFormat="1" applyFont="1" applyFill="1" applyAlignment="1">
      <alignment horizontal="center" vertical="center"/>
    </xf>
    <xf numFmtId="10" fontId="10" fillId="5" borderId="0" xfId="0" applyNumberFormat="1" applyFont="1" applyFill="1" applyAlignment="1">
      <alignment horizontal="center" vertical="center"/>
    </xf>
    <xf numFmtId="164" fontId="10" fillId="5" borderId="0" xfId="0" applyNumberFormat="1" applyFont="1" applyFill="1" applyAlignment="1">
      <alignment horizontal="center" vertical="center"/>
    </xf>
    <xf numFmtId="2" fontId="10" fillId="5" borderId="0" xfId="0" applyNumberFormat="1" applyFont="1" applyFill="1" applyAlignment="1">
      <alignment horizontal="center" vertical="center"/>
    </xf>
    <xf numFmtId="0" fontId="10" fillId="0" borderId="0" xfId="0" applyFont="1" applyAlignment="1">
      <alignment horizontal="center"/>
    </xf>
    <xf numFmtId="0" fontId="10" fillId="0" borderId="0" xfId="0" applyFont="1"/>
    <xf numFmtId="0" fontId="7" fillId="0" borderId="0" xfId="0" applyFont="1" applyAlignment="1">
      <alignment horizontal="center" wrapText="1"/>
    </xf>
    <xf numFmtId="0" fontId="7" fillId="5" borderId="0" xfId="0" applyFont="1" applyFill="1" applyAlignment="1">
      <alignment horizontal="center" wrapText="1"/>
    </xf>
    <xf numFmtId="0" fontId="7" fillId="0" borderId="0" xfId="0" applyFont="1" applyAlignment="1">
      <alignment horizontal="center"/>
    </xf>
    <xf numFmtId="0" fontId="2" fillId="6" borderId="1" xfId="0" applyFont="1" applyFill="1" applyBorder="1" applyAlignment="1">
      <alignment horizontal="center" vertical="center"/>
    </xf>
    <xf numFmtId="0" fontId="0" fillId="6" borderId="1" xfId="0" applyFill="1" applyBorder="1" applyAlignment="1">
      <alignment horizontal="center" vertical="center"/>
    </xf>
    <xf numFmtId="10" fontId="0" fillId="6" borderId="1" xfId="0" applyNumberFormat="1" applyFill="1" applyBorder="1" applyAlignment="1">
      <alignment horizontal="center" vertical="center"/>
    </xf>
    <xf numFmtId="9" fontId="0" fillId="6" borderId="1" xfId="0" applyNumberFormat="1" applyFill="1" applyBorder="1" applyAlignment="1">
      <alignment horizontal="center" vertical="center"/>
    </xf>
    <xf numFmtId="164" fontId="0" fillId="6" borderId="1" xfId="0" applyNumberFormat="1" applyFill="1" applyBorder="1" applyAlignment="1">
      <alignment horizontal="center" vertical="center"/>
    </xf>
    <xf numFmtId="2" fontId="0" fillId="6" borderId="1" xfId="0" applyNumberFormat="1" applyFill="1" applyBorder="1" applyAlignment="1">
      <alignment horizontal="center" vertical="center"/>
    </xf>
    <xf numFmtId="164" fontId="5" fillId="2" borderId="1" xfId="0" applyNumberFormat="1" applyFont="1" applyFill="1" applyBorder="1" applyAlignment="1">
      <alignment horizontal="center" vertical="center"/>
    </xf>
    <xf numFmtId="164" fontId="0" fillId="0" borderId="1" xfId="0" applyNumberFormat="1" applyFill="1" applyBorder="1" applyAlignment="1">
      <alignment horizontal="center" vertical="center"/>
    </xf>
    <xf numFmtId="164" fontId="5" fillId="6"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0" fontId="0" fillId="0" borderId="14" xfId="0" applyFont="1" applyBorder="1"/>
    <xf numFmtId="0" fontId="14" fillId="7" borderId="0" xfId="0" applyFont="1" applyFill="1" applyBorder="1"/>
    <xf numFmtId="0" fontId="0" fillId="0" borderId="0" xfId="0" applyFont="1" applyBorder="1"/>
    <xf numFmtId="0" fontId="0" fillId="0" borderId="0" xfId="0" applyFont="1" applyAlignment="1">
      <alignment horizontal="left" wrapText="1"/>
    </xf>
    <xf numFmtId="0" fontId="0" fillId="0" borderId="0" xfId="0" applyBorder="1"/>
    <xf numFmtId="0" fontId="2" fillId="0" borderId="0" xfId="0" applyFont="1"/>
    <xf numFmtId="0" fontId="0" fillId="3" borderId="0" xfId="0" applyFill="1"/>
    <xf numFmtId="0" fontId="2" fillId="0" borderId="18" xfId="0" applyFont="1" applyBorder="1"/>
    <xf numFmtId="0" fontId="0" fillId="0" borderId="21" xfId="0" applyBorder="1"/>
    <xf numFmtId="0" fontId="2" fillId="0" borderId="27" xfId="0" applyFont="1" applyBorder="1"/>
    <xf numFmtId="0" fontId="2" fillId="0" borderId="17" xfId="0" applyFont="1" applyBorder="1"/>
    <xf numFmtId="0" fontId="0" fillId="0" borderId="28" xfId="0" applyBorder="1" applyAlignment="1">
      <alignment horizontal="center" vertical="center"/>
    </xf>
    <xf numFmtId="0" fontId="0" fillId="0" borderId="16" xfId="0" applyBorder="1" applyAlignment="1">
      <alignment horizontal="center" vertical="center"/>
    </xf>
    <xf numFmtId="2" fontId="0" fillId="0" borderId="28" xfId="0" applyNumberFormat="1" applyBorder="1" applyAlignment="1">
      <alignment horizontal="center" vertical="center"/>
    </xf>
    <xf numFmtId="0" fontId="0" fillId="0" borderId="0" xfId="0" quotePrefix="1" applyNumberFormat="1"/>
    <xf numFmtId="0" fontId="0" fillId="0" borderId="0" xfId="0" quotePrefix="1"/>
    <xf numFmtId="0" fontId="0" fillId="0" borderId="29" xfId="0" applyBorder="1"/>
    <xf numFmtId="0" fontId="0" fillId="0" borderId="30" xfId="0" applyBorder="1"/>
    <xf numFmtId="0" fontId="2" fillId="0" borderId="31" xfId="0" applyFont="1" applyBorder="1"/>
    <xf numFmtId="0" fontId="2" fillId="0" borderId="33" xfId="0" applyFont="1" applyBorder="1"/>
    <xf numFmtId="9" fontId="0" fillId="0" borderId="34" xfId="0" applyNumberFormat="1" applyBorder="1"/>
    <xf numFmtId="10" fontId="0" fillId="0" borderId="32" xfId="0" applyNumberFormat="1" applyBorder="1"/>
    <xf numFmtId="10" fontId="0" fillId="0" borderId="34" xfId="0" applyNumberFormat="1" applyBorder="1"/>
    <xf numFmtId="0" fontId="20" fillId="0" borderId="33" xfId="0" applyFont="1" applyBorder="1"/>
    <xf numFmtId="10" fontId="0" fillId="0" borderId="32" xfId="0" quotePrefix="1" applyNumberFormat="1" applyBorder="1"/>
    <xf numFmtId="10" fontId="0" fillId="0" borderId="35" xfId="0" quotePrefix="1" applyNumberFormat="1" applyBorder="1"/>
    <xf numFmtId="10" fontId="0" fillId="0" borderId="34" xfId="0" quotePrefix="1" applyNumberFormat="1" applyBorder="1"/>
    <xf numFmtId="10" fontId="0" fillId="0" borderId="36" xfId="0" quotePrefix="1" applyNumberFormat="1" applyBorder="1"/>
    <xf numFmtId="0" fontId="20" fillId="0" borderId="20" xfId="0" applyFont="1" applyBorder="1"/>
    <xf numFmtId="0" fontId="0" fillId="0" borderId="26" xfId="0" quotePrefix="1" applyBorder="1"/>
    <xf numFmtId="0" fontId="0" fillId="0" borderId="19" xfId="0" applyBorder="1"/>
    <xf numFmtId="0" fontId="0" fillId="0" borderId="19" xfId="0" quotePrefix="1" applyBorder="1"/>
    <xf numFmtId="1" fontId="0" fillId="0" borderId="19" xfId="0" quotePrefix="1" applyNumberFormat="1" applyBorder="1" applyAlignment="1">
      <alignment horizontal="center" vertical="center"/>
    </xf>
    <xf numFmtId="0" fontId="14" fillId="9" borderId="37" xfId="0" applyFont="1" applyFill="1" applyBorder="1"/>
    <xf numFmtId="0" fontId="14" fillId="9" borderId="15" xfId="0" applyFont="1" applyFill="1" applyBorder="1"/>
    <xf numFmtId="1" fontId="0" fillId="10" borderId="38" xfId="0" applyNumberFormat="1" applyFont="1" applyFill="1" applyBorder="1"/>
    <xf numFmtId="1" fontId="0" fillId="10" borderId="39" xfId="0" applyNumberFormat="1" applyFont="1" applyFill="1" applyBorder="1"/>
    <xf numFmtId="1" fontId="0" fillId="10" borderId="40" xfId="0" applyNumberFormat="1" applyFont="1" applyFill="1" applyBorder="1"/>
    <xf numFmtId="0" fontId="2" fillId="0" borderId="20" xfId="0" applyFont="1" applyBorder="1"/>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11" fillId="3" borderId="7" xfId="0" applyFont="1" applyFill="1" applyBorder="1" applyAlignment="1">
      <alignment horizontal="center" vertical="top" wrapText="1"/>
    </xf>
    <xf numFmtId="0" fontId="11" fillId="3" borderId="8" xfId="0" applyFont="1" applyFill="1" applyBorder="1" applyAlignment="1">
      <alignment horizontal="center" vertical="top" wrapText="1"/>
    </xf>
    <xf numFmtId="0" fontId="11" fillId="3" borderId="9" xfId="0" applyFont="1" applyFill="1" applyBorder="1" applyAlignment="1">
      <alignment horizontal="center" vertical="top" wrapText="1"/>
    </xf>
    <xf numFmtId="0" fontId="2" fillId="6" borderId="1" xfId="0" applyFont="1" applyFill="1" applyBorder="1" applyAlignment="1">
      <alignment horizontal="center" vertical="center"/>
    </xf>
    <xf numFmtId="0" fontId="2" fillId="0" borderId="1" xfId="0" applyFont="1" applyBorder="1" applyAlignment="1">
      <alignment horizontal="center" vertical="center"/>
    </xf>
    <xf numFmtId="0" fontId="3" fillId="0" borderId="0" xfId="0" applyFont="1" applyAlignment="1">
      <alignment horizontal="center"/>
    </xf>
    <xf numFmtId="0" fontId="2" fillId="2" borderId="1" xfId="0" applyFont="1" applyFill="1" applyBorder="1" applyAlignment="1">
      <alignment horizontal="center" vertic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0" fillId="0" borderId="7" xfId="0" applyNumberFormat="1" applyBorder="1" applyAlignment="1">
      <alignment horizontal="center" vertical="center" wrapText="1"/>
    </xf>
    <xf numFmtId="0" fontId="0" fillId="0" borderId="8" xfId="0" applyNumberFormat="1" applyBorder="1" applyAlignment="1">
      <alignment horizontal="center" vertical="center" wrapText="1"/>
    </xf>
    <xf numFmtId="0" fontId="0" fillId="0" borderId="9" xfId="0" applyNumberFormat="1" applyBorder="1" applyAlignment="1">
      <alignment horizontal="center" vertical="center" wrapText="1"/>
    </xf>
    <xf numFmtId="0" fontId="0" fillId="0" borderId="10" xfId="0" applyNumberFormat="1" applyBorder="1" applyAlignment="1">
      <alignment horizontal="center" vertical="center" wrapText="1"/>
    </xf>
    <xf numFmtId="0" fontId="0" fillId="0" borderId="0"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1" xfId="0" applyNumberFormat="1" applyBorder="1" applyAlignment="1">
      <alignment horizontal="center" vertical="center" wrapText="1"/>
    </xf>
    <xf numFmtId="0" fontId="0" fillId="0" borderId="12" xfId="0" applyNumberFormat="1" applyBorder="1" applyAlignment="1">
      <alignment horizontal="center" vertical="center" wrapText="1"/>
    </xf>
    <xf numFmtId="0" fontId="0" fillId="0" borderId="2" xfId="0" applyNumberForma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0"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2" xfId="0" applyBorder="1" applyAlignment="1">
      <alignment horizontal="center" vertical="center" wrapText="1"/>
    </xf>
    <xf numFmtId="0" fontId="13" fillId="0" borderId="7" xfId="0" applyFont="1" applyBorder="1" applyAlignment="1">
      <alignment horizontal="center" vertical="center" wrapText="1"/>
    </xf>
    <xf numFmtId="0" fontId="19" fillId="3" borderId="22" xfId="0" applyFont="1" applyFill="1" applyBorder="1" applyAlignment="1">
      <alignment horizontal="center" vertical="center"/>
    </xf>
    <xf numFmtId="0" fontId="19" fillId="3" borderId="23" xfId="0" applyFont="1" applyFill="1" applyBorder="1" applyAlignment="1">
      <alignment horizontal="center" vertical="center"/>
    </xf>
    <xf numFmtId="0" fontId="19" fillId="3" borderId="24" xfId="0" applyFont="1" applyFill="1" applyBorder="1" applyAlignment="1">
      <alignment horizontal="center" vertical="center"/>
    </xf>
    <xf numFmtId="0" fontId="19" fillId="3" borderId="25" xfId="0" applyFont="1" applyFill="1" applyBorder="1" applyAlignment="1">
      <alignment horizontal="center" vertical="center"/>
    </xf>
    <xf numFmtId="0" fontId="19" fillId="3" borderId="0" xfId="0" applyFont="1" applyFill="1" applyBorder="1" applyAlignment="1">
      <alignment horizontal="center" vertical="center"/>
    </xf>
    <xf numFmtId="0" fontId="19" fillId="3" borderId="26" xfId="0" applyFont="1" applyFill="1" applyBorder="1" applyAlignment="1">
      <alignment horizontal="center" vertical="center"/>
    </xf>
    <xf numFmtId="0" fontId="17" fillId="0" borderId="0" xfId="0" applyFont="1" applyAlignment="1">
      <alignment horizontal="center"/>
    </xf>
    <xf numFmtId="0" fontId="16" fillId="0" borderId="0" xfId="0" applyFont="1" applyAlignment="1">
      <alignment horizontal="center"/>
    </xf>
    <xf numFmtId="0" fontId="18" fillId="0" borderId="0" xfId="0" applyFont="1" applyAlignment="1">
      <alignment horizontal="center" vertical="center"/>
    </xf>
    <xf numFmtId="0" fontId="0" fillId="3" borderId="0" xfId="0" applyFill="1" applyAlignment="1">
      <alignment horizontal="center" vertical="center"/>
    </xf>
    <xf numFmtId="0" fontId="10" fillId="8" borderId="0" xfId="0" applyFont="1" applyFill="1" applyAlignment="1">
      <alignment horizontal="center" vertical="center"/>
    </xf>
    <xf numFmtId="0" fontId="0" fillId="0" borderId="19" xfId="0" quotePrefix="1" applyNumberFormat="1" applyBorder="1" applyAlignment="1">
      <alignment horizontal="center" vertical="center"/>
    </xf>
  </cellXfs>
  <cellStyles count="2">
    <cellStyle name="Normal" xfId="0" builtinId="0"/>
    <cellStyle name="Pourcentage" xfId="1" builtinId="5"/>
  </cellStyles>
  <dxfs count="149">
    <dxf>
      <alignment horizontal="center" vertical="center" textRotation="0" wrapText="0" indent="0" justifyLastLine="0" shrinkToFit="0" readingOrder="0"/>
      <border diagonalUp="0" diagonalDown="0" outline="0">
        <left style="thin">
          <color theme="5" tint="-0.249977111117893"/>
        </left>
        <right/>
        <top style="thin">
          <color theme="5" tint="-0.249977111117893"/>
        </top>
        <bottom/>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numFmt numFmtId="2" formatCode="0.00"/>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numFmt numFmtId="2" formatCode="0.00"/>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font>
        <b/>
        <i val="0"/>
        <strike val="0"/>
        <condense val="0"/>
        <extend val="0"/>
        <outline val="0"/>
        <shadow val="0"/>
        <u val="none"/>
        <vertAlign val="baseline"/>
        <sz val="11"/>
        <color theme="1"/>
        <name val="Calibri"/>
        <scheme val="minor"/>
      </font>
      <border diagonalUp="0" diagonalDown="0" outline="0">
        <left/>
        <right style="thin">
          <color theme="5" tint="-0.249977111117893"/>
        </right>
        <top style="thin">
          <color theme="5" tint="-0.249977111117893"/>
        </top>
        <bottom/>
      </border>
    </dxf>
    <dxf>
      <numFmt numFmtId="1" formatCode="0"/>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3" formatCode="0%"/>
      <border diagonalUp="0" diagonalDown="0" outline="0">
        <left style="thin">
          <color theme="5" tint="-0.24994659260841701"/>
        </left>
        <right style="thin">
          <color theme="5" tint="-0.24994659260841701"/>
        </right>
        <top style="thin">
          <color theme="5" tint="-0.24994659260841701"/>
        </top>
        <bottom/>
      </border>
    </dxf>
    <dxf>
      <font>
        <b/>
        <i val="0"/>
        <strike val="0"/>
        <condense val="0"/>
        <extend val="0"/>
        <outline val="0"/>
        <shadow val="0"/>
        <u val="none"/>
        <vertAlign val="baseline"/>
        <sz val="11"/>
        <color theme="1"/>
        <name val="Calibri"/>
        <scheme val="minor"/>
      </font>
      <border diagonalUp="0" diagonalDown="0" outline="0">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font>
        <b/>
        <i val="0"/>
        <strike val="0"/>
        <condense val="0"/>
        <extend val="0"/>
        <outline val="0"/>
        <shadow val="0"/>
        <u val="none"/>
        <vertAlign val="baseline"/>
        <sz val="11"/>
        <color theme="1"/>
        <name val="Calibri"/>
        <scheme val="minor"/>
      </font>
      <border diagonalUp="0" diagonalDown="0">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border>
        <top style="thin">
          <color rgb="FF963634"/>
        </top>
      </border>
    </dxf>
    <dxf>
      <border diagonalUp="0" diagonalDown="0">
        <left style="thick">
          <color rgb="FF963634"/>
        </left>
        <right style="thick">
          <color rgb="FF963634"/>
        </right>
        <top style="thick">
          <color rgb="FF963634"/>
        </top>
        <bottom style="thick">
          <color rgb="FF963634"/>
        </bottom>
      </border>
    </dxf>
    <dxf>
      <border>
        <bottom style="thin">
          <color rgb="FF963634"/>
        </bottom>
      </border>
    </dxf>
    <dxf>
      <border diagonalUp="0" diagonalDown="0">
        <left style="thin">
          <color theme="5" tint="-0.24994659260841701"/>
        </left>
        <right style="thin">
          <color theme="5" tint="-0.24994659260841701"/>
        </right>
        <top/>
        <bottom/>
        <vertical style="thin">
          <color theme="5" tint="-0.24994659260841701"/>
        </vertical>
        <horizontal style="thin">
          <color theme="5" tint="-0.24994659260841701"/>
        </horizontal>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numFmt numFmtId="2" formatCode="0.00"/>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font>
        <b/>
        <i val="0"/>
        <strike val="0"/>
        <condense val="0"/>
        <extend val="0"/>
        <outline val="0"/>
        <shadow val="0"/>
        <u val="none"/>
        <vertAlign val="baseline"/>
        <sz val="11"/>
        <color theme="1"/>
        <name val="Calibri"/>
        <scheme val="minor"/>
      </font>
      <numFmt numFmtId="0" formatCode="General"/>
      <border diagonalUp="0" diagonalDown="0">
        <left/>
        <right style="thin">
          <color theme="5" tint="-0.249977111117893"/>
        </right>
        <top style="thin">
          <color theme="5" tint="-0.249977111117893"/>
        </top>
        <bottom style="thin">
          <color theme="5" tint="-0.249977111117893"/>
        </bottom>
        <vertical/>
        <horizontal/>
      </border>
    </dxf>
    <dxf>
      <border outline="0">
        <top style="thin">
          <color rgb="FF963634"/>
        </top>
      </border>
    </dxf>
    <dxf>
      <border outline="0">
        <left style="thick">
          <color rgb="FF963634"/>
        </left>
        <right style="thick">
          <color rgb="FF963634"/>
        </right>
        <top style="thick">
          <color rgb="FF963634"/>
        </top>
        <bottom style="thick">
          <color rgb="FF963634"/>
        </bottom>
      </border>
    </dxf>
    <dxf>
      <alignment horizontal="center" vertical="center" textRotation="0" wrapText="0" indent="0" justifyLastLine="0" shrinkToFit="0" readingOrder="0"/>
    </dxf>
    <dxf>
      <border outline="0">
        <bottom style="thin">
          <color rgb="FF963634"/>
        </bottom>
      </border>
    </dxf>
    <dxf>
      <font>
        <b/>
        <i val="0"/>
        <strike val="0"/>
        <condense val="0"/>
        <extend val="0"/>
        <outline val="0"/>
        <shadow val="0"/>
        <u val="none"/>
        <vertAlign val="baseline"/>
        <sz val="11"/>
        <color theme="1"/>
        <name val="Calibri"/>
        <scheme val="minor"/>
      </font>
      <border diagonalUp="0" diagonalDown="0" outline="0">
        <left style="thin">
          <color theme="5" tint="-0.249977111117893"/>
        </left>
        <right style="thin">
          <color theme="5" tint="-0.249977111117893"/>
        </right>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style="thin">
          <color theme="4" tint="0.39997558519241921"/>
        </right>
        <top style="thin">
          <color theme="7"/>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right/>
        <top style="thin">
          <color theme="4" tint="0.39997558519241921"/>
        </top>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border diagonalUp="0" diagonalDown="0" outline="0">
        <left style="thin">
          <color theme="4" tint="0.39997558519241921"/>
        </left>
        <right/>
        <top style="thin">
          <color theme="4" tint="0.39997558519241921"/>
        </top>
        <bottom/>
      </border>
    </dxf>
    <dxf>
      <border outline="0">
        <top style="thin">
          <color theme="7"/>
        </top>
        <bottom style="thin">
          <color theme="4" tint="0.39997558519241921"/>
        </bottom>
      </border>
    </dxf>
    <dxf>
      <font>
        <b val="0"/>
        <i val="0"/>
        <strike val="0"/>
        <condense val="0"/>
        <extend val="0"/>
        <outline val="0"/>
        <shadow val="0"/>
        <u val="none"/>
        <vertAlign val="baseline"/>
        <sz val="11"/>
        <color theme="1"/>
        <name val="Calibri"/>
        <scheme val="minor"/>
      </font>
      <numFmt numFmtId="1" formatCode="0"/>
      <fill>
        <patternFill patternType="solid">
          <fgColor theme="4" tint="0.79998168889431442"/>
          <bgColor theme="4" tint="0.79998168889431442"/>
        </patternFill>
      </fill>
    </dxf>
    <dxf>
      <font>
        <b/>
        <i val="0"/>
        <strike val="0"/>
        <condense val="0"/>
        <extend val="0"/>
        <outline val="0"/>
        <shadow val="0"/>
        <u val="none"/>
        <vertAlign val="baseline"/>
        <sz val="11"/>
        <color theme="0"/>
        <name val="Calibri"/>
        <scheme val="minor"/>
      </font>
      <fill>
        <patternFill patternType="solid">
          <fgColor theme="4"/>
          <bgColor theme="4"/>
        </patternFill>
      </fill>
      <border diagonalUp="0" diagonalDown="0" outline="0">
        <left style="thin">
          <color theme="7"/>
        </left>
        <right style="thin">
          <color theme="7"/>
        </right>
        <top/>
        <bottom/>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4" formatCode="0.0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numFmt numFmtId="13" formatCode="0%"/>
      <border diagonalUp="0" diagonalDown="0" outline="0">
        <left style="thin">
          <color theme="5" tint="-0.24994659260841701"/>
        </left>
        <right style="thin">
          <color theme="5" tint="-0.24994659260841701"/>
        </right>
        <top style="thin">
          <color theme="5" tint="-0.24994659260841701"/>
        </top>
        <bottom/>
      </border>
    </dxf>
    <dxf>
      <numFmt numFmtId="14" formatCode="0.00%"/>
      <border diagonalUp="0" diagonalDown="0">
        <left style="thin">
          <color theme="5" tint="-0.24994659260841701"/>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font>
        <b/>
        <i val="0"/>
        <strike val="0"/>
        <condense val="0"/>
        <extend val="0"/>
        <outline val="0"/>
        <shadow val="0"/>
        <u val="none"/>
        <vertAlign val="baseline"/>
        <sz val="11"/>
        <color theme="1"/>
        <name val="Calibri"/>
        <scheme val="minor"/>
      </font>
      <border diagonalUp="0" diagonalDown="0" outline="0">
        <left/>
        <right style="thin">
          <color theme="5" tint="-0.24994659260841701"/>
        </right>
        <top style="thin">
          <color theme="5" tint="-0.24994659260841701"/>
        </top>
        <bottom/>
      </border>
    </dxf>
    <dxf>
      <font>
        <b/>
        <i val="0"/>
        <strike val="0"/>
        <condense val="0"/>
        <extend val="0"/>
        <outline val="0"/>
        <shadow val="0"/>
        <u val="none"/>
        <vertAlign val="baseline"/>
        <sz val="11"/>
        <color theme="1"/>
        <name val="Calibri"/>
        <scheme val="minor"/>
      </font>
      <border diagonalUp="0" diagonalDown="0">
        <left/>
        <right style="thin">
          <color theme="5" tint="-0.24994659260841701"/>
        </right>
        <top style="thin">
          <color theme="5" tint="-0.24994659260841701"/>
        </top>
        <bottom style="thin">
          <color theme="5" tint="-0.24994659260841701"/>
        </bottom>
        <vertical style="thin">
          <color theme="5" tint="-0.24994659260841701"/>
        </vertical>
        <horizontal style="thin">
          <color theme="5" tint="-0.24994659260841701"/>
        </horizontal>
      </border>
    </dxf>
    <dxf>
      <border>
        <top style="thin">
          <color theme="5" tint="-0.24994659260841701"/>
        </top>
      </border>
    </dxf>
    <dxf>
      <border diagonalUp="0" diagonalDown="0">
        <left style="thick">
          <color theme="5" tint="-0.24994659260841701"/>
        </left>
        <right style="thick">
          <color theme="5" tint="-0.24994659260841701"/>
        </right>
        <top style="thick">
          <color theme="5" tint="-0.24994659260841701"/>
        </top>
        <bottom style="thick">
          <color theme="5" tint="-0.24994659260841701"/>
        </bottom>
      </border>
    </dxf>
    <dxf>
      <border>
        <bottom style="thin">
          <color theme="5" tint="-0.24994659260841701"/>
        </bottom>
      </border>
    </dxf>
    <dxf>
      <border diagonalUp="0" diagonalDown="0">
        <left style="thin">
          <color theme="5" tint="-0.24994659260841701"/>
        </left>
        <right style="thin">
          <color theme="5" tint="-0.24994659260841701"/>
        </right>
        <top/>
        <bottom/>
        <vertical style="thin">
          <color theme="5" tint="-0.24994659260841701"/>
        </vertical>
        <horizontal style="thin">
          <color theme="5" tint="-0.24994659260841701"/>
        </horizontal>
      </border>
    </dxf>
    <dxf>
      <alignment horizontal="center" vertical="center" textRotation="0" wrapText="0" indent="0" justifyLastLine="0" shrinkToFit="0" readingOrder="0"/>
      <border diagonalUp="0" diagonalDown="0" outline="0">
        <left style="thin">
          <color theme="5" tint="-0.249977111117893"/>
        </left>
        <right/>
        <top style="thin">
          <color theme="5" tint="-0.249977111117893"/>
        </top>
        <bottom/>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numFmt numFmtId="2" formatCode="0.00"/>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numFmt numFmtId="2" formatCode="0.00"/>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numFmt numFmtId="2" formatCode="0.00"/>
      <alignment horizontal="center" vertical="center" textRotation="0" wrapText="0" indent="0" justifyLastLine="0" shrinkToFit="0" readingOrder="0"/>
      <border diagonalUp="0" diagonalDown="0" outline="0">
        <left style="thin">
          <color theme="5" tint="-0.249977111117893"/>
        </left>
        <right style="thin">
          <color theme="5" tint="-0.249977111117893"/>
        </right>
        <top style="thin">
          <color theme="5" tint="-0.249977111117893"/>
        </top>
        <bottom/>
      </border>
    </dxf>
    <dxf>
      <numFmt numFmtId="1" formatCode="0"/>
      <alignment horizontal="center" vertical="center" textRotation="0" wrapText="0" indent="0" justifyLastLine="0" shrinkToFit="0" readingOrder="0"/>
      <border diagonalUp="0" diagonalDown="0">
        <left style="thin">
          <color theme="5" tint="-0.249977111117893"/>
        </left>
        <right style="thin">
          <color theme="5" tint="-0.249977111117893"/>
        </right>
        <top style="thin">
          <color theme="5" tint="-0.249977111117893"/>
        </top>
        <bottom style="thin">
          <color theme="5" tint="-0.249977111117893"/>
        </bottom>
        <vertical style="thin">
          <color theme="5" tint="-0.249977111117893"/>
        </vertical>
        <horizontal style="thin">
          <color theme="5" tint="-0.249977111117893"/>
        </horizontal>
      </border>
    </dxf>
    <dxf>
      <font>
        <b/>
        <i val="0"/>
        <strike val="0"/>
        <condense val="0"/>
        <extend val="0"/>
        <outline val="0"/>
        <shadow val="0"/>
        <u val="none"/>
        <vertAlign val="baseline"/>
        <sz val="11"/>
        <color theme="1"/>
        <name val="Calibri"/>
        <scheme val="minor"/>
      </font>
      <border diagonalUp="0" diagonalDown="0" outline="0">
        <left/>
        <right style="thin">
          <color theme="5" tint="-0.249977111117893"/>
        </right>
        <top style="thin">
          <color theme="5" tint="-0.249977111117893"/>
        </top>
        <bottom/>
      </border>
    </dxf>
    <dxf>
      <font>
        <b/>
        <i val="0"/>
        <strike val="0"/>
        <condense val="0"/>
        <extend val="0"/>
        <outline val="0"/>
        <shadow val="0"/>
        <u val="none"/>
        <vertAlign val="baseline"/>
        <sz val="11"/>
        <color theme="1"/>
        <name val="Calibri"/>
        <scheme val="minor"/>
      </font>
      <numFmt numFmtId="0" formatCode="General"/>
      <border diagonalUp="0" diagonalDown="0">
        <left/>
        <right style="thin">
          <color theme="5" tint="-0.249977111117893"/>
        </right>
        <top style="thin">
          <color theme="5" tint="-0.249977111117893"/>
        </top>
        <bottom style="thin">
          <color theme="5" tint="-0.249977111117893"/>
        </bottom>
        <vertical/>
        <horizontal/>
      </border>
    </dxf>
    <dxf>
      <border outline="0">
        <top style="thin">
          <color theme="5" tint="-0.249977111117893"/>
        </top>
      </border>
    </dxf>
    <dxf>
      <border outline="0">
        <left style="thick">
          <color theme="5" tint="-0.249977111117893"/>
        </left>
        <right style="thick">
          <color theme="5" tint="-0.249977111117893"/>
        </right>
        <top style="thick">
          <color theme="5" tint="-0.249977111117893"/>
        </top>
        <bottom style="thick">
          <color theme="5" tint="-0.249977111117893"/>
        </bottom>
      </border>
    </dxf>
    <dxf>
      <alignment horizontal="center" vertical="center" textRotation="0" wrapText="0" indent="0" justifyLastLine="0" shrinkToFit="0" readingOrder="0"/>
    </dxf>
    <dxf>
      <border outline="0">
        <bottom style="thin">
          <color theme="5" tint="-0.249977111117893"/>
        </bottom>
      </border>
    </dxf>
    <dxf>
      <font>
        <b/>
        <i val="0"/>
        <strike val="0"/>
        <condense val="0"/>
        <extend val="0"/>
        <outline val="0"/>
        <shadow val="0"/>
        <u val="none"/>
        <vertAlign val="baseline"/>
        <sz val="11"/>
        <color theme="1"/>
        <name val="Calibri"/>
        <scheme val="minor"/>
      </font>
      <border diagonalUp="0" diagonalDown="0" outline="0">
        <left style="thin">
          <color theme="5" tint="-0.249977111117893"/>
        </left>
        <right style="thin">
          <color theme="5" tint="-0.249977111117893"/>
        </right>
        <top/>
        <bottom/>
      </border>
    </dxf>
    <dxf>
      <font>
        <b/>
        <i val="0"/>
        <strike val="0"/>
        <condense val="0"/>
        <extend val="0"/>
        <outline val="0"/>
        <shadow val="0"/>
        <u val="none"/>
        <vertAlign val="baseline"/>
        <sz val="11"/>
        <color theme="0"/>
        <name val="Calibri"/>
        <scheme val="minor"/>
      </font>
      <fill>
        <patternFill patternType="solid">
          <fgColor theme="7"/>
          <bgColor theme="7"/>
        </patternFill>
      </fill>
    </dxf>
    <dxf>
      <font>
        <b val="0"/>
        <i val="0"/>
        <strike val="0"/>
        <condense val="0"/>
        <extend val="0"/>
        <outline val="0"/>
        <shadow val="0"/>
        <u val="none"/>
        <vertAlign val="baseline"/>
        <sz val="11"/>
        <color theme="1"/>
        <name val="Calibri"/>
        <scheme val="minor"/>
      </font>
      <border diagonalUp="0" diagonalDown="0">
        <left/>
        <right/>
        <top style="thin">
          <color theme="7"/>
        </top>
        <bottom/>
        <vertical/>
        <horizontal/>
      </border>
    </dxf>
    <dxf>
      <border outline="0">
        <left style="thin">
          <color theme="7"/>
        </left>
        <right style="thin">
          <color theme="7"/>
        </right>
        <top style="thin">
          <color theme="7"/>
        </top>
        <bottom style="thin">
          <color theme="7"/>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7"/>
          <bgColor theme="7"/>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numFmt numFmtId="2" formatCode="0.00"/>
      <alignment horizontal="center" vertical="center" textRotation="0" wrapText="0" indent="0" justifyLastLine="0" shrinkToFit="0" readingOrder="0"/>
    </dxf>
    <dxf>
      <font>
        <strike val="0"/>
        <outline val="0"/>
        <shadow val="0"/>
        <u val="none"/>
        <vertAlign val="baseline"/>
        <sz val="14"/>
        <color theme="1"/>
        <name val="Calibri"/>
        <scheme val="minor"/>
      </font>
      <numFmt numFmtId="164" formatCode="#,##0\ &quot;€&quot;"/>
      <alignment horizontal="center" vertical="center" textRotation="0" wrapText="0" indent="0" justifyLastLine="0" shrinkToFit="0" readingOrder="0"/>
    </dxf>
    <dxf>
      <font>
        <strike val="0"/>
        <outline val="0"/>
        <shadow val="0"/>
        <u val="none"/>
        <vertAlign val="baseline"/>
        <sz val="14"/>
        <color theme="1"/>
        <name val="Calibri"/>
        <scheme val="minor"/>
      </font>
      <numFmt numFmtId="164" formatCode="#,##0\ &quot;€&quot;"/>
      <alignment horizontal="center" vertical="center" textRotation="0" wrapText="0" indent="0" justifyLastLine="0" shrinkToFit="0" readingOrder="0"/>
    </dxf>
    <dxf>
      <font>
        <strike val="0"/>
        <outline val="0"/>
        <shadow val="0"/>
        <u val="none"/>
        <vertAlign val="baseline"/>
        <sz val="14"/>
        <color theme="1"/>
        <name val="Calibri"/>
        <scheme val="minor"/>
      </font>
      <numFmt numFmtId="164" formatCode="#,##0\ &quot;€&quot;"/>
      <alignment horizontal="center" vertical="center" textRotation="0" wrapText="0" indent="0" justifyLastLine="0" shrinkToFit="0" readingOrder="0"/>
    </dxf>
    <dxf>
      <font>
        <strike val="0"/>
        <outline val="0"/>
        <shadow val="0"/>
        <u val="none"/>
        <vertAlign val="baseline"/>
        <sz val="14"/>
        <color theme="1"/>
        <name val="Calibri"/>
        <scheme val="minor"/>
      </font>
      <numFmt numFmtId="164" formatCode="#,##0\ &quot;€&quot;"/>
      <alignment horizontal="center" vertical="center" textRotation="0" wrapText="0" indent="0" justifyLastLine="0" shrinkToFit="0" readingOrder="0"/>
    </dxf>
    <dxf>
      <font>
        <strike val="0"/>
        <outline val="0"/>
        <shadow val="0"/>
        <u val="none"/>
        <vertAlign val="baseline"/>
        <sz val="14"/>
        <color theme="1"/>
        <name val="Calibri"/>
        <scheme val="minor"/>
      </font>
      <numFmt numFmtId="14" formatCode="0.00%"/>
      <alignment horizontal="center" vertical="center" textRotation="0" wrapText="0" indent="0" justifyLastLine="0" shrinkToFit="0" readingOrder="0"/>
    </dxf>
    <dxf>
      <font>
        <strike val="0"/>
        <outline val="0"/>
        <shadow val="0"/>
        <u val="none"/>
        <vertAlign val="baseline"/>
        <sz val="14"/>
        <color theme="1"/>
        <name val="Calibri"/>
        <scheme val="minor"/>
      </font>
      <numFmt numFmtId="165" formatCode="#,##0.00\ &quot;€&quot;"/>
      <alignment horizontal="center" vertical="center" textRotation="0" wrapText="0" indent="0" justifyLastLine="0" shrinkToFit="0" readingOrder="0"/>
    </dxf>
    <dxf>
      <font>
        <strike val="0"/>
        <outline val="0"/>
        <shadow val="0"/>
        <u val="none"/>
        <vertAlign val="baseline"/>
        <sz val="14"/>
        <color theme="1"/>
        <name val="Calibri"/>
        <scheme val="minor"/>
      </font>
      <numFmt numFmtId="165" formatCode="#,##0.00\ &quot;€&quo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center" textRotation="0" wrapText="0" indent="0" justifyLastLine="0" shrinkToFit="0" readingOrder="0"/>
    </dxf>
    <dxf>
      <font>
        <strike val="0"/>
        <outline val="0"/>
        <shadow val="0"/>
        <u val="none"/>
        <vertAlign val="baseline"/>
        <sz val="14"/>
        <color theme="1"/>
        <name val="Calibri"/>
        <scheme val="minor"/>
      </font>
      <alignment horizontal="center" vertical="bottom" textRotation="0" wrapText="0" indent="0" justifyLastLine="0" shrinkToFit="0" readingOrder="0"/>
    </dxf>
    <dxf>
      <font>
        <strike val="0"/>
        <outline val="0"/>
        <shadow val="0"/>
        <u val="none"/>
        <vertAlign val="baseline"/>
        <sz val="14"/>
        <color theme="1"/>
        <name val="Calibri"/>
        <scheme val="minor"/>
      </font>
      <alignment horizontal="center" vertical="bottom"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123825</xdr:colOff>
          <xdr:row>23</xdr:row>
          <xdr:rowOff>85725</xdr:rowOff>
        </xdr:from>
        <xdr:to>
          <xdr:col>16</xdr:col>
          <xdr:colOff>0</xdr:colOff>
          <xdr:row>26</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Echange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0</xdr:colOff>
          <xdr:row>7</xdr:row>
          <xdr:rowOff>0</xdr:rowOff>
        </xdr:from>
        <xdr:to>
          <xdr:col>14</xdr:col>
          <xdr:colOff>142875</xdr:colOff>
          <xdr:row>10</xdr:row>
          <xdr:rowOff>57150</xdr:rowOff>
        </xdr:to>
        <xdr:sp macro="" textlink="">
          <xdr:nvSpPr>
            <xdr:cNvPr id="7170" name="CommandButton1" hidden="1">
              <a:extLst>
                <a:ext uri="{63B3BB69-23CF-44E3-9099-C40C66FF867C}">
                  <a14:compatExt spid="_x0000_s7170"/>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742950</xdr:colOff>
          <xdr:row>4</xdr:row>
          <xdr:rowOff>9525</xdr:rowOff>
        </xdr:from>
        <xdr:to>
          <xdr:col>19</xdr:col>
          <xdr:colOff>95250</xdr:colOff>
          <xdr:row>8</xdr:row>
          <xdr:rowOff>66675</xdr:rowOff>
        </xdr:to>
        <xdr:sp macro="" textlink="">
          <xdr:nvSpPr>
            <xdr:cNvPr id="60417" name="Button 1" hidden="1">
              <a:extLst>
                <a:ext uri="{63B3BB69-23CF-44E3-9099-C40C66FF867C}">
                  <a14:compatExt spid="_x0000_s604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Récap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752475</xdr:colOff>
          <xdr:row>10</xdr:row>
          <xdr:rowOff>9525</xdr:rowOff>
        </xdr:from>
        <xdr:to>
          <xdr:col>19</xdr:col>
          <xdr:colOff>114300</xdr:colOff>
          <xdr:row>14</xdr:row>
          <xdr:rowOff>38100</xdr:rowOff>
        </xdr:to>
        <xdr:sp macro="" textlink="">
          <xdr:nvSpPr>
            <xdr:cNvPr id="60418" name="Button 2" hidden="1">
              <a:extLst>
                <a:ext uri="{63B3BB69-23CF-44E3-9099-C40C66FF867C}">
                  <a14:compatExt spid="_x0000_s6041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Point CC</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933450</xdr:colOff>
          <xdr:row>10</xdr:row>
          <xdr:rowOff>0</xdr:rowOff>
        </xdr:from>
        <xdr:to>
          <xdr:col>15</xdr:col>
          <xdr:colOff>28575</xdr:colOff>
          <xdr:row>13</xdr:row>
          <xdr:rowOff>28575</xdr:rowOff>
        </xdr:to>
        <xdr:sp macro="" textlink="">
          <xdr:nvSpPr>
            <xdr:cNvPr id="61441" name="Button 1" hidden="1">
              <a:extLst>
                <a:ext uri="{63B3BB69-23CF-44E3-9099-C40C66FF867C}">
                  <a14:compatExt spid="_x0000_s614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MAJ Calculs</a:t>
              </a:r>
            </a:p>
          </xdr:txBody>
        </xdr:sp>
        <xdr:clientData fPrintsWithSheet="0"/>
      </xdr:twoCellAnchor>
    </mc:Choice>
    <mc:Fallback/>
  </mc:AlternateContent>
</xdr:wsDr>
</file>

<file path=xl/tables/table1.xml><?xml version="1.0" encoding="utf-8"?>
<table xmlns="http://schemas.openxmlformats.org/spreadsheetml/2006/main" id="2" name="Tableau2" displayName="Tableau2" ref="A2:BC22" totalsRowShown="0" headerRowDxfId="148" dataDxfId="147">
  <autoFilter ref="A2:BC22"/>
  <tableColumns count="55">
    <tableColumn id="1" name="CONSEILLERS" dataDxfId="146"/>
    <tableColumn id="18" name="Septembre" dataDxfId="145"/>
    <tableColumn id="2" name="OUVERTURES" dataDxfId="144"/>
    <tableColumn id="3" name="DEBLOCAGES" dataDxfId="143"/>
    <tableColumn id="4" name="ASSURANCE _x000a_1 TETE" dataDxfId="142"/>
    <tableColumn id="5" name="ASSURANCE _x000a_2 TETES" dataDxfId="141"/>
    <tableColumn id="6" name="TOTAL _x000a_VENTES" dataDxfId="140"/>
    <tableColumn id="7" name="TAUX _x000a_D'OBJ" dataDxfId="139"/>
    <tableColumn id="8" name="BV" dataDxfId="138"/>
    <tableColumn id="9" name="BV PAR REPART" dataDxfId="137"/>
    <tableColumn id="10" name="TAUX D'OUV_x000a_ / VENTES" dataDxfId="136"/>
    <tableColumn id="11" name="MONTANT MOYEN _x000a_DEBLOQUE" dataDxfId="135"/>
    <tableColumn id="12" name="Montant Rachat" dataDxfId="134"/>
    <tableColumn id="13" name="Montant REVO" dataDxfId="133"/>
    <tableColumn id="14" name="Montant REVO PART" dataDxfId="132"/>
    <tableColumn id="15" name="PROD _x000a_TEL" dataDxfId="131"/>
    <tableColumn id="16" name="TAUX DE RETRAIT" dataDxfId="130"/>
    <tableColumn id="17" name="TAUX DE _x000a_RETOURS" dataDxfId="129"/>
    <tableColumn id="19" name="Octobre" dataDxfId="128"/>
    <tableColumn id="20" name="OUVERTURES " dataDxfId="127"/>
    <tableColumn id="21" name="DEBLOCAGES2" dataDxfId="126"/>
    <tableColumn id="22" name="ASSURANCE _x000a_1 TETE5" dataDxfId="125"/>
    <tableColumn id="23" name="ASSURANCE _x000a_2 TETES2" dataDxfId="124"/>
    <tableColumn id="24" name="TOTAL _x000a_VENTES2" dataDxfId="123"/>
    <tableColumn id="25" name="TAUX _x000a_D'OBJ2" dataDxfId="122"/>
    <tableColumn id="26" name="BV2" dataDxfId="121"/>
    <tableColumn id="27" name="BV PAR REPART2" dataDxfId="120"/>
    <tableColumn id="28" name="TAUX D'OUV_x000a_ / VENTES2" dataDxfId="119"/>
    <tableColumn id="29" name="MONTANT MOYEN _x000a_DEBLOQUE2" dataDxfId="118"/>
    <tableColumn id="30" name="Montant Rachat2" dataDxfId="117"/>
    <tableColumn id="31" name="Montant REVO2" dataDxfId="116"/>
    <tableColumn id="32" name="Montant REVO PART2" dataDxfId="115"/>
    <tableColumn id="33" name="PROD _x000a_TEL2" dataDxfId="114"/>
    <tableColumn id="34" name="TAUX DE RETRAIT2" dataDxfId="113"/>
    <tableColumn id="35" name="TAUX DE _x000a_RETOURS2 M-1" dataDxfId="112"/>
    <tableColumn id="36" name="Novembre" dataDxfId="111"/>
    <tableColumn id="37" name="OUVERTURES2" dataDxfId="110"/>
    <tableColumn id="38" name="DEBLOCAGES3" dataDxfId="109"/>
    <tableColumn id="39" name="ASSURANCE _x000a_1 TETE2" dataDxfId="108"/>
    <tableColumn id="40" name="ASSURANCE _x000a_2 TETES3" dataDxfId="107"/>
    <tableColumn id="41" name="TOTAL _x000a_VENTES3" dataDxfId="106"/>
    <tableColumn id="42" name="TAUX _x000a_D'OBJ3" dataDxfId="105"/>
    <tableColumn id="43" name="BV3" dataDxfId="104"/>
    <tableColumn id="44" name="BV PAR REPART3" dataDxfId="103"/>
    <tableColumn id="45" name="TAUX D'OUV_x000a_ / VENTES3" dataDxfId="102"/>
    <tableColumn id="46" name="MONTANT MOYEN _x000a_DEBLOQUE3" dataDxfId="101"/>
    <tableColumn id="47" name="Montant Rachat3" dataDxfId="100"/>
    <tableColumn id="48" name="Montant REVO3" dataDxfId="99"/>
    <tableColumn id="49" name="Montant REVO PART3" dataDxfId="98"/>
    <tableColumn id="50" name="PROD _x000a_TEL3" dataDxfId="97"/>
    <tableColumn id="51" name="TAUX DE RETRAIT3" dataDxfId="96"/>
    <tableColumn id="52" name="TAUX DE _x000a_RETOURS3" dataDxfId="95"/>
    <tableColumn id="53" name="Echange Sept" dataDxfId="94"/>
    <tableColumn id="54" name="Echange Oct" dataDxfId="93"/>
    <tableColumn id="55" name="Echange Nov" dataDxfId="92"/>
  </tableColumns>
  <tableStyleInfo name="TableStyleMedium4" showFirstColumn="0" showLastColumn="0" showRowStripes="1" showColumnStripes="0"/>
</table>
</file>

<file path=xl/tables/table2.xml><?xml version="1.0" encoding="utf-8"?>
<table xmlns="http://schemas.openxmlformats.org/spreadsheetml/2006/main" id="1" name="Listetrim" displayName="Listetrim" ref="A1:A15" totalsRowShown="0" headerRowDxfId="91" dataDxfId="90" tableBorderDxfId="89">
  <autoFilter ref="A1:A15"/>
  <tableColumns count="1">
    <tableColumn id="1" name="Liste Objectifs" dataDxfId="88"/>
  </tableColumns>
  <tableStyleInfo name="TableStyleLight12" showFirstColumn="0" showLastColumn="0" showRowStripes="1" showColumnStripes="0"/>
</table>
</file>

<file path=xl/tables/table3.xml><?xml version="1.0" encoding="utf-8"?>
<table xmlns="http://schemas.openxmlformats.org/spreadsheetml/2006/main" id="3" name="Tableau3" displayName="Tableau3" ref="C1:C19" totalsRowShown="0" headerRowDxfId="87">
  <autoFilter ref="C1:C19"/>
  <tableColumns count="1">
    <tableColumn id="1" name="Conseillers"/>
  </tableColumns>
  <tableStyleInfo name="TableStyleLight12" showFirstColumn="0" showLastColumn="0" showRowStripes="1" showColumnStripes="0"/>
</table>
</file>

<file path=xl/tables/table4.xml><?xml version="1.0" encoding="utf-8"?>
<table xmlns="http://schemas.openxmlformats.org/spreadsheetml/2006/main" id="6" name="Tableau6" displayName="Tableau6" ref="H2:K6" totalsRowShown="0">
  <autoFilter ref="H2:K6"/>
  <tableColumns count="4">
    <tableColumn id="1" name="Colonne1"/>
    <tableColumn id="2" name="Colonne2"/>
    <tableColumn id="3" name="Colonne3"/>
    <tableColumn id="4" name="Colonne4"/>
  </tableColumns>
  <tableStyleInfo name="TableStyleLight1" showFirstColumn="0" showLastColumn="0" showRowStripes="1" showColumnStripes="0"/>
</table>
</file>

<file path=xl/tables/table5.xml><?xml version="1.0" encoding="utf-8"?>
<table xmlns="http://schemas.openxmlformats.org/spreadsheetml/2006/main" id="4" name="Tableau4" displayName="Tableau4" ref="C11:I15" totalsRowCount="1" headerRowDxfId="86" dataDxfId="84" headerRowBorderDxfId="85" tableBorderDxfId="83" totalsRowBorderDxfId="82">
  <autoFilter ref="C11:I14"/>
  <tableColumns count="7">
    <tableColumn id="1" name="Mois" totalsRowLabel="Total" dataDxfId="81" totalsRowDxfId="80">
      <calculatedColumnFormula>VLOOKUP($C$8,Tableau6[#All],3,FALSE)</calculatedColumnFormula>
    </tableColumn>
    <tableColumn id="2" name="Ouvertures" totalsRowFunction="sum" dataDxfId="79" totalsRowDxfId="78"/>
    <tableColumn id="3" name="Déblocages" totalsRowFunction="sum" dataDxfId="77" totalsRowDxfId="76"/>
    <tableColumn id="4" name="Assurance 1 T" totalsRowFunction="sum" dataDxfId="75" totalsRowDxfId="74"/>
    <tableColumn id="5" name="Assurance 2 T" totalsRowFunction="sum" dataDxfId="73" totalsRowDxfId="72"/>
    <tableColumn id="6" name="Total Ventes" totalsRowFunction="sum" dataDxfId="71" totalsRowDxfId="70"/>
    <tableColumn id="7" name="Montant BV" dataDxfId="69" totalsRowDxfId="68"/>
  </tableColumns>
  <tableStyleInfo showFirstColumn="0" showLastColumn="0" showRowStripes="1" showColumnStripes="0"/>
</table>
</file>

<file path=xl/tables/table6.xml><?xml version="1.0" encoding="utf-8"?>
<table xmlns="http://schemas.openxmlformats.org/spreadsheetml/2006/main" id="7" name="Tableau7" displayName="Tableau7" ref="D20:I24" totalsRowCount="1" headerRowDxfId="67" headerRowBorderDxfId="66" tableBorderDxfId="65" totalsRowBorderDxfId="64">
  <autoFilter ref="D20:I23"/>
  <tableColumns count="6">
    <tableColumn id="1" name="Mois" totalsRowLabel="Total" dataDxfId="63" totalsRowDxfId="62"/>
    <tableColumn id="2" name="QRC" dataDxfId="61" totalsRowDxfId="60"/>
    <tableColumn id="3" name="RCP" dataDxfId="59" totalsRowDxfId="58"/>
    <tableColumn id="4" name="% ouv+ass/ventes" dataDxfId="57" totalsRowDxfId="56"/>
    <tableColumn id="5" name="%ass 2t / ass" dataDxfId="55" totalsRowDxfId="54"/>
    <tableColumn id="6" name="% demandes/appels" dataDxfId="53" totalsRowDxfId="52"/>
  </tableColumns>
  <tableStyleInfo showFirstColumn="0" showLastColumn="0" showRowStripes="1" showColumnStripes="0"/>
</table>
</file>

<file path=xl/tables/table7.xml><?xml version="1.0" encoding="utf-8"?>
<table xmlns="http://schemas.openxmlformats.org/spreadsheetml/2006/main" id="13" name="Trimestre1" displayName="Trimestre1" ref="A1:N2" totalsRowShown="0" headerRowDxfId="51" dataDxfId="50" tableBorderDxfId="49">
  <autoFilter ref="A1:N2"/>
  <tableColumns count="14">
    <tableColumn id="1" name="Conseiller" dataDxfId="48"/>
    <tableColumn id="2" name="Mois" dataDxfId="47"/>
    <tableColumn id="3" name="Ouvertures" dataDxfId="46"/>
    <tableColumn id="4" name="Déblocages" dataDxfId="45"/>
    <tableColumn id="5" name="Ass 1 t" dataDxfId="44"/>
    <tableColumn id="6" name="Ass 2 t" dataDxfId="43"/>
    <tableColumn id="7" name="Total ventes" dataDxfId="42"/>
    <tableColumn id="8" name="Tx obj" dataDxfId="41"/>
    <tableColumn id="9" name="BV" dataDxfId="40"/>
    <tableColumn id="10" name="QRC" dataDxfId="39"/>
    <tableColumn id="11" name="RCP" dataDxfId="38"/>
    <tableColumn id="12" name="% ouv+ass/ventes" dataDxfId="37"/>
    <tableColumn id="13" name="%ass 2t / ass" dataDxfId="36"/>
    <tableColumn id="14" name="% demandes/appels" dataDxfId="35"/>
  </tableColumns>
  <tableStyleInfo name="TableStyleMedium2" showFirstColumn="0" showLastColumn="0" showRowStripes="1" showColumnStripes="0"/>
</table>
</file>

<file path=xl/tables/table8.xml><?xml version="1.0" encoding="utf-8"?>
<table xmlns="http://schemas.openxmlformats.org/spreadsheetml/2006/main" id="14" name="Tableau415" displayName="Tableau415" ref="E11:K15" totalsRowCount="1" headerRowDxfId="34" dataDxfId="32" headerRowBorderDxfId="33" tableBorderDxfId="31" totalsRowBorderDxfId="30">
  <autoFilter ref="E11:K14"/>
  <tableColumns count="7">
    <tableColumn id="1" name="Mois" totalsRowLabel="Total" dataDxfId="29" totalsRowDxfId="6">
      <calculatedColumnFormula>VLOOKUP($E$8,Tableau6[#All],3,FALSE)</calculatedColumnFormula>
    </tableColumn>
    <tableColumn id="2" name="Ouvertures" totalsRowFunction="sum" dataDxfId="7" totalsRowDxfId="5">
      <calculatedColumnFormula array="1">INDEX(Trimestre1[Ouvertures],MATCH($G$5&amp;$E$12,Trimestre1[Conseiller]&amp;Trimestre1[Mois],0))</calculatedColumnFormula>
    </tableColumn>
    <tableColumn id="3" name="Déblocages" totalsRowFunction="sum" dataDxfId="28" totalsRowDxfId="4"/>
    <tableColumn id="4" name="Assurance 1 T" totalsRowFunction="sum" dataDxfId="27" totalsRowDxfId="3"/>
    <tableColumn id="5" name="Assurance 2 T" totalsRowFunction="sum" dataDxfId="26" totalsRowDxfId="2"/>
    <tableColumn id="6" name="Total Ventes" totalsRowFunction="sum" dataDxfId="25" totalsRowDxfId="1"/>
    <tableColumn id="7" name="Montant BV" dataDxfId="24" totalsRowDxfId="0"/>
  </tableColumns>
  <tableStyleInfo showFirstColumn="0" showLastColumn="0" showRowStripes="1" showColumnStripes="0"/>
</table>
</file>

<file path=xl/tables/table9.xml><?xml version="1.0" encoding="utf-8"?>
<table xmlns="http://schemas.openxmlformats.org/spreadsheetml/2006/main" id="15" name="Tableau716" displayName="Tableau716" ref="F20:K24" totalsRowCount="1" headerRowDxfId="23" headerRowBorderDxfId="22" tableBorderDxfId="21" totalsRowBorderDxfId="20">
  <autoFilter ref="F20:K23"/>
  <tableColumns count="6">
    <tableColumn id="1" name="Mois" totalsRowLabel="Total" dataDxfId="19" totalsRowDxfId="14"/>
    <tableColumn id="2" name="QRC" dataDxfId="8" totalsRowDxfId="13">
      <calculatedColumnFormula array="1">INDEX(Trimestre1[QRC],MATCH(G5&amp;Tableau716[[#This Row],[Mois]],Trimestre1[Conseiller]&amp;Trimestre1[Mois],0))</calculatedColumnFormula>
    </tableColumn>
    <tableColumn id="3" name="RCP" dataDxfId="18" totalsRowDxfId="12"/>
    <tableColumn id="4" name="% ouv+ass/ventes" dataDxfId="17" totalsRowDxfId="11"/>
    <tableColumn id="5" name="%ass 2t / ass" dataDxfId="16" totalsRowDxfId="10"/>
    <tableColumn id="6" name="% demandes/appels" dataDxfId="15" totalsRowDxfId="9"/>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4.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3.xml"/><Relationship Id="rId5" Type="http://schemas.openxmlformats.org/officeDocument/2006/relationships/table" Target="../tables/table7.xml"/><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pageSetUpPr fitToPage="1"/>
  </sheetPr>
  <dimension ref="A1:S46"/>
  <sheetViews>
    <sheetView showGridLines="0" workbookViewId="0">
      <selection activeCell="B11" sqref="B11"/>
    </sheetView>
  </sheetViews>
  <sheetFormatPr baseColWidth="10" defaultRowHeight="15" x14ac:dyDescent="0.25"/>
  <cols>
    <col min="1" max="1" width="29.85546875" customWidth="1"/>
    <col min="2" max="2" width="11.140625" style="1" bestFit="1" customWidth="1"/>
    <col min="3" max="3" width="9.140625" style="1" customWidth="1"/>
    <col min="4" max="4" width="7.85546875" style="1" bestFit="1" customWidth="1"/>
    <col min="5" max="6" width="10.42578125" style="1" bestFit="1" customWidth="1"/>
    <col min="7" max="7" width="8.85546875" style="1" customWidth="1"/>
    <col min="8" max="8" width="10.85546875" style="1" customWidth="1"/>
    <col min="9" max="9" width="9" style="1" customWidth="1"/>
    <col min="10" max="10" width="7.7109375" style="1" bestFit="1" customWidth="1"/>
    <col min="11" max="12" width="8.140625" style="1" customWidth="1"/>
    <col min="13" max="13" width="7.85546875" style="1" bestFit="1" customWidth="1"/>
    <col min="14" max="14" width="7.7109375" style="1" bestFit="1" customWidth="1"/>
    <col min="15" max="16" width="6.7109375" customWidth="1"/>
  </cols>
  <sheetData>
    <row r="1" spans="1:19" ht="26.25" x14ac:dyDescent="0.4">
      <c r="A1" s="130" t="s">
        <v>86</v>
      </c>
      <c r="B1" s="130"/>
      <c r="C1" s="130"/>
      <c r="D1" s="130"/>
      <c r="E1" s="130"/>
      <c r="F1" s="130"/>
      <c r="G1" s="130"/>
      <c r="H1" s="130"/>
      <c r="I1" s="130"/>
      <c r="J1" s="130"/>
      <c r="K1" s="130"/>
      <c r="L1" s="130"/>
      <c r="M1" s="130"/>
      <c r="N1" s="130"/>
      <c r="O1" s="130"/>
      <c r="P1" s="130"/>
    </row>
    <row r="3" spans="1:19" x14ac:dyDescent="0.25">
      <c r="A3" s="32" t="s">
        <v>48</v>
      </c>
      <c r="B3" s="122" t="s">
        <v>0</v>
      </c>
      <c r="C3" s="123"/>
      <c r="D3" s="123"/>
      <c r="E3" s="124"/>
    </row>
    <row r="4" spans="1:19" x14ac:dyDescent="0.25">
      <c r="A4" s="5" t="s">
        <v>94</v>
      </c>
      <c r="B4" s="31" t="s">
        <v>15</v>
      </c>
      <c r="C4" s="64" t="s">
        <v>16</v>
      </c>
      <c r="D4" s="29" t="s">
        <v>17</v>
      </c>
      <c r="E4" s="29" t="s">
        <v>8</v>
      </c>
      <c r="S4" t="str">
        <f>IF(A4="AURORE MERLIN",Période!C5,"")</f>
        <v/>
      </c>
    </row>
    <row r="5" spans="1:19" x14ac:dyDescent="0.25">
      <c r="A5" s="9" t="s">
        <v>1</v>
      </c>
      <c r="B5" s="15" t="e">
        <f>VLOOKUP($A$4,#REF!,3,FALSE)</f>
        <v>#REF!</v>
      </c>
      <c r="C5" s="65">
        <f>VLOOKUP($A$4,[0]!Chiffres,20,FALSE)</f>
        <v>0</v>
      </c>
      <c r="D5" s="43">
        <f>VLOOKUP($A$4,[0]!Chiffres,37,FALSE)</f>
        <v>0</v>
      </c>
      <c r="E5" s="3" t="e">
        <f>SUM(B5:D5)</f>
        <v>#REF!</v>
      </c>
    </row>
    <row r="6" spans="1:19" x14ac:dyDescent="0.25">
      <c r="A6" s="9" t="s">
        <v>2</v>
      </c>
      <c r="B6" s="15">
        <f>VLOOKUP($A$4,[0]!Chiffres,4,FALSE)</f>
        <v>2</v>
      </c>
      <c r="C6" s="65">
        <f>VLOOKUP($A$4,[0]!Chiffres,21,FALSE)</f>
        <v>0</v>
      </c>
      <c r="D6" s="43">
        <f>VLOOKUP($A$4,[0]!Chiffres,38,FALSE)</f>
        <v>0</v>
      </c>
      <c r="E6" s="3">
        <f>SUM(B6:D6)</f>
        <v>2</v>
      </c>
    </row>
    <row r="7" spans="1:19" x14ac:dyDescent="0.25">
      <c r="A7" s="9" t="s">
        <v>3</v>
      </c>
      <c r="B7" s="15">
        <f>VLOOKUP($A$4,[0]!Chiffres,5,FALSE)</f>
        <v>1</v>
      </c>
      <c r="C7" s="65">
        <f>VLOOKUP($A$4,[0]!Chiffres,22,FALSE)</f>
        <v>0</v>
      </c>
      <c r="D7" s="43">
        <f>VLOOKUP($A$4,[0]!Chiffres,39,FALSE)</f>
        <v>0</v>
      </c>
      <c r="E7" s="3">
        <f>SUM(B7:D7)</f>
        <v>1</v>
      </c>
    </row>
    <row r="8" spans="1:19" x14ac:dyDescent="0.25">
      <c r="A8" s="9" t="s">
        <v>4</v>
      </c>
      <c r="B8" s="15">
        <f>VLOOKUP($A$4,[0]!Chiffres,6,FALSE)</f>
        <v>0</v>
      </c>
      <c r="C8" s="65">
        <f>VLOOKUP($A$4,[0]!Chiffres,23,FALSE)</f>
        <v>0</v>
      </c>
      <c r="D8" s="43">
        <f>VLOOKUP($A$4,[0]!Chiffres,40,FALSE)</f>
        <v>0</v>
      </c>
      <c r="E8" s="3">
        <f>SUM(B8:D8)</f>
        <v>0</v>
      </c>
    </row>
    <row r="9" spans="1:19" x14ac:dyDescent="0.25">
      <c r="A9" s="12" t="s">
        <v>9</v>
      </c>
      <c r="B9" s="13" t="e">
        <f>SUM(B5:B7)+(B8*2)</f>
        <v>#REF!</v>
      </c>
      <c r="C9" s="13">
        <f>SUM(C5:C7)+(C8*2)</f>
        <v>0</v>
      </c>
      <c r="D9" s="13">
        <f>SUM(D5:D7)+(D8*2)</f>
        <v>0</v>
      </c>
      <c r="E9" s="13" t="e">
        <f>SUM(E5:E7)+(E8*2)</f>
        <v>#REF!</v>
      </c>
    </row>
    <row r="10" spans="1:19" x14ac:dyDescent="0.25">
      <c r="A10" s="11" t="s">
        <v>10</v>
      </c>
      <c r="B10" s="20">
        <f>VLOOKUP($A$4,Chiffres,9,FALSE)</f>
        <v>0</v>
      </c>
      <c r="C10" s="20">
        <f>VLOOKUP($A$4,[0]!Chiffres,26,FALSE)</f>
        <v>0</v>
      </c>
      <c r="D10" s="30">
        <f>VLOOKUP($A$4,[0]!Chiffres,43,FALSE)</f>
        <v>0</v>
      </c>
      <c r="E10" s="20">
        <f>SUM(B10:D10)</f>
        <v>0</v>
      </c>
    </row>
    <row r="11" spans="1:19" x14ac:dyDescent="0.25">
      <c r="A11" s="11" t="s">
        <v>27</v>
      </c>
      <c r="B11" s="20">
        <f>VLOOKUP($A$4,[0]!Chiffres,10,FALSE)</f>
        <v>0</v>
      </c>
      <c r="C11" s="20">
        <f>VLOOKUP($A$4,[0]!Chiffres,26,FALSE)</f>
        <v>0</v>
      </c>
      <c r="D11" s="21"/>
      <c r="E11" s="20">
        <f>SUM(B11:D11)</f>
        <v>0</v>
      </c>
    </row>
    <row r="13" spans="1:19" x14ac:dyDescent="0.25">
      <c r="A13" s="4"/>
      <c r="B13" s="122" t="s">
        <v>11</v>
      </c>
      <c r="C13" s="123"/>
      <c r="D13" s="123"/>
      <c r="E13" s="123"/>
      <c r="F13" s="123"/>
      <c r="G13" s="123"/>
      <c r="H13" s="123"/>
      <c r="I13" s="123"/>
      <c r="J13" s="123"/>
      <c r="K13" s="123"/>
      <c r="L13" s="123"/>
      <c r="M13" s="123"/>
      <c r="N13" s="123"/>
      <c r="O13" s="123"/>
      <c r="P13" s="124"/>
    </row>
    <row r="14" spans="1:19" x14ac:dyDescent="0.25">
      <c r="A14" s="4"/>
      <c r="B14" s="131" t="s">
        <v>5</v>
      </c>
      <c r="C14" s="131"/>
      <c r="D14" s="131"/>
      <c r="E14" s="131"/>
      <c r="F14" s="128" t="s">
        <v>6</v>
      </c>
      <c r="G14" s="128"/>
      <c r="H14" s="128"/>
      <c r="I14" s="128"/>
      <c r="J14" s="129" t="s">
        <v>7</v>
      </c>
      <c r="K14" s="129"/>
      <c r="L14" s="129"/>
      <c r="M14" s="129"/>
      <c r="N14" s="129" t="s">
        <v>8</v>
      </c>
      <c r="O14" s="129"/>
      <c r="P14" s="129"/>
    </row>
    <row r="15" spans="1:19" x14ac:dyDescent="0.25">
      <c r="A15" s="4"/>
      <c r="B15" s="131" t="s">
        <v>12</v>
      </c>
      <c r="C15" s="131"/>
      <c r="D15" s="131"/>
      <c r="E15" s="131" t="s">
        <v>25</v>
      </c>
      <c r="F15" s="128" t="s">
        <v>12</v>
      </c>
      <c r="G15" s="128"/>
      <c r="H15" s="128"/>
      <c r="I15" s="128" t="s">
        <v>25</v>
      </c>
      <c r="J15" s="129" t="s">
        <v>12</v>
      </c>
      <c r="K15" s="129"/>
      <c r="L15" s="129"/>
      <c r="M15" s="129" t="s">
        <v>25</v>
      </c>
      <c r="N15" s="129"/>
      <c r="O15" s="129"/>
      <c r="P15" s="129"/>
    </row>
    <row r="16" spans="1:19" x14ac:dyDescent="0.25">
      <c r="A16" s="5"/>
      <c r="B16" s="14" t="s">
        <v>20</v>
      </c>
      <c r="C16" s="14" t="s">
        <v>18</v>
      </c>
      <c r="D16" s="14" t="s">
        <v>19</v>
      </c>
      <c r="E16" s="131"/>
      <c r="F16" s="64" t="s">
        <v>20</v>
      </c>
      <c r="G16" s="64" t="s">
        <v>18</v>
      </c>
      <c r="H16" s="64" t="s">
        <v>19</v>
      </c>
      <c r="I16" s="128"/>
      <c r="J16" s="10" t="s">
        <v>20</v>
      </c>
      <c r="K16" s="10" t="s">
        <v>18</v>
      </c>
      <c r="L16" s="10" t="s">
        <v>19</v>
      </c>
      <c r="M16" s="129"/>
      <c r="N16" s="10" t="s">
        <v>20</v>
      </c>
      <c r="O16" s="10" t="s">
        <v>18</v>
      </c>
      <c r="P16" s="10" t="s">
        <v>19</v>
      </c>
    </row>
    <row r="17" spans="1:16" x14ac:dyDescent="0.25">
      <c r="A17" s="9" t="s">
        <v>13</v>
      </c>
      <c r="B17" s="41">
        <f>VLOOKUP($A$4,[0]!Chiffres,11,FALSE)</f>
        <v>0.25</v>
      </c>
      <c r="C17" s="19">
        <v>0.24479999999999999</v>
      </c>
      <c r="D17" s="19">
        <v>0.25080000000000002</v>
      </c>
      <c r="E17" s="16">
        <v>0.23</v>
      </c>
      <c r="F17" s="66" t="e">
        <f>VLOOKUP($A$4,[0]!Chiffres,28,FALSE)</f>
        <v>#DIV/0!</v>
      </c>
      <c r="G17" s="66">
        <f>Période!AB20</f>
        <v>0.24817518248175183</v>
      </c>
      <c r="H17" s="67">
        <f>Période!AB22</f>
        <v>0.2848027842227378</v>
      </c>
      <c r="I17" s="67">
        <v>0.23</v>
      </c>
      <c r="J17" s="43" t="e">
        <f>VLOOKUP($A$4,[0]!Chiffres,45,FALSE)</f>
        <v>#DIV/0!</v>
      </c>
      <c r="K17" s="45" t="e">
        <f>Période!AS20</f>
        <v>#DIV/0!</v>
      </c>
      <c r="L17" s="6" t="e">
        <f>Période!AS22</f>
        <v>#DIV/0!</v>
      </c>
      <c r="M17" s="6">
        <v>0.23</v>
      </c>
      <c r="N17" s="7"/>
      <c r="O17" s="2"/>
      <c r="P17" s="2"/>
    </row>
    <row r="18" spans="1:16" x14ac:dyDescent="0.25">
      <c r="A18" s="9" t="s">
        <v>26</v>
      </c>
      <c r="B18" s="70">
        <f>VLOOKUP($A$4,[0]!Chiffres,12,FALSE)</f>
        <v>14600</v>
      </c>
      <c r="C18" s="17">
        <v>9337</v>
      </c>
      <c r="D18" s="17">
        <v>10365</v>
      </c>
      <c r="E18" s="17">
        <v>10270</v>
      </c>
      <c r="F18" s="68">
        <f>VLOOKUP($A$4,[0]!Chiffres,29,FALSE)</f>
        <v>0</v>
      </c>
      <c r="G18" s="68">
        <f>Période!AC20</f>
        <v>10357</v>
      </c>
      <c r="H18" s="68">
        <f>Période!AC22</f>
        <v>9611</v>
      </c>
      <c r="I18" s="68">
        <v>8358</v>
      </c>
      <c r="J18" s="71">
        <f>VLOOKUP($A$4,[0]!Chiffres,46,FALSE)</f>
        <v>0</v>
      </c>
      <c r="K18" s="8">
        <f>Période!AT20</f>
        <v>0</v>
      </c>
      <c r="L18" s="8">
        <f>Période!AT22</f>
        <v>0</v>
      </c>
      <c r="M18" s="8">
        <v>11180</v>
      </c>
      <c r="N18" s="8"/>
      <c r="O18" s="18"/>
      <c r="P18" s="18"/>
    </row>
    <row r="19" spans="1:16" x14ac:dyDescent="0.25">
      <c r="A19" s="9" t="s">
        <v>14</v>
      </c>
      <c r="B19" s="42">
        <f>VLOOKUP($A$4,[0]!Chiffres,16,FALSE)</f>
        <v>0</v>
      </c>
      <c r="C19" s="15">
        <v>5.77</v>
      </c>
      <c r="D19" s="15">
        <v>5.79</v>
      </c>
      <c r="E19" s="15">
        <v>5</v>
      </c>
      <c r="F19" s="65">
        <f>VLOOKUP($A$4,[0]!Chiffres,33,FALSE)</f>
        <v>0</v>
      </c>
      <c r="G19" s="69">
        <f>Période!AG20</f>
        <v>5.7</v>
      </c>
      <c r="H19" s="69">
        <f>Période!AG22</f>
        <v>5.89</v>
      </c>
      <c r="I19" s="65">
        <v>5.5</v>
      </c>
      <c r="J19" s="43">
        <f>VLOOKUP($A$4,[0]!Chiffres,50,FALSE)</f>
        <v>0</v>
      </c>
      <c r="K19" s="44">
        <f>Période!AX20</f>
        <v>0</v>
      </c>
      <c r="L19" s="44">
        <f>Période!AX22</f>
        <v>0</v>
      </c>
      <c r="M19" s="3"/>
      <c r="N19" s="3"/>
      <c r="O19" s="2"/>
      <c r="P19" s="2"/>
    </row>
    <row r="21" spans="1:16" x14ac:dyDescent="0.25">
      <c r="A21" s="4"/>
      <c r="B21" s="122" t="s">
        <v>21</v>
      </c>
      <c r="C21" s="123"/>
      <c r="D21" s="123"/>
      <c r="E21" s="123"/>
      <c r="F21" s="123"/>
      <c r="G21" s="123"/>
      <c r="H21" s="123"/>
      <c r="I21" s="123"/>
      <c r="J21" s="124"/>
    </row>
    <row r="22" spans="1:16" x14ac:dyDescent="0.25">
      <c r="A22" s="4"/>
      <c r="B22" s="113" t="s">
        <v>15</v>
      </c>
      <c r="C22" s="114"/>
      <c r="D22" s="115"/>
      <c r="E22" s="116" t="s">
        <v>16</v>
      </c>
      <c r="F22" s="117"/>
      <c r="G22" s="118"/>
      <c r="H22" s="119" t="s">
        <v>17</v>
      </c>
      <c r="I22" s="120"/>
      <c r="J22" s="121"/>
    </row>
    <row r="23" spans="1:16" x14ac:dyDescent="0.25">
      <c r="A23" s="5"/>
      <c r="B23" s="14" t="s">
        <v>22</v>
      </c>
      <c r="C23" s="14" t="s">
        <v>24</v>
      </c>
      <c r="D23" s="14" t="s">
        <v>28</v>
      </c>
      <c r="E23" s="64" t="s">
        <v>22</v>
      </c>
      <c r="F23" s="64" t="s">
        <v>24</v>
      </c>
      <c r="G23" s="64" t="s">
        <v>28</v>
      </c>
      <c r="H23" s="10" t="s">
        <v>22</v>
      </c>
      <c r="I23" s="10" t="s">
        <v>24</v>
      </c>
      <c r="J23" s="10" t="s">
        <v>28</v>
      </c>
    </row>
    <row r="24" spans="1:16" x14ac:dyDescent="0.25">
      <c r="A24" s="9" t="s">
        <v>23</v>
      </c>
      <c r="B24" s="70">
        <f>VLOOKUP($A$4,Tableau2[#All],13,FALSE)</f>
        <v>14600</v>
      </c>
      <c r="C24" s="70">
        <f>VLOOKUP($A$4,Chiffres,14,FALSE)</f>
        <v>0</v>
      </c>
      <c r="D24" s="70">
        <f>VLOOKUP($A$4,Chiffres,15,FALSE)</f>
        <v>0</v>
      </c>
      <c r="E24" s="72">
        <f>VLOOKUP($A$4,Tableau2[#All],30,FALSE)</f>
        <v>0</v>
      </c>
      <c r="F24" s="72">
        <f>VLOOKUP($A$4,Tableau2[#All],31,FALSE)</f>
        <v>0</v>
      </c>
      <c r="G24" s="72">
        <f>VLOOKUP($A$4,Tableau2[#All],32,FALSE)</f>
        <v>0</v>
      </c>
      <c r="H24" s="73">
        <f>VLOOKUP($A$4,Tableau2[#All],47,FALSE)</f>
        <v>0</v>
      </c>
      <c r="I24" s="73">
        <f>VLOOKUP($A$4,Tableau2[#All],48,FALSE)</f>
        <v>0</v>
      </c>
      <c r="J24" s="73">
        <f>VLOOKUP($A$4,Tableau2[#All],49,FALSE)</f>
        <v>0</v>
      </c>
    </row>
    <row r="25" spans="1:16" x14ac:dyDescent="0.25">
      <c r="A25" s="9" t="s">
        <v>30</v>
      </c>
      <c r="B25" s="17">
        <f>Période!M20</f>
        <v>22634</v>
      </c>
      <c r="C25" s="17">
        <f>Période!N20</f>
        <v>454</v>
      </c>
      <c r="D25" s="17">
        <f>Période!O20</f>
        <v>313</v>
      </c>
      <c r="E25" s="68">
        <f>Période!AD20</f>
        <v>22367</v>
      </c>
      <c r="F25" s="68">
        <f>Période!AE20</f>
        <v>430</v>
      </c>
      <c r="G25" s="68">
        <f>Période!AF20</f>
        <v>378</v>
      </c>
      <c r="H25" s="8">
        <f>Période!AU20</f>
        <v>0</v>
      </c>
      <c r="I25" s="8">
        <f>Période!AV20</f>
        <v>0</v>
      </c>
      <c r="J25" s="8">
        <f>Période!AW20</f>
        <v>0</v>
      </c>
    </row>
    <row r="26" spans="1:16" x14ac:dyDescent="0.25">
      <c r="A26" s="9" t="s">
        <v>29</v>
      </c>
      <c r="B26" s="17">
        <f>Période!M22</f>
        <v>22109</v>
      </c>
      <c r="C26" s="17">
        <f>Période!N22</f>
        <v>468</v>
      </c>
      <c r="D26" s="17">
        <f>Période!O22</f>
        <v>341</v>
      </c>
      <c r="E26" s="68">
        <f>Période!AD22</f>
        <v>21276</v>
      </c>
      <c r="F26" s="68">
        <f>Période!AE22</f>
        <v>392</v>
      </c>
      <c r="G26" s="68">
        <f>Période!AF22</f>
        <v>373</v>
      </c>
      <c r="H26" s="8">
        <f>Période!AU22</f>
        <v>0</v>
      </c>
      <c r="I26" s="8">
        <f>Période!AV22</f>
        <v>0</v>
      </c>
      <c r="J26" s="8">
        <f>Période!AW22</f>
        <v>0</v>
      </c>
    </row>
    <row r="28" spans="1:16" ht="15" customHeight="1" x14ac:dyDescent="0.25">
      <c r="A28" s="125" t="s">
        <v>105</v>
      </c>
      <c r="B28" s="126"/>
      <c r="C28" s="126"/>
      <c r="D28" s="126"/>
      <c r="E28" s="126"/>
      <c r="F28" s="126"/>
      <c r="G28" s="126"/>
      <c r="H28" s="126"/>
      <c r="I28" s="126"/>
      <c r="J28" s="126"/>
      <c r="K28" s="126"/>
      <c r="L28" s="126"/>
      <c r="M28" s="126"/>
      <c r="N28" s="126"/>
      <c r="O28" s="126"/>
      <c r="P28" s="127"/>
    </row>
    <row r="29" spans="1:16" x14ac:dyDescent="0.25">
      <c r="A29" s="152" t="s">
        <v>52</v>
      </c>
      <c r="B29" s="134">
        <f>VLOOKUP($A$4,[0]!Chiffres,53,FALSE)</f>
        <v>0</v>
      </c>
      <c r="C29" s="135"/>
      <c r="D29" s="135"/>
      <c r="E29" s="135"/>
      <c r="F29" s="135"/>
      <c r="G29" s="135"/>
      <c r="H29" s="135"/>
      <c r="I29" s="135"/>
      <c r="J29" s="135"/>
      <c r="K29" s="135"/>
      <c r="L29" s="135"/>
      <c r="M29" s="135"/>
      <c r="N29" s="135"/>
      <c r="O29" s="135"/>
      <c r="P29" s="136"/>
    </row>
    <row r="30" spans="1:16" x14ac:dyDescent="0.25">
      <c r="A30" s="132"/>
      <c r="B30" s="137"/>
      <c r="C30" s="138"/>
      <c r="D30" s="138"/>
      <c r="E30" s="138"/>
      <c r="F30" s="138"/>
      <c r="G30" s="138"/>
      <c r="H30" s="138"/>
      <c r="I30" s="138"/>
      <c r="J30" s="138"/>
      <c r="K30" s="138"/>
      <c r="L30" s="138"/>
      <c r="M30" s="138"/>
      <c r="N30" s="138"/>
      <c r="O30" s="138"/>
      <c r="P30" s="139"/>
    </row>
    <row r="31" spans="1:16" x14ac:dyDescent="0.25">
      <c r="A31" s="132"/>
      <c r="B31" s="137"/>
      <c r="C31" s="138"/>
      <c r="D31" s="138"/>
      <c r="E31" s="138"/>
      <c r="F31" s="138"/>
      <c r="G31" s="138"/>
      <c r="H31" s="138"/>
      <c r="I31" s="138"/>
      <c r="J31" s="138"/>
      <c r="K31" s="138"/>
      <c r="L31" s="138"/>
      <c r="M31" s="138"/>
      <c r="N31" s="138"/>
      <c r="O31" s="138"/>
      <c r="P31" s="139"/>
    </row>
    <row r="32" spans="1:16" x14ac:dyDescent="0.25">
      <c r="A32" s="132"/>
      <c r="B32" s="137"/>
      <c r="C32" s="138"/>
      <c r="D32" s="138"/>
      <c r="E32" s="138"/>
      <c r="F32" s="138"/>
      <c r="G32" s="138"/>
      <c r="H32" s="138"/>
      <c r="I32" s="138"/>
      <c r="J32" s="138"/>
      <c r="K32" s="138"/>
      <c r="L32" s="138"/>
      <c r="M32" s="138"/>
      <c r="N32" s="138"/>
      <c r="O32" s="138"/>
      <c r="P32" s="139"/>
    </row>
    <row r="33" spans="1:16" x14ac:dyDescent="0.25">
      <c r="A33" s="132"/>
      <c r="B33" s="137"/>
      <c r="C33" s="138"/>
      <c r="D33" s="138"/>
      <c r="E33" s="138"/>
      <c r="F33" s="138"/>
      <c r="G33" s="138"/>
      <c r="H33" s="138"/>
      <c r="I33" s="138"/>
      <c r="J33" s="138"/>
      <c r="K33" s="138"/>
      <c r="L33" s="138"/>
      <c r="M33" s="138"/>
      <c r="N33" s="138"/>
      <c r="O33" s="138"/>
      <c r="P33" s="139"/>
    </row>
    <row r="34" spans="1:16" x14ac:dyDescent="0.25">
      <c r="A34" s="133"/>
      <c r="B34" s="140"/>
      <c r="C34" s="141"/>
      <c r="D34" s="141"/>
      <c r="E34" s="141"/>
      <c r="F34" s="141"/>
      <c r="G34" s="141"/>
      <c r="H34" s="141"/>
      <c r="I34" s="141"/>
      <c r="J34" s="141"/>
      <c r="K34" s="141"/>
      <c r="L34" s="141"/>
      <c r="M34" s="141"/>
      <c r="N34" s="141"/>
      <c r="O34" s="141"/>
      <c r="P34" s="142"/>
    </row>
    <row r="35" spans="1:16" x14ac:dyDescent="0.25">
      <c r="A35" s="132" t="s">
        <v>54</v>
      </c>
      <c r="B35" s="143">
        <f>VLOOKUP($A$4,Tableau2[#All],54,FALSE)</f>
        <v>0</v>
      </c>
      <c r="C35" s="144"/>
      <c r="D35" s="144"/>
      <c r="E35" s="144"/>
      <c r="F35" s="144"/>
      <c r="G35" s="144"/>
      <c r="H35" s="144"/>
      <c r="I35" s="144"/>
      <c r="J35" s="144"/>
      <c r="K35" s="144"/>
      <c r="L35" s="144"/>
      <c r="M35" s="144"/>
      <c r="N35" s="144"/>
      <c r="O35" s="144"/>
      <c r="P35" s="145"/>
    </row>
    <row r="36" spans="1:16" x14ac:dyDescent="0.25">
      <c r="A36" s="132"/>
      <c r="B36" s="146"/>
      <c r="C36" s="147"/>
      <c r="D36" s="147"/>
      <c r="E36" s="147"/>
      <c r="F36" s="147"/>
      <c r="G36" s="147"/>
      <c r="H36" s="147"/>
      <c r="I36" s="147"/>
      <c r="J36" s="147"/>
      <c r="K36" s="147"/>
      <c r="L36" s="147"/>
      <c r="M36" s="147"/>
      <c r="N36" s="147"/>
      <c r="O36" s="147"/>
      <c r="P36" s="148"/>
    </row>
    <row r="37" spans="1:16" x14ac:dyDescent="0.25">
      <c r="A37" s="132"/>
      <c r="B37" s="146"/>
      <c r="C37" s="147"/>
      <c r="D37" s="147"/>
      <c r="E37" s="147"/>
      <c r="F37" s="147"/>
      <c r="G37" s="147"/>
      <c r="H37" s="147"/>
      <c r="I37" s="147"/>
      <c r="J37" s="147"/>
      <c r="K37" s="147"/>
      <c r="L37" s="147"/>
      <c r="M37" s="147"/>
      <c r="N37" s="147"/>
      <c r="O37" s="147"/>
      <c r="P37" s="148"/>
    </row>
    <row r="38" spans="1:16" x14ac:dyDescent="0.25">
      <c r="A38" s="132"/>
      <c r="B38" s="146"/>
      <c r="C38" s="147"/>
      <c r="D38" s="147"/>
      <c r="E38" s="147"/>
      <c r="F38" s="147"/>
      <c r="G38" s="147"/>
      <c r="H38" s="147"/>
      <c r="I38" s="147"/>
      <c r="J38" s="147"/>
      <c r="K38" s="147"/>
      <c r="L38" s="147"/>
      <c r="M38" s="147"/>
      <c r="N38" s="147"/>
      <c r="O38" s="147"/>
      <c r="P38" s="148"/>
    </row>
    <row r="39" spans="1:16" x14ac:dyDescent="0.25">
      <c r="A39" s="132"/>
      <c r="B39" s="146"/>
      <c r="C39" s="147"/>
      <c r="D39" s="147"/>
      <c r="E39" s="147"/>
      <c r="F39" s="147"/>
      <c r="G39" s="147"/>
      <c r="H39" s="147"/>
      <c r="I39" s="147"/>
      <c r="J39" s="147"/>
      <c r="K39" s="147"/>
      <c r="L39" s="147"/>
      <c r="M39" s="147"/>
      <c r="N39" s="147"/>
      <c r="O39" s="147"/>
      <c r="P39" s="148"/>
    </row>
    <row r="40" spans="1:16" x14ac:dyDescent="0.25">
      <c r="A40" s="133"/>
      <c r="B40" s="149"/>
      <c r="C40" s="150"/>
      <c r="D40" s="150"/>
      <c r="E40" s="150"/>
      <c r="F40" s="150"/>
      <c r="G40" s="150"/>
      <c r="H40" s="150"/>
      <c r="I40" s="150"/>
      <c r="J40" s="150"/>
      <c r="K40" s="150"/>
      <c r="L40" s="150"/>
      <c r="M40" s="150"/>
      <c r="N40" s="150"/>
      <c r="O40" s="150"/>
      <c r="P40" s="151"/>
    </row>
    <row r="41" spans="1:16" x14ac:dyDescent="0.25">
      <c r="A41" s="132" t="s">
        <v>55</v>
      </c>
      <c r="B41" s="143">
        <f>VLOOKUP($A$4,Tableau2[#All],55,FALSE)</f>
        <v>0</v>
      </c>
      <c r="C41" s="144"/>
      <c r="D41" s="144"/>
      <c r="E41" s="144"/>
      <c r="F41" s="144"/>
      <c r="G41" s="144"/>
      <c r="H41" s="144"/>
      <c r="I41" s="144"/>
      <c r="J41" s="144"/>
      <c r="K41" s="144"/>
      <c r="L41" s="144"/>
      <c r="M41" s="144"/>
      <c r="N41" s="144"/>
      <c r="O41" s="144"/>
      <c r="P41" s="145"/>
    </row>
    <row r="42" spans="1:16" x14ac:dyDescent="0.25">
      <c r="A42" s="132"/>
      <c r="B42" s="146"/>
      <c r="C42" s="147"/>
      <c r="D42" s="147"/>
      <c r="E42" s="147"/>
      <c r="F42" s="147"/>
      <c r="G42" s="147"/>
      <c r="H42" s="147"/>
      <c r="I42" s="147"/>
      <c r="J42" s="147"/>
      <c r="K42" s="147"/>
      <c r="L42" s="147"/>
      <c r="M42" s="147"/>
      <c r="N42" s="147"/>
      <c r="O42" s="147"/>
      <c r="P42" s="148"/>
    </row>
    <row r="43" spans="1:16" x14ac:dyDescent="0.25">
      <c r="A43" s="132"/>
      <c r="B43" s="146"/>
      <c r="C43" s="147"/>
      <c r="D43" s="147"/>
      <c r="E43" s="147"/>
      <c r="F43" s="147"/>
      <c r="G43" s="147"/>
      <c r="H43" s="147"/>
      <c r="I43" s="147"/>
      <c r="J43" s="147"/>
      <c r="K43" s="147"/>
      <c r="L43" s="147"/>
      <c r="M43" s="147"/>
      <c r="N43" s="147"/>
      <c r="O43" s="147"/>
      <c r="P43" s="148"/>
    </row>
    <row r="44" spans="1:16" x14ac:dyDescent="0.25">
      <c r="A44" s="132"/>
      <c r="B44" s="146"/>
      <c r="C44" s="147"/>
      <c r="D44" s="147"/>
      <c r="E44" s="147"/>
      <c r="F44" s="147"/>
      <c r="G44" s="147"/>
      <c r="H44" s="147"/>
      <c r="I44" s="147"/>
      <c r="J44" s="147"/>
      <c r="K44" s="147"/>
      <c r="L44" s="147"/>
      <c r="M44" s="147"/>
      <c r="N44" s="147"/>
      <c r="O44" s="147"/>
      <c r="P44" s="148"/>
    </row>
    <row r="45" spans="1:16" x14ac:dyDescent="0.25">
      <c r="A45" s="132"/>
      <c r="B45" s="146"/>
      <c r="C45" s="147"/>
      <c r="D45" s="147"/>
      <c r="E45" s="147"/>
      <c r="F45" s="147"/>
      <c r="G45" s="147"/>
      <c r="H45" s="147"/>
      <c r="I45" s="147"/>
      <c r="J45" s="147"/>
      <c r="K45" s="147"/>
      <c r="L45" s="147"/>
      <c r="M45" s="147"/>
      <c r="N45" s="147"/>
      <c r="O45" s="147"/>
      <c r="P45" s="148"/>
    </row>
    <row r="46" spans="1:16" x14ac:dyDescent="0.25">
      <c r="A46" s="133"/>
      <c r="B46" s="149"/>
      <c r="C46" s="150"/>
      <c r="D46" s="150"/>
      <c r="E46" s="150"/>
      <c r="F46" s="150"/>
      <c r="G46" s="150"/>
      <c r="H46" s="150"/>
      <c r="I46" s="150"/>
      <c r="J46" s="150"/>
      <c r="K46" s="150"/>
      <c r="L46" s="150"/>
      <c r="M46" s="150"/>
      <c r="N46" s="150"/>
      <c r="O46" s="150"/>
      <c r="P46" s="151"/>
    </row>
  </sheetData>
  <mergeCells count="24">
    <mergeCell ref="A35:A40"/>
    <mergeCell ref="A41:A46"/>
    <mergeCell ref="B29:P34"/>
    <mergeCell ref="B35:P40"/>
    <mergeCell ref="B41:P46"/>
    <mergeCell ref="A29:A34"/>
    <mergeCell ref="I15:I16"/>
    <mergeCell ref="J15:L15"/>
    <mergeCell ref="M15:M16"/>
    <mergeCell ref="A1:P1"/>
    <mergeCell ref="B3:E3"/>
    <mergeCell ref="B13:P13"/>
    <mergeCell ref="B14:E14"/>
    <mergeCell ref="F14:I14"/>
    <mergeCell ref="J14:M14"/>
    <mergeCell ref="N14:P15"/>
    <mergeCell ref="B15:D15"/>
    <mergeCell ref="E15:E16"/>
    <mergeCell ref="F15:H15"/>
    <mergeCell ref="B22:D22"/>
    <mergeCell ref="E22:G22"/>
    <mergeCell ref="H22:J22"/>
    <mergeCell ref="B21:J21"/>
    <mergeCell ref="A28:P28"/>
  </mergeCells>
  <printOptions horizontalCentered="1" verticalCentered="1"/>
  <pageMargins left="0.23622047244094491" right="0.23622047244094491" top="0" bottom="0" header="0.31496062992125984" footer="0.31496062992125984"/>
  <pageSetup paperSize="9" scale="7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Echange_Cliquer">
                <anchor moveWithCells="1" sizeWithCells="1">
                  <from>
                    <xdr:col>12</xdr:col>
                    <xdr:colOff>123825</xdr:colOff>
                    <xdr:row>23</xdr:row>
                    <xdr:rowOff>85725</xdr:rowOff>
                  </from>
                  <to>
                    <xdr:col>16</xdr:col>
                    <xdr:colOff>0</xdr:colOff>
                    <xdr:row>26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Période!$A$5:$A$18</xm:f>
          </x14:formula1>
          <xm:sqref>A4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BC23"/>
  <sheetViews>
    <sheetView zoomScale="80" zoomScaleNormal="80" workbookViewId="0">
      <pane xSplit="1" topLeftCell="B1" activePane="topRight" state="frozen"/>
      <selection activeCell="B11" sqref="B11"/>
      <selection pane="topRight" activeCell="B11" sqref="B11"/>
    </sheetView>
  </sheetViews>
  <sheetFormatPr baseColWidth="10" defaultRowHeight="15" outlineLevelCol="1" x14ac:dyDescent="0.25"/>
  <cols>
    <col min="1" max="2" width="22.85546875" style="22" customWidth="1"/>
    <col min="3" max="3" width="14.7109375" style="1" customWidth="1" outlineLevel="1"/>
    <col min="4" max="4" width="14.5703125" style="1" customWidth="1" outlineLevel="1"/>
    <col min="5" max="6" width="11.5703125" style="1" customWidth="1" outlineLevel="1"/>
    <col min="7" max="7" width="7.7109375" style="1" customWidth="1" outlineLevel="1"/>
    <col min="8" max="8" width="7.42578125" style="1" customWidth="1" outlineLevel="1"/>
    <col min="9" max="9" width="13.28515625" style="1" customWidth="1" outlineLevel="1"/>
    <col min="10" max="10" width="16.7109375" style="1" customWidth="1" outlineLevel="1"/>
    <col min="11" max="11" width="11.85546875" style="1" customWidth="1" outlineLevel="1"/>
    <col min="12" max="12" width="15.5703125" style="1" customWidth="1" outlineLevel="1"/>
    <col min="13" max="15" width="11.5703125" style="1" customWidth="1" outlineLevel="1"/>
    <col min="16" max="16" width="6.5703125" style="1" customWidth="1" outlineLevel="1"/>
    <col min="17" max="17" width="18.140625" style="1" customWidth="1" outlineLevel="1"/>
    <col min="18" max="18" width="9" style="1" customWidth="1" outlineLevel="1"/>
    <col min="19" max="19" width="14.85546875" customWidth="1"/>
    <col min="20" max="20" width="15.42578125" hidden="1" customWidth="1" outlineLevel="1"/>
    <col min="21" max="21" width="15.140625" hidden="1" customWidth="1" outlineLevel="1"/>
    <col min="22" max="23" width="15.28515625" hidden="1" customWidth="1" outlineLevel="1"/>
    <col min="24" max="24" width="10.7109375" hidden="1" customWidth="1" outlineLevel="1"/>
    <col min="25" max="25" width="11.42578125" hidden="1" customWidth="1" outlineLevel="1"/>
    <col min="26" max="26" width="14.85546875" hidden="1" customWidth="1" outlineLevel="1"/>
    <col min="27" max="35" width="11.42578125" hidden="1" customWidth="1" outlineLevel="1"/>
    <col min="36" max="36" width="17.5703125" customWidth="1" collapsed="1"/>
    <col min="37" max="51" width="11.42578125" customWidth="1" outlineLevel="1"/>
    <col min="52" max="52" width="7" customWidth="1" outlineLevel="1"/>
    <col min="53" max="55" width="0" hidden="1" customWidth="1"/>
  </cols>
  <sheetData>
    <row r="1" spans="1:55" ht="18.75" x14ac:dyDescent="0.25">
      <c r="A1" s="22">
        <v>1</v>
      </c>
      <c r="B1" s="22">
        <v>2</v>
      </c>
      <c r="C1" s="40">
        <v>3</v>
      </c>
      <c r="D1" s="40">
        <v>4</v>
      </c>
      <c r="E1" s="1">
        <v>5</v>
      </c>
      <c r="F1" s="1">
        <v>6</v>
      </c>
      <c r="G1" s="1">
        <v>7</v>
      </c>
      <c r="H1" s="1">
        <v>8</v>
      </c>
      <c r="I1" s="1">
        <v>9</v>
      </c>
      <c r="J1" s="1">
        <v>10</v>
      </c>
      <c r="K1" s="1">
        <v>11</v>
      </c>
      <c r="L1" s="1">
        <v>12</v>
      </c>
      <c r="M1" s="1">
        <v>13</v>
      </c>
      <c r="N1" s="1">
        <v>14</v>
      </c>
      <c r="O1" s="1">
        <v>15</v>
      </c>
      <c r="P1" s="1">
        <v>16</v>
      </c>
      <c r="Q1" s="1">
        <v>17</v>
      </c>
      <c r="R1" s="1">
        <v>18</v>
      </c>
      <c r="S1" s="1">
        <v>19</v>
      </c>
      <c r="T1" s="1">
        <v>20</v>
      </c>
      <c r="U1" s="1">
        <v>21</v>
      </c>
      <c r="V1" s="1">
        <v>22</v>
      </c>
      <c r="W1" s="1">
        <v>23</v>
      </c>
      <c r="X1" s="1">
        <v>24</v>
      </c>
      <c r="Y1" s="1">
        <v>25</v>
      </c>
      <c r="Z1" s="1">
        <v>26</v>
      </c>
      <c r="AA1" s="1">
        <v>27</v>
      </c>
      <c r="AB1" s="1">
        <v>28</v>
      </c>
      <c r="AC1" s="1">
        <v>29</v>
      </c>
      <c r="AD1" s="1">
        <v>30</v>
      </c>
      <c r="AE1" s="1">
        <v>31</v>
      </c>
      <c r="AF1" s="1">
        <v>32</v>
      </c>
      <c r="AG1" s="1">
        <v>33</v>
      </c>
      <c r="AH1" s="1">
        <v>34</v>
      </c>
      <c r="AI1" s="1">
        <v>35</v>
      </c>
      <c r="AJ1" s="1">
        <v>36</v>
      </c>
      <c r="AK1" s="1">
        <v>37</v>
      </c>
      <c r="AL1" s="1">
        <v>38</v>
      </c>
      <c r="AM1" s="1">
        <v>39</v>
      </c>
      <c r="AN1" s="1">
        <v>40</v>
      </c>
      <c r="AO1" s="1">
        <v>41</v>
      </c>
      <c r="AP1" s="1">
        <v>42</v>
      </c>
      <c r="AQ1" s="1">
        <v>43</v>
      </c>
      <c r="AR1" s="1">
        <v>44</v>
      </c>
      <c r="AS1" s="1">
        <v>45</v>
      </c>
      <c r="AT1" s="1">
        <v>46</v>
      </c>
      <c r="AU1" s="1">
        <v>47</v>
      </c>
      <c r="AV1" s="1">
        <v>48</v>
      </c>
      <c r="AW1" s="1">
        <v>49</v>
      </c>
      <c r="AX1" s="1">
        <v>50</v>
      </c>
      <c r="AY1" s="1">
        <v>51</v>
      </c>
      <c r="AZ1" s="1">
        <v>52</v>
      </c>
      <c r="BA1" s="1">
        <v>53</v>
      </c>
      <c r="BB1" s="1">
        <v>54</v>
      </c>
      <c r="BC1" s="1">
        <v>55</v>
      </c>
    </row>
    <row r="2" spans="1:55" s="23" customFormat="1" ht="59.25" customHeight="1" x14ac:dyDescent="0.25">
      <c r="A2" s="26" t="s">
        <v>33</v>
      </c>
      <c r="B2" s="38" t="s">
        <v>52</v>
      </c>
      <c r="C2" s="26" t="s">
        <v>1</v>
      </c>
      <c r="D2" s="26" t="s">
        <v>2</v>
      </c>
      <c r="E2" s="26" t="s">
        <v>34</v>
      </c>
      <c r="F2" s="26" t="s">
        <v>35</v>
      </c>
      <c r="G2" s="26" t="s">
        <v>36</v>
      </c>
      <c r="H2" s="26" t="s">
        <v>43</v>
      </c>
      <c r="I2" s="26" t="s">
        <v>0</v>
      </c>
      <c r="J2" s="26" t="s">
        <v>44</v>
      </c>
      <c r="K2" s="26" t="s">
        <v>45</v>
      </c>
      <c r="L2" s="26" t="s">
        <v>37</v>
      </c>
      <c r="M2" s="26" t="s">
        <v>49</v>
      </c>
      <c r="N2" s="26" t="s">
        <v>50</v>
      </c>
      <c r="O2" s="26" t="s">
        <v>51</v>
      </c>
      <c r="P2" s="26" t="s">
        <v>46</v>
      </c>
      <c r="Q2" s="26" t="s">
        <v>39</v>
      </c>
      <c r="R2" s="26" t="s">
        <v>47</v>
      </c>
      <c r="S2" s="39" t="s">
        <v>54</v>
      </c>
      <c r="T2" s="26" t="s">
        <v>56</v>
      </c>
      <c r="U2" s="26" t="s">
        <v>57</v>
      </c>
      <c r="V2" s="26" t="s">
        <v>53</v>
      </c>
      <c r="W2" s="26" t="s">
        <v>58</v>
      </c>
      <c r="X2" s="26" t="s">
        <v>59</v>
      </c>
      <c r="Y2" s="26" t="s">
        <v>60</v>
      </c>
      <c r="Z2" s="26" t="s">
        <v>61</v>
      </c>
      <c r="AA2" s="26" t="s">
        <v>62</v>
      </c>
      <c r="AB2" s="26" t="s">
        <v>63</v>
      </c>
      <c r="AC2" s="26" t="s">
        <v>64</v>
      </c>
      <c r="AD2" s="26" t="s">
        <v>65</v>
      </c>
      <c r="AE2" s="26" t="s">
        <v>66</v>
      </c>
      <c r="AF2" s="26" t="s">
        <v>67</v>
      </c>
      <c r="AG2" s="26" t="s">
        <v>68</v>
      </c>
      <c r="AH2" s="26" t="s">
        <v>69</v>
      </c>
      <c r="AI2" s="26" t="s">
        <v>87</v>
      </c>
      <c r="AJ2" s="39" t="s">
        <v>55</v>
      </c>
      <c r="AK2" s="26" t="s">
        <v>70</v>
      </c>
      <c r="AL2" s="26" t="s">
        <v>71</v>
      </c>
      <c r="AM2" s="26" t="s">
        <v>72</v>
      </c>
      <c r="AN2" s="26" t="s">
        <v>73</v>
      </c>
      <c r="AO2" s="26" t="s">
        <v>74</v>
      </c>
      <c r="AP2" s="26" t="s">
        <v>75</v>
      </c>
      <c r="AQ2" s="26" t="s">
        <v>76</v>
      </c>
      <c r="AR2" s="26" t="s">
        <v>77</v>
      </c>
      <c r="AS2" s="26" t="s">
        <v>78</v>
      </c>
      <c r="AT2" s="26" t="s">
        <v>79</v>
      </c>
      <c r="AU2" s="26" t="s">
        <v>80</v>
      </c>
      <c r="AV2" s="26" t="s">
        <v>81</v>
      </c>
      <c r="AW2" s="26" t="s">
        <v>82</v>
      </c>
      <c r="AX2" s="26" t="s">
        <v>83</v>
      </c>
      <c r="AY2" s="26" t="s">
        <v>84</v>
      </c>
      <c r="AZ2" s="26" t="s">
        <v>85</v>
      </c>
      <c r="BA2" s="26" t="s">
        <v>89</v>
      </c>
      <c r="BB2" s="26" t="s">
        <v>90</v>
      </c>
      <c r="BC2" s="26" t="s">
        <v>91</v>
      </c>
    </row>
    <row r="3" spans="1:55" s="23" customFormat="1" ht="18.75" x14ac:dyDescent="0.25">
      <c r="A3" s="46"/>
      <c r="B3" s="46"/>
      <c r="C3" s="46"/>
      <c r="D3" s="46"/>
      <c r="E3" s="46"/>
      <c r="F3" s="46"/>
      <c r="G3" s="46"/>
      <c r="H3" s="46"/>
      <c r="I3" s="46"/>
      <c r="J3" s="46"/>
      <c r="K3" s="46"/>
      <c r="L3" s="46" t="s">
        <v>42</v>
      </c>
      <c r="M3" s="46" t="s">
        <v>41</v>
      </c>
      <c r="N3" s="46" t="s">
        <v>24</v>
      </c>
      <c r="O3" s="46" t="s">
        <v>28</v>
      </c>
      <c r="P3" s="46"/>
      <c r="Q3" s="46"/>
      <c r="R3" s="46"/>
      <c r="S3" s="47"/>
      <c r="T3" s="47"/>
      <c r="U3" s="47"/>
      <c r="V3" s="47"/>
      <c r="W3" s="47"/>
      <c r="X3" s="47"/>
      <c r="Y3" s="47"/>
      <c r="Z3" s="47"/>
      <c r="AA3" s="47"/>
      <c r="AB3" s="47"/>
      <c r="AC3" s="47" t="s">
        <v>42</v>
      </c>
      <c r="AD3" s="47" t="s">
        <v>41</v>
      </c>
      <c r="AE3" s="47" t="s">
        <v>24</v>
      </c>
      <c r="AF3" s="47" t="s">
        <v>28</v>
      </c>
      <c r="AG3" s="47"/>
      <c r="AH3" s="47"/>
      <c r="AI3" s="47"/>
      <c r="AJ3" s="1"/>
      <c r="AK3" s="1"/>
      <c r="AL3" s="1"/>
      <c r="AM3" s="1"/>
      <c r="AN3" s="1"/>
      <c r="AO3" s="1"/>
      <c r="AP3" s="1"/>
      <c r="AQ3" s="1"/>
      <c r="AR3" s="1"/>
      <c r="AS3" s="1"/>
      <c r="AT3" s="1" t="s">
        <v>42</v>
      </c>
      <c r="AU3" s="1" t="s">
        <v>41</v>
      </c>
      <c r="AV3" s="1" t="s">
        <v>24</v>
      </c>
      <c r="AW3" s="1" t="s">
        <v>28</v>
      </c>
      <c r="AX3" s="1"/>
      <c r="AY3" s="1"/>
      <c r="AZ3" s="1"/>
      <c r="BA3" s="1"/>
      <c r="BB3" s="1"/>
      <c r="BC3" s="1"/>
    </row>
    <row r="4" spans="1:55" s="23" customFormat="1" ht="18.75" x14ac:dyDescent="0.25">
      <c r="A4" s="46"/>
      <c r="B4" s="46"/>
      <c r="C4" s="46"/>
      <c r="D4" s="46"/>
      <c r="E4" s="46"/>
      <c r="F4" s="46"/>
      <c r="G4" s="46"/>
      <c r="H4" s="46"/>
      <c r="I4" s="46"/>
      <c r="J4" s="46"/>
      <c r="K4" s="46"/>
      <c r="L4" s="46"/>
      <c r="M4" s="46"/>
      <c r="N4" s="46"/>
      <c r="O4" s="46"/>
      <c r="P4" s="46"/>
      <c r="Q4" s="46"/>
      <c r="R4" s="46"/>
      <c r="S4" s="47"/>
      <c r="T4" s="47"/>
      <c r="U4" s="47"/>
      <c r="V4" s="47"/>
      <c r="W4" s="47"/>
      <c r="X4" s="47"/>
      <c r="Y4" s="47"/>
      <c r="Z4" s="47"/>
      <c r="AA4" s="47"/>
      <c r="AB4" s="47"/>
      <c r="AC4" s="47"/>
      <c r="AD4" s="47"/>
      <c r="AE4" s="47"/>
      <c r="AF4" s="47"/>
      <c r="AG4" s="47"/>
      <c r="AH4" s="47"/>
      <c r="AI4" s="47"/>
      <c r="AJ4" s="1"/>
      <c r="AK4" s="1"/>
      <c r="AL4" s="1"/>
      <c r="AM4" s="1"/>
      <c r="AN4" s="1"/>
      <c r="AO4" s="1"/>
      <c r="AP4" s="1"/>
      <c r="AQ4" s="1"/>
      <c r="AR4" s="1"/>
      <c r="AS4" s="1"/>
      <c r="AT4" s="1"/>
      <c r="AU4" s="1"/>
      <c r="AV4" s="1"/>
      <c r="AW4" s="1"/>
      <c r="AX4" s="1"/>
      <c r="AY4" s="1"/>
      <c r="AZ4" s="1"/>
      <c r="BA4" s="1"/>
      <c r="BB4" s="1"/>
      <c r="BC4" s="1"/>
    </row>
    <row r="5" spans="1:55" ht="18.75" x14ac:dyDescent="0.3">
      <c r="A5" s="61" t="s">
        <v>92</v>
      </c>
      <c r="B5" s="48"/>
      <c r="C5" s="47">
        <v>37</v>
      </c>
      <c r="D5" s="47">
        <v>97</v>
      </c>
      <c r="E5" s="47">
        <v>22</v>
      </c>
      <c r="F5" s="47">
        <v>9</v>
      </c>
      <c r="G5" s="47">
        <f>(C5+D5+E5)+(F5*2)</f>
        <v>174</v>
      </c>
      <c r="H5" s="47">
        <v>0.8</v>
      </c>
      <c r="I5" s="49">
        <v>441.18</v>
      </c>
      <c r="J5" s="49">
        <v>500</v>
      </c>
      <c r="K5" s="50">
        <f>C5/G5</f>
        <v>0.21264367816091953</v>
      </c>
      <c r="L5" s="51">
        <v>7514</v>
      </c>
      <c r="M5" s="51">
        <v>20891</v>
      </c>
      <c r="N5" s="51">
        <v>298</v>
      </c>
      <c r="O5" s="51">
        <v>279</v>
      </c>
      <c r="P5" s="52">
        <v>6.6</v>
      </c>
      <c r="Q5" s="47"/>
      <c r="R5" s="47"/>
      <c r="S5" s="47"/>
      <c r="T5" s="47">
        <v>29</v>
      </c>
      <c r="U5" s="47">
        <v>69</v>
      </c>
      <c r="V5" s="47">
        <v>16</v>
      </c>
      <c r="W5" s="47">
        <v>9</v>
      </c>
      <c r="X5" s="47">
        <f>(T5+U5+V5)+(W5*2)</f>
        <v>132</v>
      </c>
      <c r="Y5" s="47">
        <v>0.8</v>
      </c>
      <c r="Z5" s="49">
        <v>225.72</v>
      </c>
      <c r="AA5" s="49">
        <v>350</v>
      </c>
      <c r="AB5" s="50">
        <f>T5/X5</f>
        <v>0.2196969696969697</v>
      </c>
      <c r="AC5" s="51">
        <v>7025</v>
      </c>
      <c r="AD5" s="51">
        <v>18054</v>
      </c>
      <c r="AE5" s="51">
        <v>233</v>
      </c>
      <c r="AF5" s="51">
        <v>269</v>
      </c>
      <c r="AG5" s="52">
        <v>6.69</v>
      </c>
      <c r="AH5" s="50">
        <v>0.09</v>
      </c>
      <c r="AI5" s="50">
        <v>0.62749999999999995</v>
      </c>
      <c r="AJ5" s="1"/>
      <c r="AK5" s="1"/>
      <c r="AL5" s="1"/>
      <c r="AM5" s="1"/>
      <c r="AN5" s="1"/>
      <c r="AO5" s="1">
        <f>(AK5+AL5+AM5)+(AN5*2)</f>
        <v>0</v>
      </c>
      <c r="AP5" s="1">
        <v>0.8</v>
      </c>
      <c r="AQ5" s="24"/>
      <c r="AR5" s="24"/>
      <c r="AS5" s="25" t="e">
        <f>AK5/AO5</f>
        <v>#DIV/0!</v>
      </c>
      <c r="AT5" s="27"/>
      <c r="AU5" s="27"/>
      <c r="AV5" s="27"/>
      <c r="AW5" s="27"/>
      <c r="AX5" s="28"/>
      <c r="AY5" s="1"/>
      <c r="AZ5" s="1"/>
      <c r="BA5" s="1"/>
      <c r="BB5" s="1"/>
      <c r="BC5" s="1"/>
    </row>
    <row r="6" spans="1:55" ht="37.5" x14ac:dyDescent="0.3">
      <c r="A6" s="61" t="s">
        <v>93</v>
      </c>
      <c r="B6" s="48"/>
      <c r="C6" s="47">
        <v>30</v>
      </c>
      <c r="D6" s="47">
        <v>38</v>
      </c>
      <c r="E6" s="47">
        <v>20</v>
      </c>
      <c r="F6" s="47">
        <v>5</v>
      </c>
      <c r="G6" s="47">
        <f t="shared" ref="G6:G18" si="0">(C6+D6+E6)+(F6*2)</f>
        <v>98</v>
      </c>
      <c r="H6" s="47">
        <v>1</v>
      </c>
      <c r="I6" s="49">
        <v>0</v>
      </c>
      <c r="J6" s="49">
        <v>100</v>
      </c>
      <c r="K6" s="50">
        <f t="shared" ref="K6:K22" si="1">C6/G6</f>
        <v>0.30612244897959184</v>
      </c>
      <c r="L6" s="51">
        <v>13254</v>
      </c>
      <c r="M6" s="51">
        <v>19246</v>
      </c>
      <c r="N6" s="51">
        <v>288</v>
      </c>
      <c r="O6" s="51">
        <v>66</v>
      </c>
      <c r="P6" s="52">
        <v>5.84</v>
      </c>
      <c r="Q6" s="47"/>
      <c r="R6" s="47"/>
      <c r="S6" s="47"/>
      <c r="T6" s="47">
        <v>28</v>
      </c>
      <c r="U6" s="47">
        <v>33</v>
      </c>
      <c r="V6" s="47">
        <v>21</v>
      </c>
      <c r="W6" s="47">
        <v>2</v>
      </c>
      <c r="X6" s="47">
        <f t="shared" ref="X6:X18" si="2">(T6+U6+V6)+(W6*2)</f>
        <v>86</v>
      </c>
      <c r="Y6" s="47">
        <v>1</v>
      </c>
      <c r="Z6" s="49">
        <v>0</v>
      </c>
      <c r="AA6" s="49">
        <v>0</v>
      </c>
      <c r="AB6" s="50">
        <f t="shared" ref="AB6:AB18" si="3">T6/X6</f>
        <v>0.32558139534883723</v>
      </c>
      <c r="AC6" s="51">
        <v>17558</v>
      </c>
      <c r="AD6" s="51">
        <v>22916</v>
      </c>
      <c r="AE6" s="51">
        <v>608</v>
      </c>
      <c r="AF6" s="51">
        <v>500</v>
      </c>
      <c r="AG6" s="52">
        <v>5.72</v>
      </c>
      <c r="AH6" s="50">
        <v>0.1857</v>
      </c>
      <c r="AI6" s="50">
        <v>0.72160000000000002</v>
      </c>
      <c r="AJ6" s="1"/>
      <c r="AK6" s="1"/>
      <c r="AL6" s="1"/>
      <c r="AM6" s="1"/>
      <c r="AN6" s="1"/>
      <c r="AO6" s="1">
        <f t="shared" ref="AO6:AO18" si="4">(AK6+AL6+AM6)+(AN6*2)</f>
        <v>0</v>
      </c>
      <c r="AP6" s="1">
        <v>1</v>
      </c>
      <c r="AQ6" s="24"/>
      <c r="AR6" s="24"/>
      <c r="AS6" s="25" t="e">
        <f t="shared" ref="AS6:AS18" si="5">AK6/AO6</f>
        <v>#DIV/0!</v>
      </c>
      <c r="AT6" s="27"/>
      <c r="AU6" s="27"/>
      <c r="AV6" s="27"/>
      <c r="AW6" s="27"/>
      <c r="AX6" s="28"/>
      <c r="AY6" s="1"/>
      <c r="AZ6" s="1"/>
      <c r="BA6" s="1"/>
      <c r="BB6" s="1"/>
      <c r="BC6" s="1"/>
    </row>
    <row r="7" spans="1:55" ht="18.75" x14ac:dyDescent="0.3">
      <c r="A7" s="61" t="s">
        <v>94</v>
      </c>
      <c r="B7" s="48"/>
      <c r="C7" s="47">
        <v>1</v>
      </c>
      <c r="D7" s="47">
        <v>2</v>
      </c>
      <c r="E7" s="47">
        <v>1</v>
      </c>
      <c r="F7" s="47">
        <v>0</v>
      </c>
      <c r="G7" s="47">
        <f t="shared" si="0"/>
        <v>4</v>
      </c>
      <c r="H7" s="47">
        <v>0.8</v>
      </c>
      <c r="I7" s="49">
        <v>0</v>
      </c>
      <c r="J7" s="49">
        <v>0</v>
      </c>
      <c r="K7" s="50">
        <f t="shared" si="1"/>
        <v>0.25</v>
      </c>
      <c r="L7" s="51">
        <v>14600</v>
      </c>
      <c r="M7" s="51">
        <v>14600</v>
      </c>
      <c r="N7" s="51">
        <v>0</v>
      </c>
      <c r="O7" s="51">
        <v>0</v>
      </c>
      <c r="P7" s="52">
        <v>0</v>
      </c>
      <c r="Q7" s="47"/>
      <c r="R7" s="47"/>
      <c r="S7" s="47"/>
      <c r="T7" s="47">
        <v>0</v>
      </c>
      <c r="U7" s="47">
        <v>0</v>
      </c>
      <c r="V7" s="47">
        <v>0</v>
      </c>
      <c r="W7" s="47">
        <v>0</v>
      </c>
      <c r="X7" s="47">
        <f t="shared" si="2"/>
        <v>0</v>
      </c>
      <c r="Y7" s="47">
        <v>0.8</v>
      </c>
      <c r="Z7" s="49">
        <v>0</v>
      </c>
      <c r="AA7" s="49">
        <v>0</v>
      </c>
      <c r="AB7" s="50" t="e">
        <f t="shared" si="3"/>
        <v>#DIV/0!</v>
      </c>
      <c r="AC7" s="51">
        <v>0</v>
      </c>
      <c r="AD7" s="51">
        <v>0</v>
      </c>
      <c r="AE7" s="51">
        <v>0</v>
      </c>
      <c r="AF7" s="51">
        <v>0</v>
      </c>
      <c r="AG7" s="52"/>
      <c r="AH7" s="50"/>
      <c r="AI7" s="50"/>
      <c r="AJ7" s="1"/>
      <c r="AK7" s="1"/>
      <c r="AL7" s="1"/>
      <c r="AM7" s="1"/>
      <c r="AN7" s="1"/>
      <c r="AO7" s="1">
        <f t="shared" si="4"/>
        <v>0</v>
      </c>
      <c r="AP7" s="1">
        <v>0.8</v>
      </c>
      <c r="AQ7" s="24"/>
      <c r="AR7" s="24"/>
      <c r="AS7" s="25" t="e">
        <f t="shared" si="5"/>
        <v>#DIV/0!</v>
      </c>
      <c r="AT7" s="27"/>
      <c r="AU7" s="27"/>
      <c r="AV7" s="27"/>
      <c r="AW7" s="27"/>
      <c r="AX7" s="28"/>
      <c r="AY7" s="1"/>
      <c r="AZ7" s="1"/>
      <c r="BA7" s="1"/>
      <c r="BB7" s="1"/>
      <c r="BC7" s="1"/>
    </row>
    <row r="8" spans="1:55" ht="18.75" x14ac:dyDescent="0.3">
      <c r="A8" s="61" t="s">
        <v>95</v>
      </c>
      <c r="B8" s="48"/>
      <c r="C8" s="47">
        <v>14</v>
      </c>
      <c r="D8" s="47">
        <v>22</v>
      </c>
      <c r="E8" s="47">
        <v>8</v>
      </c>
      <c r="F8" s="47">
        <v>0</v>
      </c>
      <c r="G8" s="47">
        <f t="shared" si="0"/>
        <v>44</v>
      </c>
      <c r="H8" s="47">
        <v>0.6</v>
      </c>
      <c r="I8" s="49">
        <v>0</v>
      </c>
      <c r="J8" s="49">
        <v>0</v>
      </c>
      <c r="K8" s="50">
        <f t="shared" si="1"/>
        <v>0.31818181818181818</v>
      </c>
      <c r="L8" s="51">
        <v>3048</v>
      </c>
      <c r="M8" s="51">
        <v>32000</v>
      </c>
      <c r="N8" s="51">
        <v>1538</v>
      </c>
      <c r="O8" s="51">
        <v>191</v>
      </c>
      <c r="P8" s="52">
        <v>6.08</v>
      </c>
      <c r="Q8" s="47"/>
      <c r="R8" s="47"/>
      <c r="S8" s="47"/>
      <c r="T8" s="47">
        <v>10</v>
      </c>
      <c r="U8" s="47">
        <v>20</v>
      </c>
      <c r="V8" s="47">
        <v>3</v>
      </c>
      <c r="W8" s="47">
        <v>3</v>
      </c>
      <c r="X8" s="47">
        <f t="shared" si="2"/>
        <v>39</v>
      </c>
      <c r="Y8" s="47">
        <v>0.6</v>
      </c>
      <c r="Z8" s="49">
        <v>30.78</v>
      </c>
      <c r="AA8" s="49">
        <v>200</v>
      </c>
      <c r="AB8" s="50">
        <f t="shared" si="3"/>
        <v>0.25641025641025639</v>
      </c>
      <c r="AC8" s="51">
        <v>13001</v>
      </c>
      <c r="AD8" s="51">
        <v>27275</v>
      </c>
      <c r="AE8" s="51">
        <v>296</v>
      </c>
      <c r="AF8" s="51">
        <v>378</v>
      </c>
      <c r="AG8" s="52">
        <v>5.58</v>
      </c>
      <c r="AH8" s="50">
        <v>0.109</v>
      </c>
      <c r="AI8" s="50">
        <v>0.63639999999999997</v>
      </c>
      <c r="AJ8" s="1"/>
      <c r="AK8" s="1"/>
      <c r="AL8" s="1"/>
      <c r="AM8" s="1"/>
      <c r="AN8" s="1"/>
      <c r="AO8" s="1">
        <f t="shared" si="4"/>
        <v>0</v>
      </c>
      <c r="AP8" s="1">
        <v>0.6</v>
      </c>
      <c r="AQ8" s="24"/>
      <c r="AR8" s="24"/>
      <c r="AS8" s="25" t="e">
        <f t="shared" si="5"/>
        <v>#DIV/0!</v>
      </c>
      <c r="AT8" s="27"/>
      <c r="AU8" s="27"/>
      <c r="AV8" s="27"/>
      <c r="AW8" s="27"/>
      <c r="AX8" s="28"/>
      <c r="AY8" s="1"/>
      <c r="AZ8" s="1"/>
      <c r="BA8" s="1"/>
      <c r="BB8" s="1"/>
      <c r="BC8" s="1"/>
    </row>
    <row r="9" spans="1:55" ht="56.25" x14ac:dyDescent="0.3">
      <c r="A9" s="61" t="s">
        <v>96</v>
      </c>
      <c r="B9" s="48"/>
      <c r="C9" s="47">
        <v>30</v>
      </c>
      <c r="D9" s="47">
        <v>80</v>
      </c>
      <c r="E9" s="47">
        <v>16</v>
      </c>
      <c r="F9" s="47">
        <v>10</v>
      </c>
      <c r="G9" s="47">
        <f t="shared" si="0"/>
        <v>146</v>
      </c>
      <c r="H9" s="47">
        <v>0.8</v>
      </c>
      <c r="I9" s="49">
        <v>179.55</v>
      </c>
      <c r="J9" s="49">
        <v>200</v>
      </c>
      <c r="K9" s="50">
        <f t="shared" si="1"/>
        <v>0.20547945205479451</v>
      </c>
      <c r="L9" s="51">
        <v>7103</v>
      </c>
      <c r="M9" s="51">
        <v>19657</v>
      </c>
      <c r="N9" s="51">
        <v>341</v>
      </c>
      <c r="O9" s="51">
        <v>369</v>
      </c>
      <c r="P9" s="52">
        <v>5.24</v>
      </c>
      <c r="Q9" s="47"/>
      <c r="R9" s="47"/>
      <c r="S9" s="47"/>
      <c r="T9" s="47">
        <v>28</v>
      </c>
      <c r="U9" s="47">
        <v>84</v>
      </c>
      <c r="V9" s="47">
        <v>14</v>
      </c>
      <c r="W9" s="47">
        <v>9</v>
      </c>
      <c r="X9" s="47">
        <f t="shared" si="2"/>
        <v>144</v>
      </c>
      <c r="Y9" s="47">
        <v>0.8</v>
      </c>
      <c r="Z9" s="49">
        <v>287.27999999999997</v>
      </c>
      <c r="AA9" s="49">
        <v>400</v>
      </c>
      <c r="AB9" s="50">
        <f t="shared" si="3"/>
        <v>0.19444444444444445</v>
      </c>
      <c r="AC9" s="51">
        <v>6995</v>
      </c>
      <c r="AD9" s="51">
        <v>22991</v>
      </c>
      <c r="AE9" s="51">
        <v>472</v>
      </c>
      <c r="AF9" s="51">
        <v>516</v>
      </c>
      <c r="AG9" s="52">
        <v>6.11</v>
      </c>
      <c r="AH9" s="50">
        <v>5.1900000000000002E-2</v>
      </c>
      <c r="AI9" s="50">
        <v>0.9143</v>
      </c>
      <c r="AJ9" s="1"/>
      <c r="AK9" s="1"/>
      <c r="AL9" s="1"/>
      <c r="AM9" s="1"/>
      <c r="AN9" s="1"/>
      <c r="AO9" s="1">
        <f t="shared" si="4"/>
        <v>0</v>
      </c>
      <c r="AP9" s="1">
        <v>0.8</v>
      </c>
      <c r="AQ9" s="24"/>
      <c r="AR9" s="24"/>
      <c r="AS9" s="25" t="e">
        <f t="shared" si="5"/>
        <v>#DIV/0!</v>
      </c>
      <c r="AT9" s="27"/>
      <c r="AU9" s="27"/>
      <c r="AV9" s="27"/>
      <c r="AW9" s="27"/>
      <c r="AX9" s="28"/>
      <c r="AY9" s="1"/>
      <c r="AZ9" s="1"/>
      <c r="BA9" s="1"/>
      <c r="BB9" s="1"/>
      <c r="BC9" s="1"/>
    </row>
    <row r="10" spans="1:55" ht="18.75" x14ac:dyDescent="0.3">
      <c r="A10" s="61" t="s">
        <v>97</v>
      </c>
      <c r="B10" s="48"/>
      <c r="C10" s="47">
        <v>4</v>
      </c>
      <c r="D10" s="47">
        <v>13</v>
      </c>
      <c r="E10" s="47">
        <v>2</v>
      </c>
      <c r="F10" s="47">
        <v>1</v>
      </c>
      <c r="G10" s="47">
        <f t="shared" si="0"/>
        <v>21</v>
      </c>
      <c r="H10" s="47">
        <v>1</v>
      </c>
      <c r="I10" s="49" t="s">
        <v>31</v>
      </c>
      <c r="J10" s="49" t="s">
        <v>31</v>
      </c>
      <c r="K10" s="50">
        <f t="shared" si="1"/>
        <v>0.19047619047619047</v>
      </c>
      <c r="L10" s="51">
        <v>10695</v>
      </c>
      <c r="M10" s="51">
        <v>37300</v>
      </c>
      <c r="N10" s="51">
        <v>839</v>
      </c>
      <c r="O10" s="51">
        <v>47</v>
      </c>
      <c r="P10" s="52">
        <v>4</v>
      </c>
      <c r="Q10" s="47"/>
      <c r="R10" s="47"/>
      <c r="S10" s="47"/>
      <c r="T10" s="47">
        <v>17</v>
      </c>
      <c r="U10" s="47">
        <v>27</v>
      </c>
      <c r="V10" s="47">
        <v>9</v>
      </c>
      <c r="W10" s="47">
        <v>6</v>
      </c>
      <c r="X10" s="47">
        <f t="shared" si="2"/>
        <v>65</v>
      </c>
      <c r="Y10" s="47">
        <v>1</v>
      </c>
      <c r="Z10" s="49"/>
      <c r="AA10" s="49">
        <v>0</v>
      </c>
      <c r="AB10" s="50">
        <f t="shared" si="3"/>
        <v>0.26153846153846155</v>
      </c>
      <c r="AC10" s="51">
        <v>8119</v>
      </c>
      <c r="AD10" s="51">
        <v>23733</v>
      </c>
      <c r="AE10" s="51">
        <v>296</v>
      </c>
      <c r="AF10" s="51">
        <v>443</v>
      </c>
      <c r="AG10" s="52">
        <v>4.7699999999999996</v>
      </c>
      <c r="AH10" s="50">
        <v>0.2021</v>
      </c>
      <c r="AI10" s="50">
        <v>0.72219999999999995</v>
      </c>
      <c r="AJ10" s="1"/>
      <c r="AK10" s="1"/>
      <c r="AL10" s="1"/>
      <c r="AM10" s="1"/>
      <c r="AN10" s="1"/>
      <c r="AO10" s="1">
        <f t="shared" si="4"/>
        <v>0</v>
      </c>
      <c r="AP10" s="1">
        <v>1</v>
      </c>
      <c r="AQ10" s="24"/>
      <c r="AR10" s="24"/>
      <c r="AS10" s="25" t="e">
        <f t="shared" si="5"/>
        <v>#DIV/0!</v>
      </c>
      <c r="AT10" s="27"/>
      <c r="AU10" s="27"/>
      <c r="AV10" s="27"/>
      <c r="AW10" s="27"/>
      <c r="AX10" s="28"/>
      <c r="AY10" s="1"/>
      <c r="AZ10" s="1"/>
      <c r="BA10" s="1"/>
      <c r="BB10" s="1"/>
      <c r="BC10" s="1"/>
    </row>
    <row r="11" spans="1:55" ht="37.5" x14ac:dyDescent="0.3">
      <c r="A11" s="61" t="s">
        <v>98</v>
      </c>
      <c r="B11" s="48"/>
      <c r="C11" s="47">
        <v>20</v>
      </c>
      <c r="D11" s="47">
        <v>37</v>
      </c>
      <c r="E11" s="47">
        <v>12</v>
      </c>
      <c r="F11" s="47">
        <v>4</v>
      </c>
      <c r="G11" s="47">
        <f t="shared" si="0"/>
        <v>77</v>
      </c>
      <c r="H11" s="47">
        <v>1</v>
      </c>
      <c r="I11" s="49">
        <v>0</v>
      </c>
      <c r="J11" s="49">
        <v>0</v>
      </c>
      <c r="K11" s="50">
        <f t="shared" si="1"/>
        <v>0.25974025974025972</v>
      </c>
      <c r="L11" s="51">
        <v>11218</v>
      </c>
      <c r="M11" s="51">
        <v>20395</v>
      </c>
      <c r="N11" s="51">
        <v>445</v>
      </c>
      <c r="O11" s="51">
        <v>237</v>
      </c>
      <c r="P11" s="52">
        <v>3.66</v>
      </c>
      <c r="Q11" s="47"/>
      <c r="R11" s="47"/>
      <c r="S11" s="47"/>
      <c r="T11" s="47">
        <v>19</v>
      </c>
      <c r="U11" s="47">
        <v>38</v>
      </c>
      <c r="V11" s="47">
        <v>10</v>
      </c>
      <c r="W11" s="47">
        <v>5</v>
      </c>
      <c r="X11" s="47">
        <f t="shared" si="2"/>
        <v>77</v>
      </c>
      <c r="Y11" s="47">
        <v>1</v>
      </c>
      <c r="Z11" s="49">
        <v>0</v>
      </c>
      <c r="AA11" s="49">
        <v>0</v>
      </c>
      <c r="AB11" s="50">
        <f t="shared" si="3"/>
        <v>0.24675324675324675</v>
      </c>
      <c r="AC11" s="51">
        <v>10041</v>
      </c>
      <c r="AD11" s="51">
        <v>21640</v>
      </c>
      <c r="AE11" s="51">
        <v>222</v>
      </c>
      <c r="AF11" s="51">
        <v>907</v>
      </c>
      <c r="AG11" s="52">
        <v>2.09</v>
      </c>
      <c r="AH11" s="50">
        <v>3.6600000000000001E-2</v>
      </c>
      <c r="AI11" s="50">
        <v>0.44440000000000002</v>
      </c>
      <c r="AJ11" s="1"/>
      <c r="AK11" s="1"/>
      <c r="AL11" s="1"/>
      <c r="AM11" s="1"/>
      <c r="AN11" s="1"/>
      <c r="AO11" s="1">
        <f t="shared" si="4"/>
        <v>0</v>
      </c>
      <c r="AP11" s="1">
        <v>1</v>
      </c>
      <c r="AQ11" s="24"/>
      <c r="AR11" s="24"/>
      <c r="AS11" s="25" t="e">
        <f t="shared" si="5"/>
        <v>#DIV/0!</v>
      </c>
      <c r="AT11" s="27"/>
      <c r="AU11" s="27"/>
      <c r="AV11" s="27"/>
      <c r="AW11" s="27"/>
      <c r="AX11" s="28"/>
      <c r="AY11" s="1"/>
      <c r="AZ11" s="1"/>
      <c r="BA11" s="1"/>
      <c r="BB11" s="1"/>
      <c r="BC11" s="1"/>
    </row>
    <row r="12" spans="1:55" ht="18.75" x14ac:dyDescent="0.3">
      <c r="A12" s="61" t="s">
        <v>99</v>
      </c>
      <c r="B12" s="48"/>
      <c r="C12" s="47">
        <v>20</v>
      </c>
      <c r="D12" s="47">
        <v>33</v>
      </c>
      <c r="E12" s="47">
        <v>9</v>
      </c>
      <c r="F12" s="47">
        <v>7</v>
      </c>
      <c r="G12" s="47">
        <f t="shared" si="0"/>
        <v>76</v>
      </c>
      <c r="H12" s="47">
        <v>0.8</v>
      </c>
      <c r="I12" s="49">
        <v>0</v>
      </c>
      <c r="J12" s="49">
        <v>100</v>
      </c>
      <c r="K12" s="50">
        <f t="shared" si="1"/>
        <v>0.26315789473684209</v>
      </c>
      <c r="L12" s="51">
        <v>15785</v>
      </c>
      <c r="M12" s="51">
        <v>25725</v>
      </c>
      <c r="N12" s="51">
        <v>510</v>
      </c>
      <c r="O12" s="51">
        <v>438</v>
      </c>
      <c r="P12" s="52">
        <v>5.57</v>
      </c>
      <c r="Q12" s="47"/>
      <c r="R12" s="47"/>
      <c r="S12" s="47"/>
      <c r="T12" s="47">
        <v>12</v>
      </c>
      <c r="U12" s="47">
        <v>35</v>
      </c>
      <c r="V12" s="47">
        <v>6</v>
      </c>
      <c r="W12" s="47">
        <v>5</v>
      </c>
      <c r="X12" s="47">
        <f t="shared" si="2"/>
        <v>63</v>
      </c>
      <c r="Y12" s="47">
        <v>0.8</v>
      </c>
      <c r="Z12" s="49">
        <v>0</v>
      </c>
      <c r="AA12" s="49">
        <v>0</v>
      </c>
      <c r="AB12" s="50">
        <f t="shared" si="3"/>
        <v>0.19047619047619047</v>
      </c>
      <c r="AC12" s="51">
        <v>4887</v>
      </c>
      <c r="AD12" s="51">
        <v>15789</v>
      </c>
      <c r="AE12" s="51">
        <v>540</v>
      </c>
      <c r="AF12" s="51">
        <v>127</v>
      </c>
      <c r="AG12" s="52">
        <v>4.57</v>
      </c>
      <c r="AH12" s="50">
        <v>0.17280000000000001</v>
      </c>
      <c r="AI12" s="50">
        <v>0.8286</v>
      </c>
      <c r="AJ12" s="1"/>
      <c r="AK12" s="1"/>
      <c r="AL12" s="1"/>
      <c r="AM12" s="1"/>
      <c r="AN12" s="1"/>
      <c r="AO12" s="1">
        <f t="shared" si="4"/>
        <v>0</v>
      </c>
      <c r="AP12" s="1">
        <v>0.8</v>
      </c>
      <c r="AQ12" s="24"/>
      <c r="AR12" s="24"/>
      <c r="AS12" s="25" t="e">
        <f t="shared" si="5"/>
        <v>#DIV/0!</v>
      </c>
      <c r="AT12" s="27"/>
      <c r="AU12" s="27"/>
      <c r="AV12" s="27"/>
      <c r="AW12" s="27"/>
      <c r="AX12" s="28"/>
      <c r="AY12" s="1"/>
      <c r="AZ12" s="1"/>
      <c r="BA12" s="1"/>
      <c r="BB12" s="1"/>
      <c r="BC12" s="1"/>
    </row>
    <row r="13" spans="1:55" ht="18.75" x14ac:dyDescent="0.3">
      <c r="A13" s="61" t="s">
        <v>100</v>
      </c>
      <c r="B13" s="48"/>
      <c r="C13" s="47">
        <v>41</v>
      </c>
      <c r="D13" s="47">
        <v>59</v>
      </c>
      <c r="E13" s="47">
        <v>24</v>
      </c>
      <c r="F13" s="47">
        <v>11</v>
      </c>
      <c r="G13" s="47">
        <f t="shared" si="0"/>
        <v>146</v>
      </c>
      <c r="H13" s="47">
        <v>1</v>
      </c>
      <c r="I13" s="49">
        <v>184.68</v>
      </c>
      <c r="J13" s="49">
        <v>250</v>
      </c>
      <c r="K13" s="50">
        <f t="shared" si="1"/>
        <v>0.28082191780821919</v>
      </c>
      <c r="L13" s="51">
        <v>13398</v>
      </c>
      <c r="M13" s="51">
        <v>19977</v>
      </c>
      <c r="N13" s="51">
        <v>589</v>
      </c>
      <c r="O13" s="51">
        <v>484</v>
      </c>
      <c r="P13" s="52">
        <v>8.6</v>
      </c>
      <c r="Q13" s="47"/>
      <c r="R13" s="47"/>
      <c r="S13" s="47"/>
      <c r="T13" s="47">
        <v>26</v>
      </c>
      <c r="U13" s="47">
        <v>35</v>
      </c>
      <c r="V13" s="47">
        <v>17</v>
      </c>
      <c r="W13" s="47">
        <v>7</v>
      </c>
      <c r="X13" s="47">
        <f t="shared" si="2"/>
        <v>92</v>
      </c>
      <c r="Y13" s="47">
        <v>1</v>
      </c>
      <c r="Z13" s="49">
        <v>0</v>
      </c>
      <c r="AA13" s="49">
        <v>0</v>
      </c>
      <c r="AB13" s="50">
        <f t="shared" si="3"/>
        <v>0.28260869565217389</v>
      </c>
      <c r="AC13" s="51">
        <v>15591</v>
      </c>
      <c r="AD13" s="51">
        <v>20567</v>
      </c>
      <c r="AE13" s="51">
        <v>780</v>
      </c>
      <c r="AF13" s="51">
        <v>375</v>
      </c>
      <c r="AG13" s="52">
        <v>8.49</v>
      </c>
      <c r="AH13" s="50">
        <v>7.0800000000000002E-2</v>
      </c>
      <c r="AI13" s="50">
        <v>0.6321</v>
      </c>
      <c r="AJ13" s="1"/>
      <c r="AK13" s="1"/>
      <c r="AL13" s="1"/>
      <c r="AM13" s="1"/>
      <c r="AN13" s="1"/>
      <c r="AO13" s="1">
        <f t="shared" si="4"/>
        <v>0</v>
      </c>
      <c r="AP13" s="1">
        <v>1</v>
      </c>
      <c r="AQ13" s="24"/>
      <c r="AR13" s="24"/>
      <c r="AS13" s="25" t="e">
        <f t="shared" si="5"/>
        <v>#DIV/0!</v>
      </c>
      <c r="AT13" s="27"/>
      <c r="AU13" s="27"/>
      <c r="AV13" s="27"/>
      <c r="AW13" s="27"/>
      <c r="AX13" s="28"/>
      <c r="AY13" s="1"/>
      <c r="AZ13" s="1"/>
      <c r="BA13" s="1"/>
      <c r="BB13" s="1"/>
      <c r="BC13" s="1"/>
    </row>
    <row r="14" spans="1:55" ht="37.5" x14ac:dyDescent="0.3">
      <c r="A14" s="61" t="s">
        <v>101</v>
      </c>
      <c r="B14" s="48"/>
      <c r="C14" s="47">
        <v>22</v>
      </c>
      <c r="D14" s="47">
        <v>27</v>
      </c>
      <c r="E14" s="47">
        <v>13</v>
      </c>
      <c r="F14" s="47">
        <v>6</v>
      </c>
      <c r="G14" s="47">
        <f t="shared" si="0"/>
        <v>74</v>
      </c>
      <c r="H14" s="47">
        <v>0.8</v>
      </c>
      <c r="I14" s="49">
        <v>0</v>
      </c>
      <c r="J14" s="49">
        <v>50</v>
      </c>
      <c r="K14" s="50">
        <f t="shared" si="1"/>
        <v>0.29729729729729731</v>
      </c>
      <c r="L14" s="51">
        <v>15339</v>
      </c>
      <c r="M14" s="51">
        <v>22844</v>
      </c>
      <c r="N14" s="51">
        <v>266</v>
      </c>
      <c r="O14" s="51">
        <v>550</v>
      </c>
      <c r="P14" s="52">
        <v>6.04</v>
      </c>
      <c r="Q14" s="47"/>
      <c r="R14" s="47"/>
      <c r="S14" s="47"/>
      <c r="T14" s="47">
        <v>23</v>
      </c>
      <c r="U14" s="47">
        <v>40</v>
      </c>
      <c r="V14" s="47">
        <v>10</v>
      </c>
      <c r="W14" s="47">
        <v>9</v>
      </c>
      <c r="X14" s="47">
        <f t="shared" si="2"/>
        <v>91</v>
      </c>
      <c r="Y14" s="47">
        <v>0.8</v>
      </c>
      <c r="Z14" s="49">
        <v>15.39</v>
      </c>
      <c r="AA14" s="49">
        <v>100</v>
      </c>
      <c r="AB14" s="50">
        <f t="shared" si="3"/>
        <v>0.25274725274725274</v>
      </c>
      <c r="AC14" s="51">
        <v>15729</v>
      </c>
      <c r="AD14" s="51">
        <v>26529</v>
      </c>
      <c r="AE14" s="51">
        <v>452</v>
      </c>
      <c r="AF14" s="51">
        <v>384</v>
      </c>
      <c r="AG14" s="52">
        <v>5.96</v>
      </c>
      <c r="AH14" s="50">
        <v>0.158</v>
      </c>
      <c r="AI14" s="50">
        <v>0.71579999999999999</v>
      </c>
      <c r="AJ14" s="1"/>
      <c r="AK14" s="1"/>
      <c r="AL14" s="1"/>
      <c r="AM14" s="1"/>
      <c r="AN14" s="1"/>
      <c r="AO14" s="1">
        <f t="shared" si="4"/>
        <v>0</v>
      </c>
      <c r="AP14" s="1">
        <v>0.8</v>
      </c>
      <c r="AQ14" s="24"/>
      <c r="AR14" s="24"/>
      <c r="AS14" s="25" t="e">
        <f t="shared" si="5"/>
        <v>#DIV/0!</v>
      </c>
      <c r="AT14" s="27"/>
      <c r="AU14" s="27"/>
      <c r="AV14" s="27"/>
      <c r="AW14" s="27"/>
      <c r="AX14" s="28"/>
      <c r="AY14" s="1"/>
      <c r="AZ14" s="1"/>
      <c r="BA14" s="1"/>
      <c r="BB14" s="1"/>
      <c r="BC14" s="1"/>
    </row>
    <row r="15" spans="1:55" ht="37.5" x14ac:dyDescent="0.3">
      <c r="A15" s="61" t="s">
        <v>38</v>
      </c>
      <c r="B15" s="48"/>
      <c r="C15" s="47">
        <v>15</v>
      </c>
      <c r="D15" s="47">
        <v>17</v>
      </c>
      <c r="E15" s="47">
        <v>3</v>
      </c>
      <c r="F15" s="47">
        <v>6</v>
      </c>
      <c r="G15" s="47">
        <f t="shared" si="0"/>
        <v>47</v>
      </c>
      <c r="H15" s="47">
        <v>1</v>
      </c>
      <c r="I15" s="49">
        <v>0</v>
      </c>
      <c r="J15" s="49">
        <v>0</v>
      </c>
      <c r="K15" s="50">
        <f t="shared" si="1"/>
        <v>0.31914893617021278</v>
      </c>
      <c r="L15" s="51">
        <v>31294</v>
      </c>
      <c r="M15" s="51">
        <v>31294</v>
      </c>
      <c r="N15" s="51">
        <v>0</v>
      </c>
      <c r="O15" s="51">
        <v>0</v>
      </c>
      <c r="P15" s="52">
        <v>3.82</v>
      </c>
      <c r="Q15" s="47"/>
      <c r="R15" s="47"/>
      <c r="S15" s="47"/>
      <c r="T15" s="47">
        <v>20</v>
      </c>
      <c r="U15" s="47">
        <v>29</v>
      </c>
      <c r="V15" s="47">
        <v>12</v>
      </c>
      <c r="W15" s="47">
        <v>5</v>
      </c>
      <c r="X15" s="47">
        <f t="shared" si="2"/>
        <v>71</v>
      </c>
      <c r="Y15" s="47">
        <v>1</v>
      </c>
      <c r="Z15" s="49">
        <v>0</v>
      </c>
      <c r="AA15" s="49">
        <v>0</v>
      </c>
      <c r="AB15" s="50">
        <f t="shared" si="3"/>
        <v>0.28169014084507044</v>
      </c>
      <c r="AC15" s="51">
        <v>9883</v>
      </c>
      <c r="AD15" s="51">
        <v>19491</v>
      </c>
      <c r="AE15" s="51">
        <v>259</v>
      </c>
      <c r="AF15" s="51">
        <v>316</v>
      </c>
      <c r="AG15" s="52">
        <v>4.99</v>
      </c>
      <c r="AH15" s="50">
        <v>0.20080000000000001</v>
      </c>
      <c r="AI15" s="50">
        <v>0.75</v>
      </c>
      <c r="AJ15" s="1"/>
      <c r="AK15" s="1"/>
      <c r="AL15" s="1"/>
      <c r="AM15" s="1"/>
      <c r="AN15" s="1"/>
      <c r="AO15" s="1">
        <f t="shared" si="4"/>
        <v>0</v>
      </c>
      <c r="AP15" s="1">
        <v>1</v>
      </c>
      <c r="AQ15" s="24"/>
      <c r="AR15" s="24"/>
      <c r="AS15" s="25" t="e">
        <f t="shared" si="5"/>
        <v>#DIV/0!</v>
      </c>
      <c r="AT15" s="27"/>
      <c r="AU15" s="27"/>
      <c r="AV15" s="27"/>
      <c r="AW15" s="27"/>
      <c r="AX15" s="28"/>
      <c r="AY15" s="1"/>
      <c r="AZ15" s="1"/>
      <c r="BA15" s="1"/>
      <c r="BB15" s="1"/>
      <c r="BC15" s="1"/>
    </row>
    <row r="16" spans="1:55" ht="37.5" x14ac:dyDescent="0.3">
      <c r="A16" s="61" t="s">
        <v>102</v>
      </c>
      <c r="B16" s="48"/>
      <c r="C16" s="47">
        <v>6</v>
      </c>
      <c r="D16" s="47">
        <v>25</v>
      </c>
      <c r="E16" s="47">
        <v>1</v>
      </c>
      <c r="F16" s="47">
        <v>3</v>
      </c>
      <c r="G16" s="47">
        <f t="shared" si="0"/>
        <v>38</v>
      </c>
      <c r="H16" s="47">
        <v>1</v>
      </c>
      <c r="I16" s="49" t="s">
        <v>32</v>
      </c>
      <c r="J16" s="49" t="s">
        <v>32</v>
      </c>
      <c r="K16" s="50">
        <f t="shared" si="1"/>
        <v>0.15789473684210525</v>
      </c>
      <c r="L16" s="51">
        <v>5096</v>
      </c>
      <c r="M16" s="51">
        <v>22520</v>
      </c>
      <c r="N16" s="51">
        <v>917</v>
      </c>
      <c r="O16" s="51">
        <v>210</v>
      </c>
      <c r="P16" s="52">
        <v>5.26</v>
      </c>
      <c r="Q16" s="47"/>
      <c r="R16" s="47"/>
      <c r="S16" s="47"/>
      <c r="T16" s="47">
        <v>29</v>
      </c>
      <c r="U16" s="47">
        <v>39</v>
      </c>
      <c r="V16" s="47">
        <v>15</v>
      </c>
      <c r="W16" s="47">
        <v>10</v>
      </c>
      <c r="X16" s="47">
        <f t="shared" si="2"/>
        <v>103</v>
      </c>
      <c r="Y16" s="47">
        <v>1</v>
      </c>
      <c r="Z16" s="49">
        <v>0</v>
      </c>
      <c r="AA16" s="49">
        <v>50</v>
      </c>
      <c r="AB16" s="50">
        <f t="shared" si="3"/>
        <v>0.28155339805825241</v>
      </c>
      <c r="AC16" s="51">
        <v>15820</v>
      </c>
      <c r="AD16" s="51">
        <v>25085</v>
      </c>
      <c r="AE16" s="51">
        <v>435</v>
      </c>
      <c r="AF16" s="51">
        <v>209</v>
      </c>
      <c r="AG16" s="52">
        <v>6.37</v>
      </c>
      <c r="AH16" s="50">
        <v>9.5699999999999993E-2</v>
      </c>
      <c r="AI16" s="50">
        <v>0.60270000000000001</v>
      </c>
      <c r="AJ16" s="1"/>
      <c r="AK16" s="1"/>
      <c r="AL16" s="1"/>
      <c r="AM16" s="1"/>
      <c r="AN16" s="1"/>
      <c r="AO16" s="1">
        <f t="shared" si="4"/>
        <v>0</v>
      </c>
      <c r="AP16" s="1">
        <v>1</v>
      </c>
      <c r="AQ16" s="24"/>
      <c r="AR16" s="24"/>
      <c r="AS16" s="25" t="e">
        <f t="shared" si="5"/>
        <v>#DIV/0!</v>
      </c>
      <c r="AT16" s="27"/>
      <c r="AU16" s="27"/>
      <c r="AV16" s="27"/>
      <c r="AW16" s="27"/>
      <c r="AX16" s="28"/>
      <c r="AY16" s="1"/>
      <c r="AZ16" s="1"/>
      <c r="BA16" s="1"/>
      <c r="BB16" s="1" t="s">
        <v>106</v>
      </c>
      <c r="BC16" s="1"/>
    </row>
    <row r="17" spans="1:55" ht="37.5" x14ac:dyDescent="0.3">
      <c r="A17" s="61" t="s">
        <v>103</v>
      </c>
      <c r="B17" s="48"/>
      <c r="C17" s="47">
        <v>30</v>
      </c>
      <c r="D17" s="47">
        <v>110</v>
      </c>
      <c r="E17" s="47">
        <v>21</v>
      </c>
      <c r="F17" s="47">
        <v>7</v>
      </c>
      <c r="G17" s="47">
        <f t="shared" si="0"/>
        <v>175</v>
      </c>
      <c r="H17" s="47">
        <v>1</v>
      </c>
      <c r="I17" s="49">
        <v>328.32</v>
      </c>
      <c r="J17" s="49">
        <v>400</v>
      </c>
      <c r="K17" s="50">
        <f t="shared" si="1"/>
        <v>0.17142857142857143</v>
      </c>
      <c r="L17" s="51">
        <v>6219</v>
      </c>
      <c r="M17" s="51">
        <v>26344</v>
      </c>
      <c r="N17" s="51">
        <v>312</v>
      </c>
      <c r="O17" s="51">
        <v>197</v>
      </c>
      <c r="P17" s="52">
        <v>4.99</v>
      </c>
      <c r="Q17" s="47"/>
      <c r="R17" s="47"/>
      <c r="S17" s="47"/>
      <c r="T17" s="47">
        <v>30</v>
      </c>
      <c r="U17" s="47">
        <v>72</v>
      </c>
      <c r="V17" s="47">
        <v>20</v>
      </c>
      <c r="W17" s="47">
        <v>7</v>
      </c>
      <c r="X17" s="47">
        <f t="shared" si="2"/>
        <v>136</v>
      </c>
      <c r="Y17" s="47">
        <v>1</v>
      </c>
      <c r="Z17" s="49">
        <v>128.25</v>
      </c>
      <c r="AA17" s="49">
        <v>300</v>
      </c>
      <c r="AB17" s="50">
        <f t="shared" si="3"/>
        <v>0.22058823529411764</v>
      </c>
      <c r="AC17" s="51">
        <v>10099</v>
      </c>
      <c r="AD17" s="51">
        <v>24684</v>
      </c>
      <c r="AE17" s="51">
        <v>528</v>
      </c>
      <c r="AF17" s="51">
        <v>396</v>
      </c>
      <c r="AG17" s="52">
        <v>6.39</v>
      </c>
      <c r="AH17" s="50">
        <v>0.13289999999999999</v>
      </c>
      <c r="AI17" s="50">
        <v>0.56479999999999997</v>
      </c>
      <c r="AJ17" s="1"/>
      <c r="AK17" s="1"/>
      <c r="AL17" s="1"/>
      <c r="AM17" s="1"/>
      <c r="AN17" s="1"/>
      <c r="AO17" s="1">
        <f t="shared" si="4"/>
        <v>0</v>
      </c>
      <c r="AP17" s="1">
        <v>1</v>
      </c>
      <c r="AQ17" s="24"/>
      <c r="AR17" s="24"/>
      <c r="AS17" s="25" t="e">
        <f t="shared" si="5"/>
        <v>#DIV/0!</v>
      </c>
      <c r="AT17" s="27"/>
      <c r="AU17" s="27"/>
      <c r="AV17" s="27"/>
      <c r="AW17" s="27"/>
      <c r="AX17" s="28"/>
      <c r="AY17" s="1"/>
      <c r="AZ17" s="1"/>
      <c r="BA17" s="1"/>
      <c r="BB17" s="1"/>
      <c r="BC17" s="1"/>
    </row>
    <row r="18" spans="1:55" ht="18.75" x14ac:dyDescent="0.3">
      <c r="A18" s="61" t="s">
        <v>104</v>
      </c>
      <c r="B18" s="48"/>
      <c r="C18" s="47">
        <v>16</v>
      </c>
      <c r="D18" s="47">
        <v>69</v>
      </c>
      <c r="E18" s="47">
        <v>8</v>
      </c>
      <c r="F18" s="47">
        <v>5</v>
      </c>
      <c r="G18" s="47">
        <f t="shared" si="0"/>
        <v>103</v>
      </c>
      <c r="H18" s="47">
        <v>1</v>
      </c>
      <c r="I18" s="49" t="s">
        <v>40</v>
      </c>
      <c r="J18" s="49" t="s">
        <v>40</v>
      </c>
      <c r="K18" s="50">
        <f t="shared" si="1"/>
        <v>0.1553398058252427</v>
      </c>
      <c r="L18" s="51">
        <v>5114</v>
      </c>
      <c r="M18" s="51">
        <v>25469</v>
      </c>
      <c r="N18" s="51">
        <v>374</v>
      </c>
      <c r="O18" s="51">
        <v>494</v>
      </c>
      <c r="P18" s="52">
        <v>5.73</v>
      </c>
      <c r="Q18" s="47"/>
      <c r="R18" s="47"/>
      <c r="S18" s="47"/>
      <c r="T18" s="47">
        <v>35</v>
      </c>
      <c r="U18" s="47">
        <v>62</v>
      </c>
      <c r="V18" s="47">
        <v>21</v>
      </c>
      <c r="W18" s="47">
        <v>8</v>
      </c>
      <c r="X18" s="47">
        <f t="shared" si="2"/>
        <v>134</v>
      </c>
      <c r="Y18" s="47">
        <v>1</v>
      </c>
      <c r="Z18" s="49" t="s">
        <v>88</v>
      </c>
      <c r="AA18" s="49" t="s">
        <v>88</v>
      </c>
      <c r="AB18" s="50">
        <f t="shared" si="3"/>
        <v>0.26119402985074625</v>
      </c>
      <c r="AC18" s="51">
        <v>10846</v>
      </c>
      <c r="AD18" s="51">
        <v>21847</v>
      </c>
      <c r="AE18" s="51">
        <v>592</v>
      </c>
      <c r="AF18" s="51">
        <v>208</v>
      </c>
      <c r="AG18" s="52">
        <v>5.36</v>
      </c>
      <c r="AH18" s="50">
        <v>8.1199999999999994E-2</v>
      </c>
      <c r="AI18" s="50">
        <v>0.68969999999999998</v>
      </c>
      <c r="AJ18" s="1"/>
      <c r="AK18" s="1"/>
      <c r="AL18" s="1"/>
      <c r="AM18" s="1"/>
      <c r="AN18" s="1"/>
      <c r="AO18" s="1">
        <f t="shared" si="4"/>
        <v>0</v>
      </c>
      <c r="AP18" s="1">
        <v>1</v>
      </c>
      <c r="AQ18" s="24"/>
      <c r="AR18" s="24"/>
      <c r="AS18" s="25" t="e">
        <f t="shared" si="5"/>
        <v>#DIV/0!</v>
      </c>
      <c r="AT18" s="27"/>
      <c r="AU18" s="27"/>
      <c r="AV18" s="27"/>
      <c r="AW18" s="27"/>
      <c r="AX18" s="28"/>
      <c r="AY18" s="1"/>
      <c r="AZ18" s="1"/>
      <c r="BA18" s="1"/>
      <c r="BB18" s="1"/>
      <c r="BC18" s="1"/>
    </row>
    <row r="19" spans="1:55" ht="18.75" x14ac:dyDescent="0.3">
      <c r="A19" s="62"/>
      <c r="B19" s="53"/>
      <c r="C19" s="54"/>
      <c r="D19" s="54"/>
      <c r="E19" s="54"/>
      <c r="F19" s="54"/>
      <c r="G19" s="54"/>
      <c r="H19" s="54"/>
      <c r="I19" s="55"/>
      <c r="J19" s="55"/>
      <c r="K19" s="56"/>
      <c r="L19" s="57"/>
      <c r="M19" s="57"/>
      <c r="N19" s="57"/>
      <c r="O19" s="57"/>
      <c r="P19" s="58"/>
      <c r="Q19" s="54"/>
      <c r="R19" s="54"/>
      <c r="S19" s="54"/>
      <c r="T19" s="54"/>
      <c r="U19" s="54"/>
      <c r="V19" s="54"/>
      <c r="W19" s="54"/>
      <c r="X19" s="54"/>
      <c r="Y19" s="54"/>
      <c r="Z19" s="55"/>
      <c r="AA19" s="55"/>
      <c r="AB19" s="56"/>
      <c r="AC19" s="57"/>
      <c r="AD19" s="57"/>
      <c r="AE19" s="57"/>
      <c r="AF19" s="57"/>
      <c r="AG19" s="58"/>
      <c r="AH19" s="54"/>
      <c r="AI19" s="56"/>
      <c r="AJ19" s="33"/>
      <c r="AK19" s="33"/>
      <c r="AL19" s="33"/>
      <c r="AM19" s="33"/>
      <c r="AN19" s="33"/>
      <c r="AO19" s="33"/>
      <c r="AP19" s="33"/>
      <c r="AQ19" s="34"/>
      <c r="AR19" s="34"/>
      <c r="AS19" s="35"/>
      <c r="AT19" s="36"/>
      <c r="AU19" s="36"/>
      <c r="AV19" s="36"/>
      <c r="AW19" s="36"/>
      <c r="AX19" s="37"/>
      <c r="AY19" s="33"/>
      <c r="AZ19" s="33"/>
      <c r="BA19" s="1"/>
      <c r="BB19" s="1"/>
      <c r="BC19" s="1"/>
    </row>
    <row r="20" spans="1:55" ht="18.75" x14ac:dyDescent="0.3">
      <c r="A20" s="63" t="s">
        <v>30</v>
      </c>
      <c r="B20" s="59"/>
      <c r="C20" s="47">
        <f>SUM(C5:C19)</f>
        <v>286</v>
      </c>
      <c r="D20" s="47">
        <f t="shared" ref="D20:J20" si="6">SUM(D5:D18)</f>
        <v>629</v>
      </c>
      <c r="E20" s="47">
        <f t="shared" si="6"/>
        <v>160</v>
      </c>
      <c r="F20" s="47">
        <f t="shared" si="6"/>
        <v>74</v>
      </c>
      <c r="G20" s="47">
        <f t="shared" si="6"/>
        <v>1223</v>
      </c>
      <c r="H20" s="47">
        <f t="shared" si="6"/>
        <v>12.6</v>
      </c>
      <c r="I20" s="49">
        <f t="shared" si="6"/>
        <v>1133.73</v>
      </c>
      <c r="J20" s="49">
        <f t="shared" si="6"/>
        <v>1600</v>
      </c>
      <c r="K20" s="50">
        <f t="shared" si="1"/>
        <v>0.2338511856091578</v>
      </c>
      <c r="L20" s="51">
        <v>9337</v>
      </c>
      <c r="M20" s="51">
        <v>22634</v>
      </c>
      <c r="N20" s="51">
        <v>454</v>
      </c>
      <c r="O20" s="51">
        <v>313</v>
      </c>
      <c r="P20" s="52">
        <v>5.77</v>
      </c>
      <c r="Q20" s="47"/>
      <c r="R20" s="47"/>
      <c r="S20" s="47"/>
      <c r="T20" s="47">
        <f>SUM(T5:T19)</f>
        <v>306</v>
      </c>
      <c r="U20" s="47">
        <f t="shared" ref="U20:AA20" si="7">SUM(U5:U18)</f>
        <v>583</v>
      </c>
      <c r="V20" s="47">
        <f t="shared" si="7"/>
        <v>174</v>
      </c>
      <c r="W20" s="47">
        <f t="shared" si="7"/>
        <v>85</v>
      </c>
      <c r="X20" s="47">
        <f t="shared" si="7"/>
        <v>1233</v>
      </c>
      <c r="Y20" s="47">
        <f t="shared" si="7"/>
        <v>12.6</v>
      </c>
      <c r="Z20" s="49">
        <f t="shared" si="7"/>
        <v>687.42</v>
      </c>
      <c r="AA20" s="49">
        <f t="shared" si="7"/>
        <v>1400</v>
      </c>
      <c r="AB20" s="50">
        <f>T20/X20</f>
        <v>0.24817518248175183</v>
      </c>
      <c r="AC20" s="51">
        <v>10357</v>
      </c>
      <c r="AD20" s="51">
        <v>22367</v>
      </c>
      <c r="AE20" s="51">
        <v>430</v>
      </c>
      <c r="AF20" s="51">
        <v>378</v>
      </c>
      <c r="AG20" s="52">
        <v>5.7</v>
      </c>
      <c r="AH20" s="50">
        <v>0.1241</v>
      </c>
      <c r="AI20" s="50"/>
      <c r="AJ20" s="1"/>
      <c r="AK20" s="1">
        <f>SUM(AK5:AK19)</f>
        <v>0</v>
      </c>
      <c r="AL20" s="1">
        <f t="shared" ref="AL20:AR20" si="8">SUM(AL5:AL18)</f>
        <v>0</v>
      </c>
      <c r="AM20" s="1">
        <f t="shared" si="8"/>
        <v>0</v>
      </c>
      <c r="AN20" s="1">
        <f t="shared" si="8"/>
        <v>0</v>
      </c>
      <c r="AO20" s="1">
        <f t="shared" si="8"/>
        <v>0</v>
      </c>
      <c r="AP20" s="1">
        <f t="shared" si="8"/>
        <v>12.6</v>
      </c>
      <c r="AQ20" s="24">
        <f t="shared" si="8"/>
        <v>0</v>
      </c>
      <c r="AR20" s="24">
        <f t="shared" si="8"/>
        <v>0</v>
      </c>
      <c r="AS20" s="25" t="e">
        <f>AK20/AO20</f>
        <v>#DIV/0!</v>
      </c>
      <c r="AT20" s="27"/>
      <c r="AU20" s="27"/>
      <c r="AV20" s="27"/>
      <c r="AW20" s="27"/>
      <c r="AX20" s="28"/>
      <c r="AY20" s="1"/>
      <c r="AZ20" s="1"/>
      <c r="BA20" s="1"/>
      <c r="BB20" s="1"/>
      <c r="BC20" s="1"/>
    </row>
    <row r="21" spans="1:55" ht="18.75" x14ac:dyDescent="0.3">
      <c r="A21" s="63"/>
      <c r="B21" s="59"/>
      <c r="C21" s="47"/>
      <c r="D21" s="47"/>
      <c r="E21" s="47"/>
      <c r="F21" s="47"/>
      <c r="G21" s="47"/>
      <c r="H21" s="47"/>
      <c r="I21" s="49"/>
      <c r="J21" s="49"/>
      <c r="K21" s="50"/>
      <c r="L21" s="51"/>
      <c r="M21" s="51"/>
      <c r="N21" s="51"/>
      <c r="O21" s="51"/>
      <c r="P21" s="52"/>
      <c r="Q21" s="47"/>
      <c r="R21" s="47"/>
      <c r="S21" s="47"/>
      <c r="T21" s="47"/>
      <c r="U21" s="47"/>
      <c r="V21" s="47"/>
      <c r="W21" s="47"/>
      <c r="X21" s="47"/>
      <c r="Y21" s="47"/>
      <c r="Z21" s="49"/>
      <c r="AA21" s="49"/>
      <c r="AB21" s="50"/>
      <c r="AC21" s="51"/>
      <c r="AD21" s="51"/>
      <c r="AE21" s="51"/>
      <c r="AF21" s="51"/>
      <c r="AG21" s="52"/>
      <c r="AH21" s="50"/>
      <c r="AI21" s="50"/>
      <c r="AJ21" s="1"/>
      <c r="AK21" s="1"/>
      <c r="AL21" s="1"/>
      <c r="AM21" s="1"/>
      <c r="AN21" s="1"/>
      <c r="AO21" s="1"/>
      <c r="AP21" s="1"/>
      <c r="AQ21" s="24"/>
      <c r="AR21" s="24"/>
      <c r="AS21" s="25"/>
      <c r="AT21" s="27"/>
      <c r="AU21" s="27"/>
      <c r="AV21" s="27"/>
      <c r="AW21" s="27"/>
      <c r="AX21" s="28"/>
      <c r="AY21" s="1"/>
      <c r="AZ21" s="1"/>
      <c r="BA21" s="1"/>
      <c r="BB21" s="1"/>
      <c r="BC21" s="1"/>
    </row>
    <row r="22" spans="1:55" ht="18.75" x14ac:dyDescent="0.3">
      <c r="A22" s="63" t="s">
        <v>29</v>
      </c>
      <c r="B22" s="59"/>
      <c r="C22" s="47">
        <v>1032</v>
      </c>
      <c r="D22" s="47">
        <v>1996</v>
      </c>
      <c r="E22" s="47">
        <v>570</v>
      </c>
      <c r="F22" s="47">
        <v>265</v>
      </c>
      <c r="G22" s="47">
        <f>SUM(C22:F22)</f>
        <v>3863</v>
      </c>
      <c r="H22" s="47">
        <v>29.74</v>
      </c>
      <c r="I22" s="49"/>
      <c r="J22" s="49"/>
      <c r="K22" s="50">
        <f t="shared" si="1"/>
        <v>0.26714988351022523</v>
      </c>
      <c r="L22" s="51">
        <v>10365</v>
      </c>
      <c r="M22" s="51">
        <v>22109</v>
      </c>
      <c r="N22" s="51">
        <v>468</v>
      </c>
      <c r="O22" s="51">
        <v>341</v>
      </c>
      <c r="P22" s="52">
        <v>5.79</v>
      </c>
      <c r="Q22" s="47"/>
      <c r="R22" s="47"/>
      <c r="S22" s="47"/>
      <c r="T22" s="47">
        <v>982</v>
      </c>
      <c r="U22" s="47">
        <v>1617</v>
      </c>
      <c r="V22" s="47">
        <v>578</v>
      </c>
      <c r="W22" s="47">
        <v>271</v>
      </c>
      <c r="X22" s="47">
        <f>SUM(T22:W22)</f>
        <v>3448</v>
      </c>
      <c r="Y22" s="47">
        <v>29.74</v>
      </c>
      <c r="Z22" s="49"/>
      <c r="AA22" s="49"/>
      <c r="AB22" s="50">
        <f>T22/X22</f>
        <v>0.2848027842227378</v>
      </c>
      <c r="AC22" s="51">
        <v>9611</v>
      </c>
      <c r="AD22" s="51">
        <v>21276</v>
      </c>
      <c r="AE22" s="51">
        <v>392</v>
      </c>
      <c r="AF22" s="51">
        <v>373</v>
      </c>
      <c r="AG22" s="52">
        <v>5.89</v>
      </c>
      <c r="AH22" s="50">
        <v>0.12139999999999999</v>
      </c>
      <c r="AI22" s="50"/>
      <c r="AJ22" s="1"/>
      <c r="AK22" s="1"/>
      <c r="AL22" s="1"/>
      <c r="AM22" s="1"/>
      <c r="AN22" s="1"/>
      <c r="AO22" s="1">
        <f>SUM(AK22:AN22)</f>
        <v>0</v>
      </c>
      <c r="AP22" s="1">
        <v>29.74</v>
      </c>
      <c r="AQ22" s="24"/>
      <c r="AR22" s="24"/>
      <c r="AS22" s="25" t="e">
        <f>AK22/AO22</f>
        <v>#DIV/0!</v>
      </c>
      <c r="AT22" s="27"/>
      <c r="AU22" s="27"/>
      <c r="AV22" s="27"/>
      <c r="AW22" s="27"/>
      <c r="AX22" s="28"/>
      <c r="AY22" s="1"/>
      <c r="AZ22" s="1"/>
      <c r="BA22" s="1"/>
      <c r="BB22" s="1"/>
      <c r="BC22" s="1"/>
    </row>
    <row r="23" spans="1:55" ht="18.75" x14ac:dyDescent="0.3">
      <c r="A23" s="59"/>
      <c r="B23" s="59"/>
      <c r="C23" s="47"/>
      <c r="D23" s="47"/>
      <c r="E23" s="47"/>
      <c r="F23" s="47"/>
      <c r="G23" s="47"/>
      <c r="H23" s="47"/>
      <c r="I23" s="47"/>
      <c r="J23" s="47"/>
      <c r="K23" s="47"/>
      <c r="L23" s="47"/>
      <c r="M23" s="47"/>
      <c r="N23" s="47"/>
      <c r="O23" s="47"/>
      <c r="P23" s="47"/>
      <c r="Q23" s="47"/>
      <c r="R23" s="47"/>
      <c r="S23" s="60"/>
      <c r="T23" s="60"/>
      <c r="U23" s="60"/>
      <c r="V23" s="60"/>
      <c r="W23" s="60"/>
      <c r="X23" s="60"/>
      <c r="Y23" s="60"/>
      <c r="Z23" s="60"/>
      <c r="AA23" s="60"/>
      <c r="AB23" s="60"/>
      <c r="AC23" s="60"/>
      <c r="AD23" s="60"/>
      <c r="AE23" s="60"/>
      <c r="AF23" s="60"/>
      <c r="AG23" s="60"/>
      <c r="AH23" s="60"/>
      <c r="AI23" s="60"/>
    </row>
  </sheetData>
  <pageMargins left="0.7" right="0.7" top="0.75" bottom="0.75" header="0.3" footer="0.3"/>
  <pageSetup paperSize="9" scale="3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K21"/>
  <sheetViews>
    <sheetView workbookViewId="0">
      <selection activeCell="B11" sqref="B11"/>
    </sheetView>
  </sheetViews>
  <sheetFormatPr baseColWidth="10" defaultRowHeight="15" x14ac:dyDescent="0.25"/>
  <cols>
    <col min="1" max="1" width="20" bestFit="1" customWidth="1"/>
    <col min="3" max="3" width="17.5703125" bestFit="1" customWidth="1"/>
    <col min="5" max="5" width="6.28515625" hidden="1" customWidth="1"/>
    <col min="6" max="7" width="11.42578125" hidden="1" customWidth="1"/>
    <col min="8" max="11" width="11.5703125" hidden="1" customWidth="1"/>
  </cols>
  <sheetData>
    <row r="1" spans="1:11" x14ac:dyDescent="0.25">
      <c r="A1" s="75" t="s">
        <v>124</v>
      </c>
      <c r="C1" s="75" t="s">
        <v>123</v>
      </c>
      <c r="F1" t="s">
        <v>125</v>
      </c>
      <c r="G1" t="s">
        <v>107</v>
      </c>
    </row>
    <row r="2" spans="1:11" x14ac:dyDescent="0.25">
      <c r="A2" s="74" t="s">
        <v>48</v>
      </c>
      <c r="C2" t="s">
        <v>98</v>
      </c>
      <c r="F2" t="s">
        <v>186</v>
      </c>
      <c r="G2" t="s">
        <v>127</v>
      </c>
      <c r="H2" t="s">
        <v>143</v>
      </c>
      <c r="I2" t="s">
        <v>164</v>
      </c>
      <c r="J2" t="s">
        <v>165</v>
      </c>
      <c r="K2" t="s">
        <v>166</v>
      </c>
    </row>
    <row r="3" spans="1:11" x14ac:dyDescent="0.25">
      <c r="A3" s="74" t="s">
        <v>107</v>
      </c>
      <c r="C3" t="s">
        <v>92</v>
      </c>
      <c r="F3" t="s">
        <v>187</v>
      </c>
      <c r="G3" t="s">
        <v>128</v>
      </c>
      <c r="H3" t="s">
        <v>186</v>
      </c>
      <c r="I3" t="s">
        <v>127</v>
      </c>
      <c r="J3" t="s">
        <v>128</v>
      </c>
      <c r="K3" t="s">
        <v>129</v>
      </c>
    </row>
    <row r="4" spans="1:11" ht="30" x14ac:dyDescent="0.25">
      <c r="A4" s="74" t="s">
        <v>110</v>
      </c>
      <c r="B4" t="s">
        <v>109</v>
      </c>
      <c r="C4" s="77" t="s">
        <v>93</v>
      </c>
      <c r="D4" t="s">
        <v>109</v>
      </c>
      <c r="E4" t="s">
        <v>109</v>
      </c>
      <c r="F4" t="s">
        <v>188</v>
      </c>
      <c r="G4" t="s">
        <v>129</v>
      </c>
      <c r="H4" t="s">
        <v>187</v>
      </c>
      <c r="I4" t="s">
        <v>130</v>
      </c>
      <c r="J4" t="s">
        <v>131</v>
      </c>
      <c r="K4" t="s">
        <v>132</v>
      </c>
    </row>
    <row r="5" spans="1:11" x14ac:dyDescent="0.25">
      <c r="A5" s="74" t="s">
        <v>111</v>
      </c>
      <c r="B5" t="s">
        <v>109</v>
      </c>
      <c r="C5" s="77" t="s">
        <v>94</v>
      </c>
      <c r="D5" t="s">
        <v>109</v>
      </c>
      <c r="E5" t="s">
        <v>109</v>
      </c>
      <c r="F5" t="s">
        <v>189</v>
      </c>
      <c r="G5" t="s">
        <v>130</v>
      </c>
      <c r="H5" t="s">
        <v>188</v>
      </c>
      <c r="I5" t="s">
        <v>133</v>
      </c>
      <c r="J5" t="s">
        <v>134</v>
      </c>
      <c r="K5" t="s">
        <v>135</v>
      </c>
    </row>
    <row r="6" spans="1:11" x14ac:dyDescent="0.25">
      <c r="A6" s="74" t="s">
        <v>112</v>
      </c>
      <c r="C6" s="77" t="s">
        <v>95</v>
      </c>
      <c r="G6" t="s">
        <v>131</v>
      </c>
      <c r="H6" t="s">
        <v>189</v>
      </c>
      <c r="I6" t="s">
        <v>52</v>
      </c>
      <c r="J6" t="s">
        <v>54</v>
      </c>
      <c r="K6" t="s">
        <v>55</v>
      </c>
    </row>
    <row r="7" spans="1:11" ht="45" x14ac:dyDescent="0.25">
      <c r="A7" s="74" t="s">
        <v>113</v>
      </c>
      <c r="C7" s="77" t="s">
        <v>96</v>
      </c>
      <c r="G7" t="s">
        <v>132</v>
      </c>
    </row>
    <row r="8" spans="1:11" x14ac:dyDescent="0.25">
      <c r="A8" s="74" t="s">
        <v>114</v>
      </c>
      <c r="C8" s="77" t="s">
        <v>97</v>
      </c>
      <c r="G8" t="s">
        <v>133</v>
      </c>
    </row>
    <row r="9" spans="1:11" ht="30" x14ac:dyDescent="0.25">
      <c r="A9" s="74" t="s">
        <v>115</v>
      </c>
      <c r="C9" s="77" t="s">
        <v>98</v>
      </c>
      <c r="G9" t="s">
        <v>134</v>
      </c>
    </row>
    <row r="10" spans="1:11" x14ac:dyDescent="0.25">
      <c r="A10" s="74" t="s">
        <v>0</v>
      </c>
      <c r="C10" s="77" t="s">
        <v>99</v>
      </c>
      <c r="G10" t="s">
        <v>135</v>
      </c>
    </row>
    <row r="11" spans="1:11" x14ac:dyDescent="0.25">
      <c r="A11" s="74" t="s">
        <v>116</v>
      </c>
      <c r="C11" s="77" t="s">
        <v>100</v>
      </c>
      <c r="G11" t="s">
        <v>52</v>
      </c>
    </row>
    <row r="12" spans="1:11" ht="30" x14ac:dyDescent="0.25">
      <c r="A12" s="74" t="s">
        <v>117</v>
      </c>
      <c r="C12" s="77" t="s">
        <v>101</v>
      </c>
      <c r="G12" t="s">
        <v>54</v>
      </c>
    </row>
    <row r="13" spans="1:11" ht="30" x14ac:dyDescent="0.25">
      <c r="A13" s="74" t="s">
        <v>118</v>
      </c>
      <c r="C13" s="77" t="s">
        <v>126</v>
      </c>
      <c r="G13" t="s">
        <v>55</v>
      </c>
    </row>
    <row r="14" spans="1:11" ht="30" x14ac:dyDescent="0.25">
      <c r="A14" s="74" t="s">
        <v>119</v>
      </c>
      <c r="C14" s="77" t="s">
        <v>102</v>
      </c>
    </row>
    <row r="15" spans="1:11" ht="30" x14ac:dyDescent="0.25">
      <c r="A15" s="74" t="s">
        <v>120</v>
      </c>
      <c r="C15" s="77" t="s">
        <v>103</v>
      </c>
    </row>
    <row r="16" spans="1:11" x14ac:dyDescent="0.25">
      <c r="A16" s="76"/>
      <c r="C16" s="77"/>
    </row>
    <row r="17" spans="1:3" x14ac:dyDescent="0.25">
      <c r="A17" s="76"/>
      <c r="C17" s="77"/>
    </row>
    <row r="18" spans="1:3" x14ac:dyDescent="0.25">
      <c r="A18" s="76"/>
      <c r="C18" t="s">
        <v>121</v>
      </c>
    </row>
    <row r="19" spans="1:3" x14ac:dyDescent="0.25">
      <c r="A19" s="76"/>
      <c r="C19" t="s">
        <v>122</v>
      </c>
    </row>
    <row r="20" spans="1:3" x14ac:dyDescent="0.25">
      <c r="A20" s="76"/>
    </row>
    <row r="21" spans="1:3" x14ac:dyDescent="0.25">
      <c r="A21" s="76"/>
    </row>
  </sheetData>
  <pageMargins left="0.7" right="0.7" top="0.75" bottom="0.75" header="0.3" footer="0.3"/>
  <drawing r:id="rId1"/>
  <legacyDrawing r:id="rId2"/>
  <controls>
    <mc:AlternateContent xmlns:mc="http://schemas.openxmlformats.org/markup-compatibility/2006">
      <mc:Choice Requires="x14">
        <control shapeId="7170" r:id="rId3" name="CommandButton1">
          <controlPr defaultSize="0" autoLine="0" r:id="rId4">
            <anchor moveWithCells="1">
              <from>
                <xdr:col>11</xdr:col>
                <xdr:colOff>0</xdr:colOff>
                <xdr:row>7</xdr:row>
                <xdr:rowOff>0</xdr:rowOff>
              </from>
              <to>
                <xdr:col>14</xdr:col>
                <xdr:colOff>142875</xdr:colOff>
                <xdr:row>10</xdr:row>
                <xdr:rowOff>57150</xdr:rowOff>
              </to>
            </anchor>
          </controlPr>
        </control>
      </mc:Choice>
      <mc:Fallback>
        <control shapeId="7170" r:id="rId3" name="CommandButton1"/>
      </mc:Fallback>
    </mc:AlternateContent>
  </controls>
  <tableParts count="3">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2:M24"/>
  <sheetViews>
    <sheetView topLeftCell="A2" workbookViewId="0">
      <selection activeCell="K21" sqref="K21"/>
    </sheetView>
  </sheetViews>
  <sheetFormatPr baseColWidth="10" defaultRowHeight="15" x14ac:dyDescent="0.25"/>
  <cols>
    <col min="2" max="3" width="12.85546875" bestFit="1" customWidth="1"/>
    <col min="4" max="4" width="13.140625" customWidth="1"/>
    <col min="5" max="5" width="13.28515625" customWidth="1"/>
    <col min="6" max="6" width="19" customWidth="1"/>
    <col min="7" max="7" width="17" bestFit="1" customWidth="1"/>
    <col min="8" max="8" width="21.140625" customWidth="1"/>
    <col min="9" max="9" width="19.140625" bestFit="1" customWidth="1"/>
    <col min="10" max="10" width="14.28515625" customWidth="1"/>
  </cols>
  <sheetData>
    <row r="2" spans="1:13" x14ac:dyDescent="0.25">
      <c r="D2" s="159" t="s">
        <v>136</v>
      </c>
      <c r="E2" s="160"/>
      <c r="F2" s="160"/>
      <c r="G2" s="160"/>
      <c r="H2" s="160"/>
      <c r="I2" s="160"/>
    </row>
    <row r="3" spans="1:13" x14ac:dyDescent="0.25">
      <c r="D3" s="160"/>
      <c r="E3" s="160"/>
      <c r="F3" s="160"/>
      <c r="G3" s="160"/>
      <c r="H3" s="160"/>
      <c r="I3" s="160"/>
    </row>
    <row r="5" spans="1:13" x14ac:dyDescent="0.25">
      <c r="B5" s="161" t="s">
        <v>48</v>
      </c>
      <c r="C5" s="161"/>
      <c r="D5" s="161"/>
      <c r="E5" s="162" t="s">
        <v>98</v>
      </c>
      <c r="F5" s="162"/>
      <c r="G5" s="162"/>
      <c r="H5" s="162"/>
      <c r="K5" t="e">
        <f>C12</f>
        <v>#N/A</v>
      </c>
      <c r="L5" t="e">
        <f>C13</f>
        <v>#N/A</v>
      </c>
      <c r="M5" t="e">
        <f>C14</f>
        <v>#N/A</v>
      </c>
    </row>
    <row r="6" spans="1:13" x14ac:dyDescent="0.25">
      <c r="B6" s="161"/>
      <c r="C6" s="161"/>
      <c r="D6" s="161"/>
      <c r="E6" s="162"/>
      <c r="F6" s="162"/>
      <c r="G6" s="162"/>
      <c r="H6" s="162"/>
      <c r="J6" s="79" t="s">
        <v>142</v>
      </c>
      <c r="K6" s="80"/>
      <c r="L6" s="80"/>
      <c r="M6" s="80"/>
    </row>
    <row r="8" spans="1:13" ht="15.75" thickBot="1" x14ac:dyDescent="0.3">
      <c r="A8" s="161" t="s">
        <v>163</v>
      </c>
      <c r="B8" s="161"/>
      <c r="C8" s="163" t="s">
        <v>108</v>
      </c>
      <c r="D8" s="163"/>
      <c r="E8" s="78"/>
    </row>
    <row r="9" spans="1:13" ht="15.75" thickTop="1" x14ac:dyDescent="0.25">
      <c r="A9" s="161"/>
      <c r="B9" s="161"/>
      <c r="C9" s="163"/>
      <c r="D9" s="163"/>
      <c r="E9" s="153" t="s">
        <v>137</v>
      </c>
      <c r="F9" s="154"/>
      <c r="G9" s="154"/>
      <c r="H9" s="155"/>
      <c r="I9" s="78"/>
    </row>
    <row r="10" spans="1:13" x14ac:dyDescent="0.25">
      <c r="E10" s="156"/>
      <c r="F10" s="157"/>
      <c r="G10" s="157"/>
      <c r="H10" s="158"/>
      <c r="I10" s="78"/>
    </row>
    <row r="11" spans="1:13" x14ac:dyDescent="0.25">
      <c r="C11" s="82" t="s">
        <v>107</v>
      </c>
      <c r="D11" s="83" t="s">
        <v>110</v>
      </c>
      <c r="E11" s="83" t="s">
        <v>111</v>
      </c>
      <c r="F11" s="83" t="s">
        <v>138</v>
      </c>
      <c r="G11" s="83" t="s">
        <v>139</v>
      </c>
      <c r="H11" s="83" t="s">
        <v>140</v>
      </c>
      <c r="I11" s="84" t="s">
        <v>141</v>
      </c>
    </row>
    <row r="12" spans="1:13" x14ac:dyDescent="0.25">
      <c r="C12" s="81" t="e">
        <f>VLOOKUP($C$8,Tableau6[#All],2,FALSE)</f>
        <v>#N/A</v>
      </c>
      <c r="D12" s="104"/>
      <c r="E12" s="105"/>
      <c r="F12" s="105"/>
      <c r="G12" s="105"/>
      <c r="H12" s="105"/>
      <c r="I12" s="105"/>
    </row>
    <row r="13" spans="1:13" x14ac:dyDescent="0.25">
      <c r="C13" s="81" t="e">
        <f>VLOOKUP($C$8,Tableau6[#All],3,FALSE)</f>
        <v>#N/A</v>
      </c>
      <c r="D13" s="105"/>
      <c r="E13" s="105"/>
      <c r="F13" s="105"/>
      <c r="G13" s="105"/>
      <c r="H13" s="105"/>
      <c r="I13" s="105"/>
    </row>
    <row r="14" spans="1:13" x14ac:dyDescent="0.25">
      <c r="C14" s="81" t="e">
        <f>VLOOKUP($C$8,Tableau6[#All],4,FALSE)</f>
        <v>#N/A</v>
      </c>
      <c r="D14" s="105"/>
      <c r="E14" s="105"/>
      <c r="F14" s="105"/>
      <c r="G14" s="105"/>
      <c r="H14" s="105"/>
      <c r="I14" s="105"/>
    </row>
    <row r="15" spans="1:13" x14ac:dyDescent="0.25">
      <c r="C15" s="102" t="s">
        <v>144</v>
      </c>
      <c r="D15" s="87">
        <f>SUBTOTAL(109,Tableau4[Ouvertures])</f>
        <v>0</v>
      </c>
      <c r="E15" s="87">
        <f>SUBTOTAL(109,Tableau4[Déblocages])</f>
        <v>0</v>
      </c>
      <c r="F15" s="85">
        <f>SUBTOTAL(109,Tableau4[Assurance 1 T])</f>
        <v>0</v>
      </c>
      <c r="G15" s="85">
        <f>SUBTOTAL(109,Tableau4[Assurance 2 T])</f>
        <v>0</v>
      </c>
      <c r="H15" s="85">
        <f>SUBTOTAL(109,Tableau4[Total Ventes])</f>
        <v>0</v>
      </c>
      <c r="I15" s="86"/>
    </row>
    <row r="17" spans="4:9" ht="15.75" thickBot="1" x14ac:dyDescent="0.3"/>
    <row r="18" spans="4:9" ht="15.75" customHeight="1" thickTop="1" x14ac:dyDescent="0.25">
      <c r="E18" s="153" t="s">
        <v>167</v>
      </c>
      <c r="F18" s="154"/>
      <c r="G18" s="154"/>
      <c r="H18" s="155"/>
    </row>
    <row r="19" spans="4:9" ht="15" customHeight="1" x14ac:dyDescent="0.25">
      <c r="E19" s="156"/>
      <c r="F19" s="157"/>
      <c r="G19" s="157"/>
      <c r="H19" s="158"/>
    </row>
    <row r="20" spans="4:9" x14ac:dyDescent="0.25">
      <c r="D20" s="90" t="s">
        <v>107</v>
      </c>
      <c r="E20" s="91" t="s">
        <v>116</v>
      </c>
      <c r="F20" s="91" t="s">
        <v>117</v>
      </c>
      <c r="G20" s="91" t="s">
        <v>118</v>
      </c>
      <c r="H20" s="91" t="s">
        <v>119</v>
      </c>
      <c r="I20" s="91" t="s">
        <v>120</v>
      </c>
    </row>
    <row r="21" spans="4:9" x14ac:dyDescent="0.25">
      <c r="D21" s="92" t="e">
        <f>VLOOKUP($C$8,Tableau6[#All],2,FALSE)</f>
        <v>#N/A</v>
      </c>
      <c r="E21" s="95"/>
      <c r="F21" s="95"/>
      <c r="G21" s="95"/>
      <c r="H21" s="95"/>
      <c r="I21" s="95"/>
    </row>
    <row r="22" spans="4:9" x14ac:dyDescent="0.25">
      <c r="D22" s="92" t="e">
        <f>VLOOKUP($C$8,Tableau6[#All],3,FALSE)</f>
        <v>#N/A</v>
      </c>
      <c r="E22" s="95"/>
      <c r="F22" s="95"/>
      <c r="G22" s="95"/>
      <c r="H22" s="95"/>
      <c r="I22" s="95"/>
    </row>
    <row r="23" spans="4:9" x14ac:dyDescent="0.25">
      <c r="D23" s="93" t="e">
        <f>VLOOKUP($C$8,Tableau6[#All],4,FALSE)</f>
        <v>#N/A</v>
      </c>
      <c r="E23" s="95"/>
      <c r="F23" s="96"/>
      <c r="G23" s="96"/>
      <c r="H23" s="96"/>
      <c r="I23" s="96"/>
    </row>
    <row r="24" spans="4:9" x14ac:dyDescent="0.25">
      <c r="D24" s="97" t="s">
        <v>144</v>
      </c>
      <c r="E24" s="94"/>
      <c r="F24" s="96"/>
      <c r="G24" s="96"/>
      <c r="H24" s="96"/>
      <c r="I24" s="96"/>
    </row>
  </sheetData>
  <mergeCells count="7">
    <mergeCell ref="E18:H19"/>
    <mergeCell ref="D2:I3"/>
    <mergeCell ref="B5:D6"/>
    <mergeCell ref="E5:H6"/>
    <mergeCell ref="E9:H10"/>
    <mergeCell ref="A8:B9"/>
    <mergeCell ref="C8:D9"/>
  </mergeCells>
  <dataValidations count="2">
    <dataValidation type="list" allowBlank="1" showInputMessage="1" showErrorMessage="1" sqref="E5:H6">
      <formula1>listecc</formula1>
    </dataValidation>
    <dataValidation type="list" allowBlank="1" showInputMessage="1" showErrorMessage="1" sqref="C8:D9">
      <formula1>ListeTrimestre</formula1>
    </dataValidation>
  </dataValidations>
  <pageMargins left="0.7" right="0.7" top="0.75" bottom="0.75" header="0.3" footer="0.3"/>
  <pageSetup paperSize="9" scale="58" orientation="landscape"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18"/>
  <sheetViews>
    <sheetView workbookViewId="0">
      <selection activeCell="B11" sqref="B11"/>
    </sheetView>
  </sheetViews>
  <sheetFormatPr baseColWidth="10" defaultRowHeight="15" x14ac:dyDescent="0.25"/>
  <sheetData>
    <row r="1" spans="1:6" x14ac:dyDescent="0.25">
      <c r="A1" t="s">
        <v>145</v>
      </c>
    </row>
    <row r="2" spans="1:6" x14ac:dyDescent="0.25">
      <c r="A2" s="89" t="s">
        <v>168</v>
      </c>
    </row>
    <row r="3" spans="1:6" x14ac:dyDescent="0.25">
      <c r="A3" s="89" t="s">
        <v>169</v>
      </c>
    </row>
    <row r="4" spans="1:6" x14ac:dyDescent="0.25">
      <c r="A4" s="89" t="s">
        <v>170</v>
      </c>
    </row>
    <row r="5" spans="1:6" x14ac:dyDescent="0.25">
      <c r="A5" s="88"/>
    </row>
    <row r="6" spans="1:6" x14ac:dyDescent="0.25">
      <c r="A6" s="89"/>
    </row>
    <row r="7" spans="1:6" x14ac:dyDescent="0.25">
      <c r="A7" s="89"/>
    </row>
    <row r="8" spans="1:6" x14ac:dyDescent="0.25">
      <c r="A8" s="89"/>
    </row>
    <row r="9" spans="1:6" x14ac:dyDescent="0.25">
      <c r="A9" s="89"/>
    </row>
    <row r="10" spans="1:6" x14ac:dyDescent="0.25">
      <c r="A10" s="89"/>
    </row>
    <row r="11" spans="1:6" x14ac:dyDescent="0.25">
      <c r="A11" s="106" t="s">
        <v>190</v>
      </c>
      <c r="B11" s="89" t="s">
        <v>146</v>
      </c>
      <c r="C11" s="89" t="s">
        <v>147</v>
      </c>
      <c r="D11" s="89" t="s">
        <v>148</v>
      </c>
      <c r="E11" s="89" t="s">
        <v>149</v>
      </c>
      <c r="F11" s="103" t="s">
        <v>150</v>
      </c>
    </row>
    <row r="12" spans="1:6" x14ac:dyDescent="0.25">
      <c r="A12" s="89" t="s">
        <v>151</v>
      </c>
      <c r="B12" s="89" t="s">
        <v>152</v>
      </c>
      <c r="C12" s="89" t="s">
        <v>153</v>
      </c>
      <c r="D12" s="89" t="s">
        <v>154</v>
      </c>
      <c r="E12" s="89" t="s">
        <v>155</v>
      </c>
      <c r="F12" s="103" t="s">
        <v>156</v>
      </c>
    </row>
    <row r="13" spans="1:6" x14ac:dyDescent="0.25">
      <c r="A13" s="89" t="s">
        <v>157</v>
      </c>
      <c r="B13" s="89" t="s">
        <v>158</v>
      </c>
      <c r="C13" s="89" t="s">
        <v>159</v>
      </c>
      <c r="D13" s="89" t="s">
        <v>160</v>
      </c>
      <c r="E13" s="89" t="s">
        <v>161</v>
      </c>
      <c r="F13" s="103" t="s">
        <v>162</v>
      </c>
    </row>
    <row r="14" spans="1:6" x14ac:dyDescent="0.25">
      <c r="A14" s="89"/>
    </row>
    <row r="15" spans="1:6" x14ac:dyDescent="0.25">
      <c r="A15" s="89"/>
    </row>
    <row r="16" spans="1:6" x14ac:dyDescent="0.25">
      <c r="A16" s="98" t="s">
        <v>171</v>
      </c>
      <c r="B16" s="98" t="s">
        <v>172</v>
      </c>
      <c r="C16" s="98" t="s">
        <v>173</v>
      </c>
      <c r="D16" s="98" t="s">
        <v>174</v>
      </c>
      <c r="E16" s="98" t="s">
        <v>175</v>
      </c>
    </row>
    <row r="17" spans="1:5" x14ac:dyDescent="0.25">
      <c r="A17" s="98" t="s">
        <v>176</v>
      </c>
      <c r="B17" s="98" t="s">
        <v>177</v>
      </c>
      <c r="C17" s="98" t="s">
        <v>178</v>
      </c>
      <c r="D17" s="98" t="s">
        <v>179</v>
      </c>
      <c r="E17" s="99" t="s">
        <v>180</v>
      </c>
    </row>
    <row r="18" spans="1:5" x14ac:dyDescent="0.25">
      <c r="A18" s="98" t="s">
        <v>181</v>
      </c>
      <c r="B18" s="100" t="s">
        <v>182</v>
      </c>
      <c r="C18" s="100" t="s">
        <v>183</v>
      </c>
      <c r="D18" s="100" t="s">
        <v>184</v>
      </c>
      <c r="E18" s="101" t="s">
        <v>185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N2"/>
  <sheetViews>
    <sheetView workbookViewId="0">
      <selection activeCell="B11" sqref="B11"/>
    </sheetView>
  </sheetViews>
  <sheetFormatPr baseColWidth="10" defaultRowHeight="15" x14ac:dyDescent="0.25"/>
  <cols>
    <col min="1" max="1" width="12.140625" customWidth="1"/>
    <col min="3" max="3" width="13.140625" customWidth="1"/>
    <col min="4" max="4" width="13.28515625" customWidth="1"/>
    <col min="7" max="7" width="14" customWidth="1"/>
    <col min="12" max="12" width="19" customWidth="1"/>
    <col min="13" max="13" width="14" customWidth="1"/>
    <col min="14" max="14" width="21.140625" customWidth="1"/>
  </cols>
  <sheetData>
    <row r="1" spans="1:14" x14ac:dyDescent="0.25">
      <c r="A1" s="107" t="s">
        <v>48</v>
      </c>
      <c r="B1" s="107" t="s">
        <v>107</v>
      </c>
      <c r="C1" s="107" t="s">
        <v>110</v>
      </c>
      <c r="D1" s="107" t="s">
        <v>111</v>
      </c>
      <c r="E1" s="107" t="s">
        <v>112</v>
      </c>
      <c r="F1" s="107" t="s">
        <v>113</v>
      </c>
      <c r="G1" s="107" t="s">
        <v>114</v>
      </c>
      <c r="H1" s="107" t="s">
        <v>115</v>
      </c>
      <c r="I1" s="107" t="s">
        <v>0</v>
      </c>
      <c r="J1" s="107" t="s">
        <v>116</v>
      </c>
      <c r="K1" s="107" t="s">
        <v>117</v>
      </c>
      <c r="L1" s="107" t="s">
        <v>118</v>
      </c>
      <c r="M1" s="107" t="s">
        <v>119</v>
      </c>
      <c r="N1" s="108" t="s">
        <v>120</v>
      </c>
    </row>
    <row r="2" spans="1:14" x14ac:dyDescent="0.25">
      <c r="A2" s="109" t="s">
        <v>98</v>
      </c>
      <c r="B2" s="110" t="s">
        <v>127</v>
      </c>
      <c r="C2" s="110">
        <v>1</v>
      </c>
      <c r="D2" s="110">
        <v>1</v>
      </c>
      <c r="E2" s="110">
        <v>1</v>
      </c>
      <c r="F2" s="110">
        <v>1</v>
      </c>
      <c r="G2" s="110">
        <v>5</v>
      </c>
      <c r="H2" s="110">
        <v>1</v>
      </c>
      <c r="I2" s="110">
        <v>1</v>
      </c>
      <c r="J2" s="110">
        <v>1</v>
      </c>
      <c r="K2" s="110">
        <v>1</v>
      </c>
      <c r="L2" s="110">
        <v>1</v>
      </c>
      <c r="M2" s="110">
        <v>1</v>
      </c>
      <c r="N2" s="111">
        <v>1</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0417" r:id="rId3" name="Button 1">
              <controlPr defaultSize="0" print="0" autoFill="0" autoPict="0" macro="[0]!créerrecap">
                <anchor moveWithCells="1" sizeWithCells="1">
                  <from>
                    <xdr:col>14</xdr:col>
                    <xdr:colOff>742950</xdr:colOff>
                    <xdr:row>4</xdr:row>
                    <xdr:rowOff>9525</xdr:rowOff>
                  </from>
                  <to>
                    <xdr:col>19</xdr:col>
                    <xdr:colOff>95250</xdr:colOff>
                    <xdr:row>8</xdr:row>
                    <xdr:rowOff>66675</xdr:rowOff>
                  </to>
                </anchor>
              </controlPr>
            </control>
          </mc:Choice>
        </mc:AlternateContent>
        <mc:AlternateContent xmlns:mc="http://schemas.openxmlformats.org/markup-compatibility/2006">
          <mc:Choice Requires="x14">
            <control shapeId="60418" r:id="rId4" name="Button 2">
              <controlPr defaultSize="0" print="0" autoFill="0" autoPict="0" macro="[0]!CreerpointCC1">
                <anchor moveWithCells="1" sizeWithCells="1">
                  <from>
                    <xdr:col>14</xdr:col>
                    <xdr:colOff>752475</xdr:colOff>
                    <xdr:row>10</xdr:row>
                    <xdr:rowOff>9525</xdr:rowOff>
                  </from>
                  <to>
                    <xdr:col>19</xdr:col>
                    <xdr:colOff>114300</xdr:colOff>
                    <xdr:row>14</xdr:row>
                    <xdr:rowOff>38100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C2:O24"/>
  <sheetViews>
    <sheetView tabSelected="1" topLeftCell="A2" workbookViewId="0">
      <selection activeCell="F12" sqref="F12"/>
    </sheetView>
  </sheetViews>
  <sheetFormatPr baseColWidth="10" defaultRowHeight="15" x14ac:dyDescent="0.25"/>
  <cols>
    <col min="4" max="5" width="12.85546875" bestFit="1" customWidth="1"/>
    <col min="6" max="6" width="13.140625" customWidth="1"/>
    <col min="7" max="7" width="13.28515625" customWidth="1"/>
    <col min="8" max="8" width="19" customWidth="1"/>
    <col min="9" max="9" width="17" bestFit="1" customWidth="1"/>
    <col min="10" max="10" width="21.140625" customWidth="1"/>
    <col min="11" max="11" width="19.140625" bestFit="1" customWidth="1"/>
    <col min="12" max="12" width="14.28515625" customWidth="1"/>
  </cols>
  <sheetData>
    <row r="2" spans="3:15" x14ac:dyDescent="0.25">
      <c r="F2" s="159" t="s">
        <v>136</v>
      </c>
      <c r="G2" s="160"/>
      <c r="H2" s="160"/>
      <c r="I2" s="160"/>
      <c r="J2" s="160"/>
      <c r="K2" s="160"/>
    </row>
    <row r="3" spans="3:15" x14ac:dyDescent="0.25">
      <c r="F3" s="160"/>
      <c r="G3" s="160"/>
      <c r="H3" s="160"/>
      <c r="I3" s="160"/>
      <c r="J3" s="160"/>
      <c r="K3" s="160"/>
    </row>
    <row r="5" spans="3:15" x14ac:dyDescent="0.25">
      <c r="D5" s="161" t="s">
        <v>48</v>
      </c>
      <c r="E5" s="161"/>
      <c r="F5" s="161"/>
      <c r="G5" s="162" t="s">
        <v>98</v>
      </c>
      <c r="H5" s="162"/>
      <c r="I5" s="162"/>
      <c r="J5" s="162"/>
      <c r="M5" t="str">
        <f>E12</f>
        <v>Décembre</v>
      </c>
      <c r="N5" t="str">
        <f>E13</f>
        <v>Janvier</v>
      </c>
      <c r="O5" t="str">
        <f>E14</f>
        <v>Février</v>
      </c>
    </row>
    <row r="6" spans="3:15" x14ac:dyDescent="0.25">
      <c r="D6" s="161"/>
      <c r="E6" s="161"/>
      <c r="F6" s="161"/>
      <c r="G6" s="162"/>
      <c r="H6" s="162"/>
      <c r="I6" s="162"/>
      <c r="J6" s="162"/>
      <c r="L6" s="79" t="s">
        <v>142</v>
      </c>
      <c r="M6" s="80" t="e">
        <f t="array" ref="M6">INDEX(Trimestre1[Tx obj],MATCH($G$5&amp;$M$5,Trimestre1[Conseiller]&amp;Trimestre1[Mois],0))</f>
        <v>#VALUE!</v>
      </c>
      <c r="N6" s="80"/>
      <c r="O6" s="80"/>
    </row>
    <row r="8" spans="3:15" ht="15.75" thickBot="1" x14ac:dyDescent="0.3">
      <c r="C8" s="161" t="s">
        <v>163</v>
      </c>
      <c r="D8" s="161"/>
      <c r="E8" s="163" t="s">
        <v>186</v>
      </c>
      <c r="F8" s="163"/>
      <c r="G8" s="78"/>
    </row>
    <row r="9" spans="3:15" ht="15.75" thickTop="1" x14ac:dyDescent="0.25">
      <c r="C9" s="161"/>
      <c r="D9" s="161"/>
      <c r="E9" s="163"/>
      <c r="F9" s="163"/>
      <c r="G9" s="153" t="s">
        <v>137</v>
      </c>
      <c r="H9" s="154"/>
      <c r="I9" s="154"/>
      <c r="J9" s="155"/>
      <c r="K9" s="78"/>
    </row>
    <row r="10" spans="3:15" x14ac:dyDescent="0.25">
      <c r="G10" s="156"/>
      <c r="H10" s="157"/>
      <c r="I10" s="157"/>
      <c r="J10" s="158"/>
      <c r="K10" s="78"/>
    </row>
    <row r="11" spans="3:15" x14ac:dyDescent="0.25">
      <c r="E11" s="82" t="s">
        <v>107</v>
      </c>
      <c r="F11" s="83" t="s">
        <v>110</v>
      </c>
      <c r="G11" s="83" t="s">
        <v>111</v>
      </c>
      <c r="H11" s="83" t="s">
        <v>138</v>
      </c>
      <c r="I11" s="83" t="s">
        <v>139</v>
      </c>
      <c r="J11" s="83" t="s">
        <v>140</v>
      </c>
      <c r="K11" s="84" t="s">
        <v>141</v>
      </c>
    </row>
    <row r="12" spans="3:15" x14ac:dyDescent="0.25">
      <c r="E12" s="81" t="str">
        <f>VLOOKUP($E$8,Tableau6[#All],2,FALSE)</f>
        <v>Décembre</v>
      </c>
      <c r="F12" s="164" t="e">
        <f t="array" ref="F12">INDEX(Trimestre1[Ouvertures],MATCH($G$5&amp;$E$12,Trimestre1[Conseiller]&amp;Trimestre1[Mois],0))</f>
        <v>#VALUE!</v>
      </c>
      <c r="G12" s="105"/>
      <c r="H12" s="105"/>
      <c r="I12" s="105"/>
      <c r="J12" s="105"/>
      <c r="K12" s="105"/>
    </row>
    <row r="13" spans="3:15" x14ac:dyDescent="0.25">
      <c r="E13" s="81" t="str">
        <f>VLOOKUP($E$8,Tableau6[#All],3,FALSE)</f>
        <v>Janvier</v>
      </c>
      <c r="F13" s="105" t="e">
        <f t="array" ref="F13">INDEX(Trimestre1[Ouvertures],MATCH($G$5&amp;$E$12,Trimestre1[Conseiller]&amp;Trimestre1[Mois],0))</f>
        <v>#VALUE!</v>
      </c>
      <c r="G13" s="105"/>
      <c r="H13" s="105"/>
      <c r="I13" s="105"/>
      <c r="J13" s="105"/>
      <c r="K13" s="105"/>
    </row>
    <row r="14" spans="3:15" x14ac:dyDescent="0.25">
      <c r="E14" s="81" t="str">
        <f>VLOOKUP($E$8,Tableau6[#All],4,FALSE)</f>
        <v>Février</v>
      </c>
      <c r="F14" s="105" t="e">
        <f t="array" ref="F14">INDEX(Trimestre1[Ouvertures],MATCH($G$5&amp;$E$12,Trimestre1[Conseiller]&amp;Trimestre1[Mois],0))</f>
        <v>#VALUE!</v>
      </c>
      <c r="G14" s="105"/>
      <c r="H14" s="105"/>
      <c r="I14" s="105"/>
      <c r="J14" s="105"/>
      <c r="K14" s="105"/>
    </row>
    <row r="15" spans="3:15" x14ac:dyDescent="0.25">
      <c r="E15" s="112" t="s">
        <v>144</v>
      </c>
      <c r="F15" s="87" t="e">
        <f>SUBTOTAL(109,Tableau415[Ouvertures])</f>
        <v>#VALUE!</v>
      </c>
      <c r="G15" s="87">
        <f>SUBTOTAL(109,Tableau415[Déblocages])</f>
        <v>0</v>
      </c>
      <c r="H15" s="85">
        <f>SUBTOTAL(109,Tableau415[Assurance 1 T])</f>
        <v>0</v>
      </c>
      <c r="I15" s="85">
        <f>SUBTOTAL(109,Tableau415[Assurance 2 T])</f>
        <v>0</v>
      </c>
      <c r="J15" s="85">
        <f>SUBTOTAL(109,Tableau415[Total Ventes])</f>
        <v>0</v>
      </c>
      <c r="K15" s="86"/>
    </row>
    <row r="17" spans="6:11" ht="15.75" thickBot="1" x14ac:dyDescent="0.3"/>
    <row r="18" spans="6:11" ht="15.75" customHeight="1" thickTop="1" x14ac:dyDescent="0.25">
      <c r="G18" s="153" t="s">
        <v>167</v>
      </c>
      <c r="H18" s="154"/>
      <c r="I18" s="154"/>
      <c r="J18" s="155"/>
    </row>
    <row r="19" spans="6:11" ht="15" customHeight="1" x14ac:dyDescent="0.25">
      <c r="G19" s="156"/>
      <c r="H19" s="157"/>
      <c r="I19" s="157"/>
      <c r="J19" s="158"/>
    </row>
    <row r="20" spans="6:11" x14ac:dyDescent="0.25">
      <c r="F20" s="90" t="s">
        <v>107</v>
      </c>
      <c r="G20" s="91" t="s">
        <v>116</v>
      </c>
      <c r="H20" s="91" t="s">
        <v>117</v>
      </c>
      <c r="I20" s="91" t="s">
        <v>118</v>
      </c>
      <c r="J20" s="91" t="s">
        <v>119</v>
      </c>
      <c r="K20" s="91" t="s">
        <v>120</v>
      </c>
    </row>
    <row r="21" spans="6:11" x14ac:dyDescent="0.25">
      <c r="F21" s="92" t="str">
        <f>VLOOKUP($E$8,Tableau6[#All],2,FALSE)</f>
        <v>Décembre</v>
      </c>
      <c r="G21" s="95" t="e">
        <f t="array" ref="G21">INDEX(Trimestre1[QRC],MATCH(G5&amp;Tableau716[[#This Row],[Mois]],Trimestre1[Conseiller]&amp;Trimestre1[Mois],0))</f>
        <v>#VALUE!</v>
      </c>
      <c r="H21" s="95"/>
      <c r="I21" s="95"/>
      <c r="J21" s="95"/>
      <c r="K21" s="95"/>
    </row>
    <row r="22" spans="6:11" x14ac:dyDescent="0.25">
      <c r="F22" s="92" t="str">
        <f>VLOOKUP($E$8,Tableau6[#All],3,FALSE)</f>
        <v>Janvier</v>
      </c>
      <c r="G22" s="95" t="e">
        <f t="array" ref="G22">INDEX(Trimestre1[QRC],MATCH(G6&amp;Tableau716[[#This Row],[Mois]],Trimestre1[Conseiller]&amp;Trimestre1[Mois],0))</f>
        <v>#VALUE!</v>
      </c>
      <c r="H22" s="95"/>
      <c r="I22" s="95"/>
      <c r="J22" s="95"/>
      <c r="K22" s="95"/>
    </row>
    <row r="23" spans="6:11" x14ac:dyDescent="0.25">
      <c r="F23" s="93" t="str">
        <f>VLOOKUP($E$8,Tableau6[#All],4,FALSE)</f>
        <v>Février</v>
      </c>
      <c r="G23" s="95" t="e">
        <f t="array" ref="G23">INDEX(Trimestre1[QRC],MATCH(G7&amp;Tableau716[[#This Row],[Mois]],Trimestre1[Conseiller]&amp;Trimestre1[Mois],0))</f>
        <v>#VALUE!</v>
      </c>
      <c r="H23" s="96"/>
      <c r="I23" s="96"/>
      <c r="J23" s="96"/>
      <c r="K23" s="96"/>
    </row>
    <row r="24" spans="6:11" x14ac:dyDescent="0.25">
      <c r="F24" s="97" t="s">
        <v>144</v>
      </c>
      <c r="G24" s="94"/>
      <c r="H24" s="96"/>
      <c r="I24" s="96"/>
      <c r="J24" s="96"/>
      <c r="K24" s="96"/>
    </row>
  </sheetData>
  <mergeCells count="7">
    <mergeCell ref="G18:J19"/>
    <mergeCell ref="F2:K3"/>
    <mergeCell ref="D5:F6"/>
    <mergeCell ref="G5:J6"/>
    <mergeCell ref="C8:D9"/>
    <mergeCell ref="E8:F9"/>
    <mergeCell ref="G9:J10"/>
  </mergeCells>
  <dataValidations count="2">
    <dataValidation type="list" allowBlank="1" showInputMessage="1" showErrorMessage="1" sqref="E8:F9">
      <formula1>ListeTrimestre</formula1>
    </dataValidation>
    <dataValidation type="list" allowBlank="1" showInputMessage="1" showErrorMessage="1" sqref="G5:J6">
      <formula1>listecc</formula1>
    </dataValidation>
  </dataValidations>
  <pageMargins left="0.7" right="0.7" top="0.75" bottom="0.75" header="0.3" footer="0.3"/>
  <pageSetup paperSize="9" scale="5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61441" r:id="rId4" name="Button 1">
              <controlPr defaultSize="0" print="0" autoFill="0" autoPict="0">
                <anchor moveWithCells="1" sizeWithCells="1">
                  <from>
                    <xdr:col>11</xdr:col>
                    <xdr:colOff>933450</xdr:colOff>
                    <xdr:row>10</xdr:row>
                    <xdr:rowOff>0</xdr:rowOff>
                  </from>
                  <to>
                    <xdr:col>15</xdr:col>
                    <xdr:colOff>28575</xdr:colOff>
                    <xdr:row>13</xdr:row>
                    <xdr:rowOff>28575</xdr:rowOff>
                  </to>
                </anchor>
              </controlPr>
            </control>
          </mc:Choice>
        </mc:AlternateContent>
      </controls>
    </mc:Choice>
  </mc:AlternateContent>
  <tableParts count="2">
    <tablePart r:id="rId5"/>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POINTS CC 2</vt:lpstr>
      <vt:lpstr>Période</vt:lpstr>
      <vt:lpstr>Liste tableaux</vt:lpstr>
      <vt:lpstr>Formules</vt:lpstr>
      <vt:lpstr>Trimestre1</vt:lpstr>
      <vt:lpstr>Point CC T1</vt:lpstr>
      <vt:lpstr>'Point CC T1'!Chiffres</vt:lpstr>
      <vt:lpstr>Chiffres</vt:lpstr>
      <vt:lpstr>'Point CC T1'!listecc</vt:lpstr>
      <vt:lpstr>listecc</vt:lpstr>
      <vt:lpstr>ListeTrimestre</vt:lpstr>
      <vt:lpstr>Mois</vt:lpstr>
      <vt:lpstr>'Point CC T1'!trim1</vt:lpstr>
      <vt:lpstr>trim1</vt:lpstr>
    </vt:vector>
  </TitlesOfParts>
  <Company>Euro Information client principal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ROUSSEAU Corinne</dc:creator>
  <cp:lastModifiedBy>GAILLARD Alexandre</cp:lastModifiedBy>
  <cp:lastPrinted>2016-01-04T20:54:08Z</cp:lastPrinted>
  <dcterms:created xsi:type="dcterms:W3CDTF">2015-10-01T09:28:18Z</dcterms:created>
  <dcterms:modified xsi:type="dcterms:W3CDTF">2016-01-07T12:59:30Z</dcterms:modified>
</cp:coreProperties>
</file>