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CAA036A0-2129-44B6-A181-912FB6212CBF}" xr6:coauthVersionLast="47" xr6:coauthVersionMax="47" xr10:uidLastSave="{00000000-0000-0000-0000-000000000000}"/>
  <bookViews>
    <workbookView xWindow="-120" yWindow="-120" windowWidth="24240" windowHeight="13140" tabRatio="899" xr2:uid="{00000000-000D-0000-FFFF-FFFF00000000}"/>
  </bookViews>
  <sheets>
    <sheet name="Cartographie - NIV0" sheetId="7" r:id="rId1"/>
    <sheet name="RACKS" sheetId="25" r:id="rId2"/>
  </sheets>
  <definedNames>
    <definedName name="base_article">#REF!</definedName>
    <definedName name="emplacement">#REF!</definedName>
    <definedName name="j">#REF!</definedName>
    <definedName name="Lyon">#REF!</definedName>
    <definedName name="Madrid">#REF!</definedName>
    <definedName name="pareto">RACKS!$A$2:$X$37</definedName>
    <definedName name="RACK_1">'Cartographie - NIV0'!$BT$24:$CQ$25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Q54" i="7" l="1"/>
  <c r="BQ53" i="7"/>
  <c r="BQ52" i="7"/>
  <c r="BQ51" i="7"/>
  <c r="BQ50" i="7"/>
  <c r="BQ49" i="7"/>
  <c r="BQ48" i="7"/>
  <c r="BQ47" i="7"/>
  <c r="BQ46" i="7"/>
  <c r="BQ45" i="7"/>
  <c r="BQ44" i="7"/>
  <c r="BQ43" i="7"/>
  <c r="BQ42" i="7"/>
  <c r="BQ41" i="7"/>
  <c r="BQ40" i="7"/>
  <c r="BQ39" i="7"/>
  <c r="BQ38" i="7"/>
  <c r="BQ37" i="7"/>
  <c r="BQ36" i="7"/>
  <c r="BQ35" i="7"/>
  <c r="BQ34" i="7"/>
  <c r="BQ33" i="7"/>
  <c r="BQ32" i="7"/>
  <c r="BQ31" i="7"/>
  <c r="BQ30" i="7"/>
  <c r="BQ29" i="7"/>
  <c r="BQ28" i="7"/>
  <c r="BQ27" i="7"/>
  <c r="BQ26" i="7"/>
  <c r="BQ25" i="7"/>
  <c r="BQ24" i="7"/>
  <c r="BQ23" i="7"/>
  <c r="BQ22" i="7"/>
  <c r="BQ21" i="7"/>
  <c r="BQ20" i="7"/>
  <c r="BQ19" i="7"/>
  <c r="BP54" i="7"/>
  <c r="BP53" i="7"/>
  <c r="BP52" i="7"/>
  <c r="BP51" i="7"/>
  <c r="BP50" i="7"/>
  <c r="BP49" i="7"/>
  <c r="BP48" i="7"/>
  <c r="BP47" i="7"/>
  <c r="BP46" i="7"/>
  <c r="BP45" i="7"/>
  <c r="BP44" i="7"/>
  <c r="BP43" i="7"/>
  <c r="BP42" i="7"/>
  <c r="BP41" i="7"/>
  <c r="BP40" i="7"/>
  <c r="BP39" i="7"/>
  <c r="BP38" i="7"/>
  <c r="BP37" i="7"/>
  <c r="BP36" i="7"/>
  <c r="BP35" i="7"/>
  <c r="BP34" i="7"/>
  <c r="BP33" i="7"/>
  <c r="BP32" i="7"/>
  <c r="BP31" i="7"/>
  <c r="BP30" i="7"/>
  <c r="BP29" i="7"/>
  <c r="BP28" i="7"/>
  <c r="BP27" i="7"/>
  <c r="BP26" i="7"/>
  <c r="BP25" i="7"/>
  <c r="BP24" i="7"/>
  <c r="BP23" i="7"/>
  <c r="BP22" i="7"/>
  <c r="BP21" i="7"/>
  <c r="BP20" i="7"/>
  <c r="BP19" i="7"/>
  <c r="BN54" i="7"/>
  <c r="BN53" i="7"/>
  <c r="BN52" i="7"/>
  <c r="BN51" i="7"/>
  <c r="BN50" i="7"/>
  <c r="BN49" i="7"/>
  <c r="BN48" i="7"/>
  <c r="BN47" i="7"/>
  <c r="BN46" i="7"/>
  <c r="BN45" i="7"/>
  <c r="BN44" i="7"/>
  <c r="BN43" i="7"/>
  <c r="BN42" i="7"/>
  <c r="BN41" i="7"/>
  <c r="BN40" i="7"/>
  <c r="BN39" i="7"/>
  <c r="BN38" i="7"/>
  <c r="BN37" i="7"/>
  <c r="BN36" i="7"/>
  <c r="BN35" i="7"/>
  <c r="BN34" i="7"/>
  <c r="BN33" i="7"/>
  <c r="BN32" i="7"/>
  <c r="BN31" i="7"/>
  <c r="BN30" i="7"/>
  <c r="BN29" i="7"/>
  <c r="BN28" i="7"/>
  <c r="BN27" i="7"/>
  <c r="BN26" i="7"/>
  <c r="BN24" i="7"/>
  <c r="BN21" i="7"/>
  <c r="BN20" i="7"/>
  <c r="BN19" i="7"/>
  <c r="BM54" i="7"/>
  <c r="BM53" i="7"/>
  <c r="BM52" i="7"/>
  <c r="BM51" i="7"/>
  <c r="BM50" i="7"/>
  <c r="BM49" i="7"/>
  <c r="BM48" i="7"/>
  <c r="BM46" i="7"/>
  <c r="BM45" i="7"/>
  <c r="BM44" i="7"/>
  <c r="BM43" i="7"/>
  <c r="BM42" i="7"/>
  <c r="BM41" i="7"/>
  <c r="BM40" i="7"/>
  <c r="BM39" i="7"/>
  <c r="BM38" i="7"/>
  <c r="BM37" i="7"/>
  <c r="BM36" i="7"/>
  <c r="BM35" i="7"/>
  <c r="BM34" i="7"/>
  <c r="BM33" i="7"/>
  <c r="BM32" i="7"/>
  <c r="BM31" i="7"/>
  <c r="BM30" i="7"/>
  <c r="BM29" i="7"/>
  <c r="BM28" i="7"/>
  <c r="BM27" i="7"/>
  <c r="BM26" i="7"/>
  <c r="BM25" i="7"/>
  <c r="BM24" i="7"/>
  <c r="BM23" i="7"/>
  <c r="BM22" i="7"/>
  <c r="BM21" i="7"/>
  <c r="BM20" i="7"/>
  <c r="BM19" i="7"/>
  <c r="BH54" i="7"/>
  <c r="BH53" i="7"/>
  <c r="BH52" i="7"/>
  <c r="BH51" i="7"/>
  <c r="BH50" i="7"/>
  <c r="BH49" i="7"/>
  <c r="BH48" i="7"/>
  <c r="BH47" i="7"/>
  <c r="BH46" i="7"/>
  <c r="BH45" i="7"/>
  <c r="BH44" i="7"/>
  <c r="BH43" i="7"/>
  <c r="BH42" i="7"/>
  <c r="BH41" i="7"/>
  <c r="BH40" i="7"/>
  <c r="BH39" i="7"/>
  <c r="BH38" i="7"/>
  <c r="BH37" i="7"/>
  <c r="BH36" i="7"/>
  <c r="BH35" i="7"/>
  <c r="BH34" i="7"/>
  <c r="BH33" i="7"/>
  <c r="BH32" i="7"/>
  <c r="BH31" i="7"/>
  <c r="BH30" i="7"/>
  <c r="BH29" i="7"/>
  <c r="BH28" i="7"/>
  <c r="BH27" i="7"/>
  <c r="BH26" i="7"/>
  <c r="BH25" i="7"/>
  <c r="BH24" i="7"/>
  <c r="BH23" i="7"/>
  <c r="BH22" i="7"/>
  <c r="BH21" i="7"/>
  <c r="BH20" i="7"/>
  <c r="BH19" i="7"/>
  <c r="BG54" i="7"/>
  <c r="BG53" i="7"/>
  <c r="BG52" i="7"/>
  <c r="BG51" i="7"/>
  <c r="BG50" i="7"/>
  <c r="BG49" i="7"/>
  <c r="BG48" i="7"/>
  <c r="BG47" i="7"/>
  <c r="BG46" i="7"/>
  <c r="BG45" i="7"/>
  <c r="BG44" i="7"/>
  <c r="BG43" i="7"/>
  <c r="BG42" i="7"/>
  <c r="BG41" i="7"/>
  <c r="BG40" i="7"/>
  <c r="BG39" i="7"/>
  <c r="BG38" i="7"/>
  <c r="BG37" i="7"/>
  <c r="BG36" i="7"/>
  <c r="BG35" i="7"/>
  <c r="BG34" i="7"/>
  <c r="BG33" i="7"/>
  <c r="BG32" i="7"/>
  <c r="BG31" i="7"/>
  <c r="BG30" i="7"/>
  <c r="BG29" i="7"/>
  <c r="BG28" i="7"/>
  <c r="BG27" i="7"/>
  <c r="BG26" i="7"/>
  <c r="BG25" i="7"/>
  <c r="BG24" i="7"/>
  <c r="BG23" i="7"/>
  <c r="BG22" i="7"/>
  <c r="BG21" i="7"/>
  <c r="BG20" i="7"/>
  <c r="BG19" i="7"/>
  <c r="BE54" i="7"/>
  <c r="BE53" i="7"/>
  <c r="BE52" i="7"/>
  <c r="BE51" i="7"/>
  <c r="BE50" i="7"/>
  <c r="BE49" i="7"/>
  <c r="BE48" i="7"/>
  <c r="BE47" i="7"/>
  <c r="BE46" i="7"/>
  <c r="BE45" i="7"/>
  <c r="BE44" i="7"/>
  <c r="BE43" i="7"/>
  <c r="BE42" i="7"/>
  <c r="BE41" i="7"/>
  <c r="BE40" i="7"/>
  <c r="BE39" i="7"/>
  <c r="BE38" i="7"/>
  <c r="BE37" i="7"/>
  <c r="BE36" i="7"/>
  <c r="BE35" i="7"/>
  <c r="BE34" i="7"/>
  <c r="BE33" i="7"/>
  <c r="BE32" i="7"/>
  <c r="BE31" i="7"/>
  <c r="BE30" i="7"/>
  <c r="BE29" i="7"/>
  <c r="BE28" i="7"/>
  <c r="BE27" i="7"/>
  <c r="BE26" i="7"/>
  <c r="BE25" i="7"/>
  <c r="BE24" i="7"/>
  <c r="BE23" i="7"/>
  <c r="BE22" i="7"/>
  <c r="BE21" i="7"/>
  <c r="BE20" i="7"/>
  <c r="BE19" i="7"/>
  <c r="BD54" i="7"/>
  <c r="BD53" i="7"/>
  <c r="BD52" i="7"/>
  <c r="BD51" i="7"/>
  <c r="BD50" i="7"/>
  <c r="BD49" i="7"/>
  <c r="BD48" i="7"/>
  <c r="BD47" i="7"/>
  <c r="BD46" i="7"/>
  <c r="BD45" i="7"/>
  <c r="BD44" i="7"/>
  <c r="BD43" i="7"/>
  <c r="BD42" i="7"/>
  <c r="BD41" i="7"/>
  <c r="BD40" i="7"/>
  <c r="BD39" i="7"/>
  <c r="BD38" i="7"/>
  <c r="BD37" i="7"/>
  <c r="BD36" i="7"/>
  <c r="BD35" i="7"/>
  <c r="BD34" i="7"/>
  <c r="BD33" i="7"/>
  <c r="BD32" i="7"/>
  <c r="BD31" i="7"/>
  <c r="BD30" i="7"/>
  <c r="BD29" i="7"/>
  <c r="BD28" i="7"/>
  <c r="BD27" i="7"/>
  <c r="BD26" i="7"/>
  <c r="BD25" i="7"/>
  <c r="BD24" i="7"/>
  <c r="BD23" i="7"/>
  <c r="BD22" i="7"/>
  <c r="BD21" i="7"/>
  <c r="BD20" i="7"/>
  <c r="BD19" i="7"/>
  <c r="BT24" i="7"/>
  <c r="Y37" i="25"/>
  <c r="X37" i="25"/>
  <c r="W37" i="25"/>
  <c r="W37" i="25" a="1"/>
  <c r="V37" i="25"/>
  <c r="U37" i="25"/>
  <c r="T37" i="25"/>
  <c r="P37" i="25"/>
  <c r="N37" i="25"/>
  <c r="L37" i="25"/>
  <c r="K37" i="25"/>
  <c r="J37" i="25"/>
  <c r="I37" i="25"/>
  <c r="H37" i="25"/>
  <c r="G37" i="25"/>
  <c r="F37" i="25"/>
  <c r="E37" i="25"/>
  <c r="D37" i="25"/>
  <c r="Y36" i="25"/>
  <c r="X36" i="25"/>
  <c r="W36" i="25" a="1"/>
  <c r="W36" i="25" s="1"/>
  <c r="V36" i="25"/>
  <c r="U36" i="25"/>
  <c r="T36" i="25"/>
  <c r="P36" i="25"/>
  <c r="N36" i="25"/>
  <c r="L36" i="25"/>
  <c r="K36" i="25"/>
  <c r="J36" i="25"/>
  <c r="I36" i="25"/>
  <c r="H36" i="25"/>
  <c r="G36" i="25"/>
  <c r="F36" i="25"/>
  <c r="E36" i="25"/>
  <c r="D36" i="25"/>
  <c r="Y35" i="25"/>
  <c r="X35" i="25"/>
  <c r="W35" i="25" a="1"/>
  <c r="W35" i="25" s="1"/>
  <c r="V35" i="25"/>
  <c r="U35" i="25"/>
  <c r="T35" i="25"/>
  <c r="P35" i="25"/>
  <c r="N35" i="25"/>
  <c r="L35" i="25"/>
  <c r="K35" i="25"/>
  <c r="J35" i="25"/>
  <c r="I35" i="25"/>
  <c r="H35" i="25"/>
  <c r="G35" i="25"/>
  <c r="F35" i="25"/>
  <c r="E35" i="25"/>
  <c r="D35" i="25"/>
  <c r="Y34" i="25"/>
  <c r="X34" i="25"/>
  <c r="W34" i="25" a="1"/>
  <c r="W34" i="25" s="1"/>
  <c r="V34" i="25"/>
  <c r="U34" i="25"/>
  <c r="T34" i="25"/>
  <c r="P34" i="25"/>
  <c r="N34" i="25"/>
  <c r="L34" i="25"/>
  <c r="K34" i="25"/>
  <c r="J34" i="25"/>
  <c r="I34" i="25"/>
  <c r="H34" i="25"/>
  <c r="G34" i="25"/>
  <c r="F34" i="25"/>
  <c r="E34" i="25"/>
  <c r="D34" i="25"/>
  <c r="Y33" i="25"/>
  <c r="X33" i="25"/>
  <c r="W33" i="25" a="1"/>
  <c r="W33" i="25" s="1"/>
  <c r="V33" i="25"/>
  <c r="U33" i="25"/>
  <c r="T33" i="25"/>
  <c r="P33" i="25"/>
  <c r="N33" i="25"/>
  <c r="L33" i="25"/>
  <c r="K33" i="25"/>
  <c r="J33" i="25"/>
  <c r="I33" i="25"/>
  <c r="H33" i="25"/>
  <c r="G33" i="25"/>
  <c r="F33" i="25"/>
  <c r="E33" i="25"/>
  <c r="D33" i="25"/>
  <c r="Y32" i="25"/>
  <c r="X32" i="25"/>
  <c r="W32" i="25" a="1"/>
  <c r="W32" i="25" s="1"/>
  <c r="V32" i="25"/>
  <c r="U32" i="25"/>
  <c r="T32" i="25"/>
  <c r="P32" i="25"/>
  <c r="N32" i="25"/>
  <c r="L32" i="25"/>
  <c r="K32" i="25"/>
  <c r="J32" i="25"/>
  <c r="I32" i="25"/>
  <c r="H32" i="25"/>
  <c r="G32" i="25"/>
  <c r="F32" i="25"/>
  <c r="E32" i="25"/>
  <c r="D32" i="25"/>
  <c r="Y31" i="25"/>
  <c r="X31" i="25"/>
  <c r="W31" i="25" a="1"/>
  <c r="W31" i="25" s="1"/>
  <c r="V31" i="25"/>
  <c r="U31" i="25"/>
  <c r="T31" i="25"/>
  <c r="P31" i="25"/>
  <c r="N31" i="25"/>
  <c r="L31" i="25"/>
  <c r="K31" i="25"/>
  <c r="J31" i="25"/>
  <c r="I31" i="25"/>
  <c r="H31" i="25"/>
  <c r="G31" i="25"/>
  <c r="F31" i="25"/>
  <c r="E31" i="25"/>
  <c r="D31" i="25"/>
  <c r="Y30" i="25"/>
  <c r="X30" i="25"/>
  <c r="W30" i="25" a="1"/>
  <c r="W30" i="25" s="1"/>
  <c r="V30" i="25"/>
  <c r="U30" i="25"/>
  <c r="T30" i="25"/>
  <c r="P30" i="25"/>
  <c r="N30" i="25"/>
  <c r="L30" i="25"/>
  <c r="K30" i="25"/>
  <c r="J30" i="25"/>
  <c r="I30" i="25"/>
  <c r="H30" i="25"/>
  <c r="G30" i="25"/>
  <c r="F30" i="25"/>
  <c r="E30" i="25"/>
  <c r="D30" i="25"/>
  <c r="Y29" i="25"/>
  <c r="X29" i="25"/>
  <c r="W29" i="25" a="1"/>
  <c r="W29" i="25" s="1"/>
  <c r="V29" i="25"/>
  <c r="U29" i="25"/>
  <c r="T29" i="25"/>
  <c r="P29" i="25"/>
  <c r="N29" i="25"/>
  <c r="L29" i="25"/>
  <c r="K29" i="25"/>
  <c r="J29" i="25"/>
  <c r="I29" i="25"/>
  <c r="H29" i="25"/>
  <c r="G29" i="25"/>
  <c r="F29" i="25"/>
  <c r="E29" i="25"/>
  <c r="D29" i="25"/>
  <c r="Y28" i="25"/>
  <c r="X28" i="25"/>
  <c r="W28" i="25" a="1"/>
  <c r="W28" i="25" s="1"/>
  <c r="V28" i="25"/>
  <c r="U28" i="25"/>
  <c r="T28" i="25"/>
  <c r="P28" i="25"/>
  <c r="N28" i="25"/>
  <c r="L28" i="25"/>
  <c r="K28" i="25"/>
  <c r="J28" i="25"/>
  <c r="I28" i="25"/>
  <c r="H28" i="25"/>
  <c r="G28" i="25"/>
  <c r="F28" i="25"/>
  <c r="E28" i="25"/>
  <c r="D28" i="25"/>
  <c r="Y27" i="25"/>
  <c r="X27" i="25"/>
  <c r="W27" i="25" a="1"/>
  <c r="W27" i="25" s="1"/>
  <c r="V27" i="25"/>
  <c r="U27" i="25"/>
  <c r="T27" i="25"/>
  <c r="P27" i="25"/>
  <c r="N27" i="25"/>
  <c r="L27" i="25"/>
  <c r="K27" i="25"/>
  <c r="J27" i="25"/>
  <c r="I27" i="25"/>
  <c r="H27" i="25"/>
  <c r="G27" i="25"/>
  <c r="F27" i="25"/>
  <c r="E27" i="25"/>
  <c r="D27" i="25"/>
  <c r="Y26" i="25"/>
  <c r="X26" i="25"/>
  <c r="W26" i="25" a="1"/>
  <c r="W26" i="25" s="1"/>
  <c r="V26" i="25"/>
  <c r="U26" i="25"/>
  <c r="T26" i="25"/>
  <c r="P26" i="25"/>
  <c r="N26" i="25"/>
  <c r="L26" i="25"/>
  <c r="K26" i="25"/>
  <c r="J26" i="25"/>
  <c r="I26" i="25"/>
  <c r="H26" i="25"/>
  <c r="G26" i="25"/>
  <c r="F26" i="25"/>
  <c r="E26" i="25"/>
  <c r="D26" i="25"/>
  <c r="Y25" i="25"/>
  <c r="X25" i="25"/>
  <c r="W25" i="25" a="1"/>
  <c r="W25" i="25" s="1"/>
  <c r="V25" i="25"/>
  <c r="U25" i="25"/>
  <c r="T25" i="25"/>
  <c r="P25" i="25"/>
  <c r="N25" i="25"/>
  <c r="L25" i="25"/>
  <c r="K25" i="25"/>
  <c r="J25" i="25"/>
  <c r="I25" i="25"/>
  <c r="H25" i="25"/>
  <c r="G25" i="25"/>
  <c r="F25" i="25"/>
  <c r="E25" i="25"/>
  <c r="D25" i="25"/>
  <c r="Y24" i="25"/>
  <c r="X24" i="25"/>
  <c r="W24" i="25" a="1"/>
  <c r="W24" i="25" s="1"/>
  <c r="V24" i="25"/>
  <c r="U24" i="25"/>
  <c r="T24" i="25"/>
  <c r="P24" i="25"/>
  <c r="N24" i="25"/>
  <c r="L24" i="25"/>
  <c r="K24" i="25"/>
  <c r="J24" i="25"/>
  <c r="I24" i="25"/>
  <c r="H24" i="25"/>
  <c r="G24" i="25"/>
  <c r="F24" i="25"/>
  <c r="E24" i="25"/>
  <c r="D24" i="25"/>
  <c r="Y23" i="25"/>
  <c r="X23" i="25"/>
  <c r="W23" i="25" a="1"/>
  <c r="W23" i="25" s="1"/>
  <c r="V23" i="25"/>
  <c r="U23" i="25"/>
  <c r="T23" i="25"/>
  <c r="P23" i="25"/>
  <c r="N23" i="25"/>
  <c r="L23" i="25"/>
  <c r="K23" i="25"/>
  <c r="J23" i="25"/>
  <c r="I23" i="25"/>
  <c r="H23" i="25"/>
  <c r="G23" i="25"/>
  <c r="F23" i="25"/>
  <c r="E23" i="25"/>
  <c r="D23" i="25"/>
  <c r="Y22" i="25"/>
  <c r="X22" i="25"/>
  <c r="W22" i="25" a="1"/>
  <c r="W22" i="25" s="1"/>
  <c r="V22" i="25"/>
  <c r="U22" i="25"/>
  <c r="T22" i="25"/>
  <c r="P22" i="25"/>
  <c r="N22" i="25"/>
  <c r="L22" i="25"/>
  <c r="K22" i="25"/>
  <c r="J22" i="25"/>
  <c r="I22" i="25"/>
  <c r="H22" i="25"/>
  <c r="G22" i="25"/>
  <c r="F22" i="25"/>
  <c r="E22" i="25"/>
  <c r="D22" i="25"/>
  <c r="Y21" i="25"/>
  <c r="X21" i="25"/>
  <c r="W21" i="25" a="1"/>
  <c r="W21" i="25" s="1"/>
  <c r="V21" i="25"/>
  <c r="U21" i="25"/>
  <c r="T21" i="25"/>
  <c r="P21" i="25"/>
  <c r="N21" i="25"/>
  <c r="L21" i="25"/>
  <c r="K21" i="25"/>
  <c r="J21" i="25"/>
  <c r="I21" i="25"/>
  <c r="H21" i="25"/>
  <c r="G21" i="25"/>
  <c r="F21" i="25"/>
  <c r="E21" i="25"/>
  <c r="D21" i="25"/>
  <c r="Y20" i="25"/>
  <c r="X20" i="25"/>
  <c r="W20" i="25" a="1"/>
  <c r="W20" i="25" s="1"/>
  <c r="V20" i="25"/>
  <c r="U20" i="25"/>
  <c r="T20" i="25"/>
  <c r="P20" i="25"/>
  <c r="N20" i="25"/>
  <c r="L20" i="25"/>
  <c r="K20" i="25"/>
  <c r="J20" i="25"/>
  <c r="I20" i="25"/>
  <c r="H20" i="25"/>
  <c r="G20" i="25"/>
  <c r="F20" i="25"/>
  <c r="E20" i="25"/>
  <c r="D20" i="25"/>
  <c r="Y19" i="25"/>
  <c r="X19" i="25"/>
  <c r="W19" i="25" a="1"/>
  <c r="W19" i="25" s="1"/>
  <c r="V19" i="25"/>
  <c r="U19" i="25"/>
  <c r="T19" i="25"/>
  <c r="P19" i="25"/>
  <c r="N19" i="25"/>
  <c r="L19" i="25"/>
  <c r="K19" i="25"/>
  <c r="J19" i="25"/>
  <c r="I19" i="25"/>
  <c r="H19" i="25"/>
  <c r="G19" i="25"/>
  <c r="F19" i="25"/>
  <c r="E19" i="25"/>
  <c r="D19" i="25"/>
  <c r="Y18" i="25"/>
  <c r="X18" i="25"/>
  <c r="W18" i="25" a="1"/>
  <c r="W18" i="25" s="1"/>
  <c r="V18" i="25"/>
  <c r="U18" i="25"/>
  <c r="T18" i="25"/>
  <c r="P18" i="25"/>
  <c r="N18" i="25"/>
  <c r="L18" i="25"/>
  <c r="K18" i="25"/>
  <c r="J18" i="25"/>
  <c r="I18" i="25"/>
  <c r="H18" i="25"/>
  <c r="G18" i="25"/>
  <c r="F18" i="25"/>
  <c r="E18" i="25"/>
  <c r="D18" i="25"/>
  <c r="Y17" i="25"/>
  <c r="X17" i="25"/>
  <c r="W17" i="25" a="1"/>
  <c r="W17" i="25" s="1"/>
  <c r="V17" i="25"/>
  <c r="U17" i="25"/>
  <c r="T17" i="25"/>
  <c r="P17" i="25"/>
  <c r="N17" i="25"/>
  <c r="L17" i="25"/>
  <c r="K17" i="25"/>
  <c r="J17" i="25"/>
  <c r="I17" i="25"/>
  <c r="H17" i="25"/>
  <c r="G17" i="25"/>
  <c r="F17" i="25"/>
  <c r="E17" i="25"/>
  <c r="D17" i="25"/>
  <c r="Y16" i="25"/>
  <c r="X16" i="25"/>
  <c r="W16" i="25" a="1"/>
  <c r="W16" i="25" s="1"/>
  <c r="V16" i="25"/>
  <c r="U16" i="25"/>
  <c r="T16" i="25"/>
  <c r="P16" i="25"/>
  <c r="N16" i="25"/>
  <c r="L16" i="25"/>
  <c r="K16" i="25"/>
  <c r="J16" i="25"/>
  <c r="I16" i="25"/>
  <c r="H16" i="25"/>
  <c r="G16" i="25"/>
  <c r="F16" i="25"/>
  <c r="E16" i="25"/>
  <c r="D16" i="25"/>
  <c r="Y15" i="25"/>
  <c r="X15" i="25"/>
  <c r="W15" i="25" a="1"/>
  <c r="W15" i="25" s="1"/>
  <c r="V15" i="25"/>
  <c r="U15" i="25"/>
  <c r="T15" i="25"/>
  <c r="P15" i="25"/>
  <c r="N15" i="25"/>
  <c r="L15" i="25"/>
  <c r="K15" i="25"/>
  <c r="J15" i="25"/>
  <c r="I15" i="25"/>
  <c r="H15" i="25"/>
  <c r="G15" i="25"/>
  <c r="F15" i="25"/>
  <c r="E15" i="25"/>
  <c r="D15" i="25"/>
  <c r="Y14" i="25"/>
  <c r="X14" i="25"/>
  <c r="W14" i="25" a="1"/>
  <c r="W14" i="25" s="1"/>
  <c r="V14" i="25"/>
  <c r="U14" i="25"/>
  <c r="T14" i="25"/>
  <c r="P14" i="25"/>
  <c r="N14" i="25"/>
  <c r="L14" i="25"/>
  <c r="K14" i="25"/>
  <c r="J14" i="25"/>
  <c r="I14" i="25"/>
  <c r="H14" i="25"/>
  <c r="G14" i="25"/>
  <c r="F14" i="25"/>
  <c r="E14" i="25"/>
  <c r="D14" i="25"/>
  <c r="Y13" i="25"/>
  <c r="X13" i="25"/>
  <c r="W13" i="25" a="1"/>
  <c r="W13" i="25" s="1"/>
  <c r="V13" i="25"/>
  <c r="U13" i="25"/>
  <c r="T13" i="25"/>
  <c r="P13" i="25"/>
  <c r="N13" i="25"/>
  <c r="L13" i="25"/>
  <c r="K13" i="25"/>
  <c r="J13" i="25"/>
  <c r="I13" i="25"/>
  <c r="H13" i="25"/>
  <c r="G13" i="25"/>
  <c r="F13" i="25"/>
  <c r="E13" i="25"/>
  <c r="D13" i="25"/>
  <c r="Y12" i="25"/>
  <c r="X12" i="25"/>
  <c r="W12" i="25" a="1"/>
  <c r="W12" i="25" s="1"/>
  <c r="V12" i="25"/>
  <c r="U12" i="25"/>
  <c r="T12" i="25"/>
  <c r="P12" i="25"/>
  <c r="N12" i="25"/>
  <c r="L12" i="25"/>
  <c r="K12" i="25"/>
  <c r="J12" i="25"/>
  <c r="I12" i="25"/>
  <c r="H12" i="25"/>
  <c r="G12" i="25"/>
  <c r="F12" i="25"/>
  <c r="E12" i="25"/>
  <c r="D12" i="25"/>
  <c r="Y11" i="25"/>
  <c r="X11" i="25"/>
  <c r="W11" i="25" a="1"/>
  <c r="W11" i="25" s="1"/>
  <c r="V11" i="25"/>
  <c r="U11" i="25"/>
  <c r="T11" i="25"/>
  <c r="P11" i="25"/>
  <c r="N11" i="25"/>
  <c r="L11" i="25"/>
  <c r="K11" i="25"/>
  <c r="J11" i="25"/>
  <c r="I11" i="25"/>
  <c r="H11" i="25"/>
  <c r="G11" i="25"/>
  <c r="F11" i="25"/>
  <c r="E11" i="25"/>
  <c r="D11" i="25"/>
  <c r="Y10" i="25"/>
  <c r="X10" i="25"/>
  <c r="W10" i="25" a="1"/>
  <c r="W10" i="25" s="1"/>
  <c r="V10" i="25"/>
  <c r="U10" i="25"/>
  <c r="T10" i="25"/>
  <c r="P10" i="25"/>
  <c r="N10" i="25"/>
  <c r="L10" i="25"/>
  <c r="K10" i="25"/>
  <c r="J10" i="25"/>
  <c r="I10" i="25"/>
  <c r="H10" i="25"/>
  <c r="G10" i="25"/>
  <c r="F10" i="25"/>
  <c r="E10" i="25"/>
  <c r="D10" i="25"/>
  <c r="Y9" i="25"/>
  <c r="X9" i="25"/>
  <c r="W9" i="25" a="1"/>
  <c r="W9" i="25" s="1"/>
  <c r="V9" i="25"/>
  <c r="U9" i="25"/>
  <c r="T9" i="25"/>
  <c r="P9" i="25"/>
  <c r="N9" i="25"/>
  <c r="L9" i="25"/>
  <c r="K9" i="25"/>
  <c r="J9" i="25"/>
  <c r="I9" i="25"/>
  <c r="H9" i="25"/>
  <c r="G9" i="25"/>
  <c r="F9" i="25"/>
  <c r="E9" i="25"/>
  <c r="D9" i="25"/>
  <c r="Y8" i="25"/>
  <c r="X8" i="25"/>
  <c r="W8" i="25" a="1"/>
  <c r="W8" i="25" s="1"/>
  <c r="V8" i="25"/>
  <c r="U8" i="25"/>
  <c r="T8" i="25"/>
  <c r="P8" i="25"/>
  <c r="N8" i="25"/>
  <c r="L8" i="25"/>
  <c r="K8" i="25"/>
  <c r="J8" i="25"/>
  <c r="I8" i="25"/>
  <c r="H8" i="25"/>
  <c r="G8" i="25"/>
  <c r="F8" i="25"/>
  <c r="E8" i="25"/>
  <c r="D8" i="25"/>
  <c r="Y7" i="25"/>
  <c r="X7" i="25"/>
  <c r="W7" i="25" a="1"/>
  <c r="W7" i="25" s="1"/>
  <c r="V7" i="25"/>
  <c r="U7" i="25"/>
  <c r="T7" i="25"/>
  <c r="P7" i="25"/>
  <c r="N7" i="25"/>
  <c r="L7" i="25"/>
  <c r="K7" i="25"/>
  <c r="J7" i="25"/>
  <c r="I7" i="25"/>
  <c r="H7" i="25"/>
  <c r="G7" i="25"/>
  <c r="F7" i="25"/>
  <c r="E7" i="25"/>
  <c r="D7" i="25"/>
  <c r="Y6" i="25"/>
  <c r="X6" i="25"/>
  <c r="W6" i="25" a="1"/>
  <c r="W6" i="25" s="1"/>
  <c r="V6" i="25"/>
  <c r="U6" i="25"/>
  <c r="T6" i="25"/>
  <c r="P6" i="25"/>
  <c r="N6" i="25"/>
  <c r="L6" i="25"/>
  <c r="K6" i="25"/>
  <c r="J6" i="25"/>
  <c r="I6" i="25"/>
  <c r="H6" i="25"/>
  <c r="G6" i="25"/>
  <c r="F6" i="25"/>
  <c r="E6" i="25"/>
  <c r="D6" i="25"/>
  <c r="Y5" i="25"/>
  <c r="X5" i="25"/>
  <c r="W5" i="25" a="1"/>
  <c r="W5" i="25" s="1"/>
  <c r="V5" i="25"/>
  <c r="U5" i="25"/>
  <c r="T5" i="25"/>
  <c r="P5" i="25"/>
  <c r="N5" i="25"/>
  <c r="L5" i="25"/>
  <c r="K5" i="25"/>
  <c r="J5" i="25"/>
  <c r="I5" i="25"/>
  <c r="H5" i="25"/>
  <c r="G5" i="25"/>
  <c r="F5" i="25"/>
  <c r="E5" i="25"/>
  <c r="D5" i="25"/>
  <c r="Y4" i="25"/>
  <c r="X4" i="25"/>
  <c r="W4" i="25" a="1"/>
  <c r="W4" i="25" s="1"/>
  <c r="V4" i="25"/>
  <c r="U4" i="25"/>
  <c r="T4" i="25"/>
  <c r="P4" i="25"/>
  <c r="N4" i="25"/>
  <c r="L4" i="25"/>
  <c r="K4" i="25"/>
  <c r="J4" i="25"/>
  <c r="I4" i="25"/>
  <c r="H4" i="25"/>
  <c r="G4" i="25"/>
  <c r="F4" i="25"/>
  <c r="E4" i="25"/>
  <c r="D4" i="25"/>
  <c r="Y3" i="25"/>
  <c r="X3" i="25"/>
  <c r="W3" i="25" a="1"/>
  <c r="W3" i="25" s="1"/>
  <c r="V3" i="25"/>
  <c r="U3" i="25"/>
  <c r="T3" i="25"/>
  <c r="P3" i="25"/>
  <c r="N3" i="25"/>
  <c r="L3" i="25"/>
  <c r="K3" i="25"/>
  <c r="J3" i="25"/>
  <c r="I3" i="25"/>
  <c r="H3" i="25"/>
  <c r="G3" i="25"/>
  <c r="F3" i="25"/>
  <c r="E3" i="25"/>
  <c r="D3" i="25"/>
  <c r="Y2" i="25"/>
  <c r="X2" i="25"/>
  <c r="W2" i="25" a="1"/>
  <c r="W2" i="25" s="1"/>
  <c r="V2" i="25"/>
  <c r="U2" i="25"/>
  <c r="T2" i="25"/>
  <c r="Q2" i="25"/>
  <c r="Q3" i="25" s="1"/>
  <c r="Q4" i="25" s="1"/>
  <c r="Q5" i="25" s="1"/>
  <c r="Q6" i="25" s="1"/>
  <c r="Q7" i="25" s="1"/>
  <c r="Q8" i="25" s="1"/>
  <c r="Q9" i="25" s="1"/>
  <c r="Q10" i="25" s="1"/>
  <c r="Q11" i="25" s="1"/>
  <c r="Q12" i="25" s="1"/>
  <c r="Q13" i="25" s="1"/>
  <c r="Q14" i="25" s="1"/>
  <c r="Q15" i="25" s="1"/>
  <c r="Q16" i="25" s="1"/>
  <c r="Q17" i="25" s="1"/>
  <c r="Q18" i="25" s="1"/>
  <c r="Q19" i="25" s="1"/>
  <c r="Q20" i="25" s="1"/>
  <c r="Q21" i="25" s="1"/>
  <c r="Q22" i="25" s="1"/>
  <c r="Q23" i="25" s="1"/>
  <c r="Q24" i="25" s="1"/>
  <c r="Q25" i="25" s="1"/>
  <c r="Q26" i="25" s="1"/>
  <c r="Q27" i="25" s="1"/>
  <c r="Q28" i="25" s="1"/>
  <c r="Q29" i="25" s="1"/>
  <c r="Q30" i="25" s="1"/>
  <c r="Q31" i="25" s="1"/>
  <c r="Q32" i="25" s="1"/>
  <c r="Q33" i="25" s="1"/>
  <c r="Q34" i="25" s="1"/>
  <c r="Q35" i="25" s="1"/>
  <c r="Q36" i="25" s="1"/>
  <c r="Q37" i="25" s="1"/>
  <c r="P2" i="25"/>
  <c r="O2" i="25"/>
  <c r="O3" i="25" s="1"/>
  <c r="O4" i="25" s="1"/>
  <c r="O5" i="25" s="1"/>
  <c r="O6" i="25" s="1"/>
  <c r="O7" i="25" s="1"/>
  <c r="O8" i="25" s="1"/>
  <c r="O9" i="25" s="1"/>
  <c r="O10" i="25" s="1"/>
  <c r="O11" i="25" s="1"/>
  <c r="O12" i="25" s="1"/>
  <c r="O13" i="25" s="1"/>
  <c r="O14" i="25" s="1"/>
  <c r="O15" i="25" s="1"/>
  <c r="O16" i="25" s="1"/>
  <c r="O17" i="25" s="1"/>
  <c r="O18" i="25" s="1"/>
  <c r="O19" i="25" s="1"/>
  <c r="O20" i="25" s="1"/>
  <c r="O21" i="25" s="1"/>
  <c r="O22" i="25" s="1"/>
  <c r="O23" i="25" s="1"/>
  <c r="O24" i="25" s="1"/>
  <c r="O25" i="25" s="1"/>
  <c r="O26" i="25" s="1"/>
  <c r="O27" i="25" s="1"/>
  <c r="O28" i="25" s="1"/>
  <c r="O29" i="25" s="1"/>
  <c r="O30" i="25" s="1"/>
  <c r="O31" i="25" s="1"/>
  <c r="O32" i="25" s="1"/>
  <c r="O33" i="25" s="1"/>
  <c r="O34" i="25" s="1"/>
  <c r="O35" i="25" s="1"/>
  <c r="O36" i="25" s="1"/>
  <c r="O37" i="25" s="1"/>
  <c r="N2" i="25"/>
  <c r="L2" i="25"/>
  <c r="K2" i="25"/>
  <c r="J2" i="25"/>
  <c r="I2" i="25"/>
  <c r="H2" i="25"/>
  <c r="G2" i="25"/>
  <c r="F2" i="25"/>
  <c r="E2" i="25"/>
  <c r="D2" i="25"/>
  <c r="CO110" i="7" l="1"/>
  <c r="CO112" i="7"/>
  <c r="CI96" i="7"/>
  <c r="CO71" i="7"/>
  <c r="CO79" i="7"/>
  <c r="CO87" i="7"/>
  <c r="CO95" i="7"/>
  <c r="CO103" i="7"/>
  <c r="CO111" i="7"/>
  <c r="CI81" i="7"/>
  <c r="CI89" i="7"/>
  <c r="CI97" i="7"/>
  <c r="CO72" i="7"/>
  <c r="CO80" i="7"/>
  <c r="CO88" i="7"/>
  <c r="CO96" i="7"/>
  <c r="CO104" i="7"/>
  <c r="CI90" i="7"/>
  <c r="CJ76" i="7"/>
  <c r="CN86" i="7"/>
  <c r="CO73" i="7"/>
  <c r="CO81" i="7"/>
  <c r="CO89" i="7"/>
  <c r="CO97" i="7"/>
  <c r="CO105" i="7"/>
  <c r="CO113" i="7"/>
  <c r="CI91" i="7"/>
  <c r="CO74" i="7"/>
  <c r="CO82" i="7"/>
  <c r="CO90" i="7"/>
  <c r="CO98" i="7"/>
  <c r="CO106" i="7"/>
  <c r="CO114" i="7"/>
  <c r="CI84" i="7"/>
  <c r="CO75" i="7"/>
  <c r="CO83" i="7"/>
  <c r="CO91" i="7"/>
  <c r="CO99" i="7"/>
  <c r="CO107" i="7"/>
  <c r="CO115" i="7"/>
  <c r="CI93" i="7"/>
  <c r="CJ95" i="7"/>
  <c r="CN73" i="7"/>
  <c r="CN89" i="7"/>
  <c r="CO76" i="7"/>
  <c r="CO84" i="7"/>
  <c r="CO92" i="7"/>
  <c r="CO100" i="7"/>
  <c r="CO108" i="7"/>
  <c r="CI78" i="7"/>
  <c r="CI86" i="7"/>
  <c r="CO77" i="7"/>
  <c r="CO85" i="7"/>
  <c r="CO93" i="7"/>
  <c r="CO101" i="7"/>
  <c r="CO109" i="7"/>
  <c r="CI79" i="7"/>
  <c r="CI87" i="7"/>
  <c r="CO78" i="7"/>
  <c r="CO86" i="7"/>
  <c r="CO94" i="7"/>
  <c r="CO102" i="7"/>
  <c r="FT28" i="7" l="1"/>
  <c r="GC28" i="7"/>
  <c r="GD49" i="7"/>
  <c r="FJ21" i="7"/>
  <c r="GC37" i="7"/>
  <c r="FE55" i="7"/>
  <c r="FJ30" i="7"/>
  <c r="FT50" i="7"/>
  <c r="GH19" i="7"/>
  <c r="FE64" i="7"/>
  <c r="FS35" i="7"/>
  <c r="FY35" i="7"/>
  <c r="GH29" i="7"/>
  <c r="FJ49" i="7"/>
  <c r="GC65" i="7"/>
  <c r="GH38" i="7"/>
  <c r="GD38" i="7"/>
  <c r="GC27" i="7"/>
  <c r="FD21" i="7"/>
  <c r="FI65" i="7"/>
  <c r="FN40" i="7"/>
  <c r="FE54" i="7"/>
  <c r="GC46" i="7"/>
  <c r="FY34" i="7"/>
  <c r="GH28" i="7"/>
  <c r="FJ48" i="7"/>
  <c r="GC64" i="7"/>
  <c r="GH37" i="7"/>
  <c r="FN21" i="7"/>
  <c r="GD37" i="7"/>
  <c r="GD47" i="7"/>
  <c r="FN49" i="7"/>
  <c r="FD50" i="7"/>
  <c r="FI26" i="7"/>
  <c r="GH36" i="7"/>
  <c r="GD27" i="7"/>
  <c r="GD36" i="7"/>
  <c r="GH55" i="7"/>
  <c r="GH64" i="7"/>
  <c r="GC34" i="7"/>
  <c r="FE61" i="7"/>
  <c r="FN57" i="7"/>
  <c r="FT57" i="7"/>
  <c r="FD49" i="7"/>
  <c r="FO21" i="7"/>
  <c r="FX21" i="7"/>
  <c r="GC62" i="7"/>
  <c r="FX30" i="7"/>
  <c r="FY51" i="7"/>
  <c r="GD26" i="7"/>
  <c r="GH44" i="7"/>
  <c r="FI43" i="7"/>
  <c r="GD35" i="7"/>
  <c r="GH54" i="7"/>
  <c r="FX49" i="7"/>
  <c r="GD44" i="7"/>
  <c r="GH63" i="7"/>
  <c r="FT34" i="7"/>
  <c r="GC33" i="7"/>
  <c r="FJ26" i="7"/>
  <c r="FT46" i="7"/>
  <c r="FY22" i="7"/>
  <c r="FD37" i="7"/>
  <c r="FE60" i="7"/>
  <c r="FY31" i="7"/>
  <c r="GH25" i="7"/>
  <c r="FT55" i="7"/>
  <c r="GC51" i="7"/>
  <c r="GC60" i="7"/>
  <c r="GH41" i="7"/>
  <c r="GH34" i="7"/>
  <c r="GH43" i="7"/>
  <c r="GD34" i="7"/>
  <c r="GH53" i="7"/>
  <c r="FN27" i="7"/>
  <c r="FX48" i="7"/>
  <c r="GC23" i="7"/>
  <c r="GD43" i="7"/>
  <c r="GH62" i="7"/>
  <c r="GD53" i="7"/>
  <c r="FS21" i="7"/>
  <c r="FY21" i="7"/>
  <c r="FJ34" i="7"/>
  <c r="GH24" i="7"/>
  <c r="FS39" i="7"/>
  <c r="GH32" i="7"/>
  <c r="GD23" i="7"/>
  <c r="GD24" i="7"/>
  <c r="GH42" i="7"/>
  <c r="FE21" i="7"/>
  <c r="FY58" i="7"/>
  <c r="GD33" i="7"/>
  <c r="GH52" i="7"/>
  <c r="GC22" i="7"/>
  <c r="GD42" i="7"/>
  <c r="GH61" i="7"/>
  <c r="FE58" i="7"/>
  <c r="GH23" i="7"/>
  <c r="GH50" i="7"/>
  <c r="GD32" i="7"/>
  <c r="GH51" i="7"/>
  <c r="FT21" i="7"/>
  <c r="GC21" i="7"/>
  <c r="GD41" i="7"/>
  <c r="FX55" i="7"/>
  <c r="GC30" i="7"/>
  <c r="GD51" i="7"/>
  <c r="FN43" i="7"/>
  <c r="FO64" i="7"/>
  <c r="FD34" i="7"/>
  <c r="FS28" i="7"/>
  <c r="FY28" i="7"/>
  <c r="GC49" i="7"/>
  <c r="GH22" i="7"/>
  <c r="FI21" i="7"/>
  <c r="FY37" i="7"/>
  <c r="GC58" i="7"/>
  <c r="GH31" i="7"/>
  <c r="FD55" i="7"/>
  <c r="FY47" i="7"/>
  <c r="FS56" i="7"/>
  <c r="FX44" i="7"/>
  <c r="GD40" i="7"/>
  <c r="GH59" i="7"/>
  <c r="FT39" i="7"/>
  <c r="FD33" i="7"/>
  <c r="FS27" i="7"/>
  <c r="FY27" i="7"/>
  <c r="GH21" i="7"/>
  <c r="FN61" i="7"/>
  <c r="FT61" i="7"/>
  <c r="GC57" i="7"/>
  <c r="FD53" i="7"/>
  <c r="FX25" i="7"/>
  <c r="GD21" i="7"/>
  <c r="GH39" i="7"/>
  <c r="FX34" i="7"/>
  <c r="GD30" i="7"/>
  <c r="GH49" i="7"/>
  <c r="FS64" i="7"/>
  <c r="GD39" i="7"/>
  <c r="FS54" i="7"/>
  <c r="GH48" i="7"/>
  <c r="GH57" i="7"/>
  <c r="FX52" i="7"/>
  <c r="GD48" i="7"/>
  <c r="GC26" i="7"/>
  <c r="GH65" i="7"/>
  <c r="GC43" i="7"/>
  <c r="EZ24" i="7"/>
  <c r="EZ61" i="7"/>
  <c r="EZ21" i="7"/>
  <c r="EY58" i="7"/>
  <c r="EY21" i="7"/>
  <c r="EY40" i="7"/>
  <c r="EY24" i="7"/>
  <c r="EZ25" i="7"/>
  <c r="EZ43" i="7"/>
  <c r="EY31" i="7"/>
  <c r="EY38" i="7"/>
  <c r="EP57" i="7"/>
  <c r="EP24" i="7"/>
  <c r="ET61" i="7"/>
  <c r="ET53" i="7"/>
  <c r="EP31" i="7"/>
  <c r="ET60" i="7"/>
  <c r="EP25" i="7"/>
  <c r="EP30" i="7"/>
  <c r="EP22" i="7"/>
  <c r="EP37" i="7"/>
  <c r="EP29" i="7"/>
  <c r="EP21" i="7"/>
  <c r="ET41" i="7"/>
  <c r="ET33" i="7"/>
  <c r="ET62" i="7"/>
  <c r="ET21" i="7"/>
  <c r="EU65" i="7"/>
  <c r="EU40" i="7"/>
  <c r="EP61" i="7"/>
  <c r="EP36" i="7"/>
  <c r="EP28" i="7"/>
  <c r="ET65" i="7"/>
  <c r="ET32" i="7"/>
  <c r="EU21" i="7"/>
  <c r="EP60" i="7"/>
  <c r="EP52" i="7"/>
  <c r="EP35" i="7"/>
  <c r="EP27" i="7"/>
  <c r="ET64" i="7"/>
  <c r="ET39" i="7"/>
  <c r="EP33" i="7"/>
  <c r="EP59" i="7"/>
  <c r="EP51" i="7"/>
  <c r="EP34" i="7"/>
  <c r="ET63" i="7"/>
  <c r="EP58" i="7"/>
  <c r="FY85" i="7"/>
  <c r="FY102" i="7"/>
  <c r="FY110" i="7"/>
  <c r="GC105" i="7"/>
  <c r="GD77" i="7"/>
  <c r="GD102" i="7"/>
  <c r="GH73" i="7"/>
  <c r="GH98" i="7"/>
  <c r="GH114" i="7"/>
  <c r="FX74" i="7"/>
  <c r="FX90" i="7"/>
  <c r="FY86" i="7"/>
  <c r="FY111" i="7"/>
  <c r="GC81" i="7"/>
  <c r="GD78" i="7"/>
  <c r="GH107" i="7"/>
  <c r="GH115" i="7"/>
  <c r="BA53" i="7"/>
  <c r="FX75" i="7"/>
  <c r="FY79" i="7"/>
  <c r="FY87" i="7"/>
  <c r="GC99" i="7"/>
  <c r="GC107" i="7"/>
  <c r="GD79" i="7"/>
  <c r="GD96" i="7"/>
  <c r="GD104" i="7"/>
  <c r="GD112" i="7"/>
  <c r="GH75" i="7"/>
  <c r="GH83" i="7"/>
  <c r="GH91" i="7"/>
  <c r="GH100" i="7"/>
  <c r="GH108" i="7"/>
  <c r="BA46" i="7"/>
  <c r="BA54" i="7"/>
  <c r="FY80" i="7"/>
  <c r="GC100" i="7"/>
  <c r="GD80" i="7"/>
  <c r="GD88" i="7"/>
  <c r="GD113" i="7"/>
  <c r="GH92" i="7"/>
  <c r="GH109" i="7"/>
  <c r="FX93" i="7"/>
  <c r="FY81" i="7"/>
  <c r="FY98" i="7"/>
  <c r="GD98" i="7"/>
  <c r="GD114" i="7"/>
  <c r="GH77" i="7"/>
  <c r="GH102" i="7"/>
  <c r="GH110" i="7"/>
  <c r="FY74" i="7"/>
  <c r="FY82" i="7"/>
  <c r="FY99" i="7"/>
  <c r="GC77" i="7"/>
  <c r="GC102" i="7"/>
  <c r="GD99" i="7"/>
  <c r="GD107" i="7"/>
  <c r="GD115" i="7"/>
  <c r="GH111" i="7"/>
  <c r="BA41" i="7"/>
  <c r="FX87" i="7"/>
  <c r="FY83" i="7"/>
  <c r="FY108" i="7"/>
  <c r="GD76" i="7"/>
  <c r="GC78" i="7"/>
  <c r="GD74" i="7"/>
  <c r="GH71" i="7"/>
  <c r="GH79" i="7"/>
  <c r="GH96" i="7"/>
  <c r="GH104" i="7"/>
  <c r="FX80" i="7"/>
  <c r="FY76" i="7"/>
  <c r="FY84" i="7"/>
  <c r="GD84" i="7"/>
  <c r="GD109" i="7"/>
  <c r="GH72" i="7"/>
  <c r="GH113" i="7"/>
  <c r="CJ25" i="7"/>
  <c r="CL24" i="7"/>
  <c r="BP82" i="7" l="1"/>
  <c r="FT104" i="7" l="1"/>
  <c r="FN71" i="7"/>
  <c r="FS104" i="7"/>
  <c r="FT92" i="7"/>
  <c r="FO115" i="7"/>
  <c r="FO74" i="7"/>
  <c r="FN86" i="7"/>
  <c r="FN93" i="7"/>
  <c r="FN105" i="7"/>
  <c r="FS75" i="7"/>
  <c r="FO113" i="7"/>
  <c r="FO80" i="7"/>
  <c r="FN84" i="7"/>
  <c r="FT108" i="7"/>
  <c r="FS114" i="7"/>
  <c r="FN115" i="7"/>
  <c r="FT105" i="7"/>
  <c r="FT106" i="7"/>
  <c r="FO109" i="7"/>
  <c r="FN89" i="7"/>
  <c r="FN88" i="7"/>
  <c r="FJ84" i="7"/>
  <c r="EY115" i="7"/>
  <c r="ET115" i="7"/>
  <c r="ET99" i="7"/>
  <c r="FE75" i="7"/>
  <c r="EU102" i="7"/>
  <c r="ET114" i="7"/>
  <c r="ET98" i="7"/>
  <c r="FD81" i="7"/>
  <c r="EY105" i="7"/>
  <c r="ET113" i="7"/>
  <c r="ET105" i="7"/>
  <c r="FJ106" i="7"/>
  <c r="EY104" i="7"/>
  <c r="ET104" i="7"/>
  <c r="ET96" i="7"/>
  <c r="EP108" i="7"/>
  <c r="EP91" i="7"/>
  <c r="FJ97" i="7"/>
  <c r="FI83" i="7"/>
  <c r="EZ107" i="7"/>
  <c r="EZ99" i="7"/>
  <c r="EY78" i="7"/>
  <c r="EU99" i="7"/>
  <c r="ET111" i="7"/>
  <c r="ET103" i="7"/>
  <c r="ET94" i="7"/>
  <c r="EP90" i="7"/>
  <c r="EY77" i="7"/>
  <c r="ET102" i="7"/>
  <c r="ET93" i="7"/>
  <c r="EP114" i="7"/>
  <c r="EP106" i="7"/>
  <c r="EP89" i="7"/>
  <c r="FI81" i="7"/>
  <c r="ET101" i="7"/>
  <c r="ET92" i="7"/>
  <c r="EP105" i="7"/>
  <c r="FI114" i="7"/>
  <c r="EY83" i="7"/>
  <c r="ET75" i="7"/>
  <c r="EP104" i="7"/>
  <c r="CS105" i="7"/>
  <c r="CS97" i="7"/>
  <c r="CS89" i="7"/>
  <c r="CS81" i="7"/>
  <c r="CS112" i="7"/>
  <c r="CS104" i="7"/>
  <c r="CS96" i="7"/>
  <c r="CS88" i="7"/>
  <c r="CS80" i="7"/>
  <c r="CS111" i="7"/>
  <c r="CS103" i="7"/>
  <c r="CS95" i="7"/>
  <c r="CS87" i="7"/>
  <c r="CS79" i="7"/>
  <c r="CJ101" i="7"/>
  <c r="CS110" i="7"/>
  <c r="CS102" i="7"/>
  <c r="CS94" i="7"/>
  <c r="CS86" i="7"/>
  <c r="CS78" i="7"/>
  <c r="CS109" i="7"/>
  <c r="CS101" i="7"/>
  <c r="CS93" i="7"/>
  <c r="CS85" i="7"/>
  <c r="CS77" i="7"/>
  <c r="CS108" i="7"/>
  <c r="CS100" i="7"/>
  <c r="CS92" i="7"/>
  <c r="CS84" i="7"/>
  <c r="CS107" i="7"/>
  <c r="CS99" i="7"/>
  <c r="CS91" i="7"/>
  <c r="CS83" i="7"/>
  <c r="CS106" i="7"/>
  <c r="CS98" i="7"/>
  <c r="CS90" i="7"/>
  <c r="CS82" i="7"/>
  <c r="CJ109" i="7"/>
  <c r="CJ105" i="7"/>
  <c r="CI110" i="7"/>
  <c r="CE111" i="7"/>
  <c r="CE74" i="7"/>
  <c r="CD107" i="7"/>
  <c r="CD99" i="7"/>
  <c r="CD90" i="7"/>
  <c r="CD86" i="7"/>
  <c r="CD78" i="7"/>
  <c r="CD74" i="7"/>
  <c r="BZ111" i="7"/>
  <c r="BZ107" i="7"/>
  <c r="BZ103" i="7"/>
  <c r="BZ99" i="7"/>
  <c r="BZ95" i="7"/>
  <c r="BZ90" i="7"/>
  <c r="BZ86" i="7"/>
  <c r="BZ78" i="7"/>
  <c r="BY107" i="7"/>
  <c r="CJ115" i="7"/>
  <c r="CJ111" i="7"/>
  <c r="CJ107" i="7"/>
  <c r="CJ103" i="7"/>
  <c r="CI104" i="7"/>
  <c r="CE100" i="7"/>
  <c r="CE96" i="7"/>
  <c r="CE81" i="7"/>
  <c r="CD113" i="7"/>
  <c r="CD105" i="7"/>
  <c r="CD101" i="7"/>
  <c r="CD93" i="7"/>
  <c r="CD80" i="7"/>
  <c r="CD76" i="7"/>
  <c r="CD72" i="7"/>
  <c r="BZ113" i="7"/>
  <c r="BZ109" i="7"/>
  <c r="BZ105" i="7"/>
  <c r="BZ101" i="7"/>
  <c r="BZ93" i="7"/>
  <c r="BZ84" i="7"/>
  <c r="BZ80" i="7"/>
  <c r="BY109" i="7"/>
  <c r="CE95" i="7"/>
  <c r="CD104" i="7"/>
  <c r="CD91" i="7"/>
  <c r="CD87" i="7"/>
  <c r="CD75" i="7"/>
  <c r="CD71" i="7"/>
  <c r="BZ112" i="7"/>
  <c r="BZ108" i="7"/>
  <c r="BZ104" i="7"/>
  <c r="BZ83" i="7"/>
  <c r="BZ79" i="7"/>
  <c r="BY96" i="7"/>
  <c r="BY87" i="7"/>
  <c r="CJ112" i="7"/>
  <c r="BZ106" i="7"/>
  <c r="BZ89" i="7"/>
  <c r="BY90" i="7"/>
  <c r="BY85" i="7"/>
  <c r="BU108" i="7"/>
  <c r="BU96" i="7"/>
  <c r="BU91" i="7"/>
  <c r="BU87" i="7"/>
  <c r="BU71" i="7"/>
  <c r="BT112" i="7"/>
  <c r="BT100" i="7"/>
  <c r="BT96" i="7"/>
  <c r="BT87" i="7"/>
  <c r="BT75" i="7"/>
  <c r="BT71" i="7"/>
  <c r="BP108" i="7"/>
  <c r="BP104" i="7"/>
  <c r="BO97" i="7"/>
  <c r="BO78" i="7"/>
  <c r="BK85" i="7"/>
  <c r="BK77" i="7"/>
  <c r="CJ104" i="7"/>
  <c r="CD102" i="7"/>
  <c r="CD85" i="7"/>
  <c r="BZ114" i="7"/>
  <c r="BZ98" i="7"/>
  <c r="BY99" i="7"/>
  <c r="BU110" i="7"/>
  <c r="BU98" i="7"/>
  <c r="BU89" i="7"/>
  <c r="BU77" i="7"/>
  <c r="BU73" i="7"/>
  <c r="BT110" i="7"/>
  <c r="BT81" i="7"/>
  <c r="BP114" i="7"/>
  <c r="BP98" i="7"/>
  <c r="BO80" i="7"/>
  <c r="BK96" i="7"/>
  <c r="CD114" i="7"/>
  <c r="CD98" i="7"/>
  <c r="CD81" i="7"/>
  <c r="BZ110" i="7"/>
  <c r="BZ94" i="7"/>
  <c r="BY98" i="7"/>
  <c r="BY93" i="7"/>
  <c r="BY76" i="7"/>
  <c r="BY72" i="7"/>
  <c r="BU101" i="7"/>
  <c r="BU80" i="7"/>
  <c r="BT93" i="7"/>
  <c r="BT84" i="7"/>
  <c r="BT80" i="7"/>
  <c r="BT72" i="7"/>
  <c r="BP105" i="7"/>
  <c r="BP93" i="7"/>
  <c r="BP87" i="7"/>
  <c r="BO87" i="7"/>
  <c r="BO83" i="7"/>
  <c r="BK78" i="7"/>
  <c r="BF114" i="7"/>
  <c r="BF111" i="7"/>
  <c r="CD89" i="7"/>
  <c r="BY84" i="7"/>
  <c r="BU95" i="7"/>
  <c r="BU78" i="7"/>
  <c r="BT90" i="7"/>
  <c r="BT74" i="7"/>
  <c r="BP86" i="7"/>
  <c r="BF113" i="7"/>
  <c r="CD73" i="7"/>
  <c r="BU107" i="7"/>
  <c r="BU90" i="7"/>
  <c r="BP99" i="7"/>
  <c r="BK84" i="7"/>
  <c r="BF112" i="7"/>
  <c r="BZ102" i="7"/>
  <c r="BU86" i="7"/>
  <c r="BE114" i="7"/>
  <c r="BU99" i="7"/>
  <c r="BU82" i="7"/>
  <c r="BT95" i="7"/>
  <c r="BP107" i="7"/>
  <c r="BO81" i="7"/>
  <c r="BF115" i="7"/>
  <c r="CH24" i="7" l="1"/>
  <c r="BZ96" i="7" l="1"/>
  <c r="BZ87" i="7" l="1"/>
  <c r="CD110" i="7" l="1"/>
  <c r="CD111" i="7" l="1"/>
  <c r="GH94" i="7" l="1"/>
  <c r="GD110" i="7" l="1"/>
  <c r="FT56" i="7" l="1"/>
  <c r="GH30" i="7" l="1"/>
  <c r="GD101" i="7" l="1"/>
  <c r="FD82" i="7" l="1"/>
  <c r="CB29" i="7" l="1"/>
  <c r="CB54" i="7" l="1"/>
  <c r="FD104" i="7" l="1"/>
  <c r="CG54" i="7" l="1"/>
  <c r="EP115" i="7" l="1"/>
  <c r="EP80" i="7" l="1"/>
  <c r="CB25" i="7" l="1"/>
  <c r="CD24" i="7" l="1"/>
  <c r="BZ35" i="7" l="1"/>
  <c r="CE24" i="7" l="1"/>
  <c r="EP88" i="7" l="1"/>
  <c r="CA54" i="7" l="1"/>
  <c r="BY44" i="7"/>
  <c r="BA51" i="7" l="1"/>
  <c r="FE35" i="7" l="1"/>
  <c r="EU83" i="7"/>
  <c r="CJ24" i="7" l="1"/>
  <c r="CK24" i="7" l="1"/>
  <c r="CB50" i="7" l="1"/>
  <c r="FE115" i="7" l="1"/>
  <c r="CI113" i="7" l="1"/>
  <c r="CE112" i="7" l="1"/>
  <c r="EY35" i="7" l="1"/>
  <c r="CL25" i="7" l="1"/>
  <c r="EP100" i="7" l="1"/>
  <c r="FX46" i="7" l="1"/>
  <c r="EP79" i="7"/>
  <c r="ET40" i="7" l="1"/>
  <c r="BX25" i="7" l="1"/>
  <c r="FJ111" i="7"/>
  <c r="BZ24" i="7" l="1"/>
  <c r="BU93" i="7"/>
  <c r="CA44" i="7" l="1"/>
  <c r="FN36" i="7" l="1"/>
  <c r="EU111" i="7" l="1"/>
  <c r="BU25" i="7" l="1"/>
  <c r="FY65" i="7" l="1"/>
  <c r="CP24" i="7" l="1"/>
  <c r="CB44" i="7" l="1"/>
  <c r="CA24" i="7" l="1"/>
  <c r="CB24" i="7" l="1"/>
  <c r="CC24" i="7" l="1"/>
  <c r="FY54" i="7" l="1"/>
  <c r="BZ100" i="7" l="1"/>
  <c r="BZ85" i="7" l="1"/>
  <c r="BY108" i="7" l="1"/>
  <c r="CE49" i="7" l="1"/>
  <c r="FS57" i="7" l="1"/>
  <c r="CK29" i="7" l="1"/>
  <c r="CJ29" i="7" l="1"/>
  <c r="BA27" i="7" l="1"/>
  <c r="CO44" i="7" l="1"/>
  <c r="ET106" i="7" l="1"/>
  <c r="CE99" i="7" l="1"/>
  <c r="EP97" i="7" l="1"/>
  <c r="EZ36" i="7" l="1"/>
  <c r="CM25" i="7" l="1"/>
  <c r="CJ45" i="7" l="1"/>
  <c r="FO76" i="7" l="1"/>
  <c r="CO24" i="7" l="1"/>
  <c r="BZ49" i="7" l="1"/>
  <c r="EP77" i="7" l="1"/>
  <c r="FT103" i="7" l="1"/>
  <c r="EP99" i="7" l="1"/>
  <c r="FI64" i="7" l="1"/>
  <c r="EP101" i="7" l="1"/>
  <c r="CE86" i="7" l="1"/>
  <c r="ET77" i="7" l="1"/>
  <c r="ET79" i="7" l="1"/>
  <c r="ET25" i="7" l="1"/>
  <c r="CG45" i="7" l="1"/>
  <c r="CK25" i="7" l="1"/>
  <c r="EP111" i="7" l="1"/>
  <c r="CH50" i="7" l="1"/>
  <c r="BZ115" i="7" l="1"/>
  <c r="BT34" i="7" l="1"/>
  <c r="FI56" i="7" l="1"/>
  <c r="BT49" i="7" l="1"/>
  <c r="FY88" i="7" l="1"/>
  <c r="CN24" i="7" l="1"/>
  <c r="CE84" i="7" l="1"/>
  <c r="BV34" i="7" l="1"/>
  <c r="EP96" i="7" l="1"/>
  <c r="BY97" i="7" l="1"/>
  <c r="EP98" i="7" l="1"/>
  <c r="CM24" i="7" l="1"/>
  <c r="CF25" i="7" l="1"/>
  <c r="BP75" i="7" l="1"/>
  <c r="EP102" i="7" l="1"/>
  <c r="CE25" i="7" l="1"/>
  <c r="BZ40" i="7" l="1"/>
  <c r="GC79" i="7" l="1"/>
  <c r="BV30" i="7" l="1"/>
  <c r="CF24" i="7" l="1"/>
  <c r="CK44" i="7" l="1"/>
  <c r="FS43" i="7" l="1"/>
  <c r="EP82" i="7" l="1"/>
  <c r="CG24" i="7" l="1"/>
  <c r="FS93" i="7" l="1"/>
  <c r="CH35" i="7" l="1"/>
  <c r="CJ44" i="7" l="1"/>
  <c r="CH54" i="7" l="1"/>
  <c r="EP78" i="7" l="1"/>
  <c r="GC47" i="7" l="1"/>
  <c r="CG25" i="7" l="1"/>
  <c r="EZ114" i="7" l="1"/>
  <c r="CK39" i="7" l="1"/>
  <c r="BO74" i="7" l="1"/>
  <c r="BY50" i="7" l="1"/>
  <c r="CA25" i="7" l="1"/>
  <c r="CH39" i="7" l="1"/>
  <c r="GC24" i="7" l="1"/>
  <c r="CL34" i="7" l="1"/>
  <c r="BV39" i="7" l="1"/>
  <c r="FO37" i="7" l="1"/>
  <c r="EP113" i="7" l="1"/>
  <c r="BX30" i="7" l="1"/>
  <c r="BY25" i="7" l="1"/>
  <c r="EP95" i="7" l="1"/>
  <c r="CA30" i="7" l="1"/>
  <c r="CC45" i="7" l="1"/>
  <c r="CG40" i="7" l="1"/>
  <c r="GC108" i="7" l="1"/>
  <c r="CE34" i="7" l="1"/>
  <c r="CI30" i="7" l="1"/>
  <c r="FO27" i="7" l="1"/>
  <c r="BU111" i="7" l="1"/>
  <c r="ET87" i="7" l="1"/>
  <c r="ET90" i="7"/>
  <c r="EP50" i="7" l="1"/>
  <c r="CO54" i="7" l="1"/>
  <c r="BV29" i="7" l="1"/>
  <c r="BV24" i="7" l="1"/>
  <c r="EZ91" i="7" l="1"/>
  <c r="BZ29" i="7" l="1"/>
  <c r="ET55" i="7" l="1"/>
  <c r="CD115" i="7" l="1"/>
  <c r="CF34" i="7" l="1"/>
  <c r="BT35" i="7" l="1"/>
  <c r="CH29" i="7" l="1"/>
  <c r="BW29" i="7" l="1"/>
  <c r="CE88" i="7" l="1"/>
  <c r="FY75" i="7" l="1"/>
  <c r="BA49" i="7" l="1"/>
  <c r="CP44" i="7" l="1"/>
  <c r="BY88" i="7" l="1"/>
  <c r="FO44" i="7" l="1"/>
  <c r="EP75" i="7" l="1"/>
  <c r="FY49" i="7" l="1"/>
  <c r="CE29" i="7" l="1"/>
  <c r="CE39" i="7"/>
  <c r="EP87" i="7" l="1"/>
  <c r="CE98" i="7" l="1"/>
  <c r="BX34" i="7" l="1"/>
  <c r="BX40" i="7" l="1"/>
  <c r="CD30" i="7" l="1"/>
  <c r="EY44" i="7" l="1"/>
  <c r="FI76" i="7" l="1"/>
  <c r="BA37" i="7" l="1"/>
  <c r="BT111" i="7" l="1"/>
  <c r="GD105" i="7" l="1"/>
  <c r="CH34" i="7" l="1"/>
  <c r="CJ106" i="7" l="1"/>
  <c r="FS107" i="7" l="1"/>
  <c r="EP84" i="7" l="1"/>
  <c r="BT82" i="7" l="1"/>
  <c r="EU54" i="7" l="1"/>
  <c r="CN45" i="7" l="1"/>
  <c r="FI33" i="7" l="1"/>
  <c r="BU24" i="7" l="1"/>
  <c r="ET83" i="7" l="1"/>
  <c r="EZ77" i="7" l="1"/>
  <c r="FT35" i="7" l="1"/>
  <c r="FO42" i="7" l="1"/>
  <c r="CE40" i="7" l="1"/>
  <c r="CI35" i="7" l="1"/>
  <c r="CJ35" i="7" l="1"/>
  <c r="BT115" i="7" l="1"/>
  <c r="FY101" i="7" l="1"/>
  <c r="EP73" i="7" l="1"/>
  <c r="ET109" i="7" l="1"/>
  <c r="CD77" i="7" l="1"/>
  <c r="CE80" i="7" l="1"/>
  <c r="FJ60" i="7" l="1"/>
  <c r="ET91" i="7" l="1"/>
  <c r="BP112" i="7" l="1"/>
  <c r="BZ72" i="7" l="1"/>
  <c r="FD24" i="7" l="1"/>
  <c r="BT44" i="7" l="1"/>
  <c r="EP83" i="7" l="1"/>
  <c r="CQ54" i="7" l="1"/>
  <c r="CM34" i="7" l="1"/>
  <c r="BW34" i="7" l="1"/>
  <c r="CN34" i="7" l="1"/>
  <c r="GC31" i="7" l="1"/>
  <c r="CK34" i="7" l="1"/>
  <c r="EP76" i="7" l="1"/>
  <c r="CD34" i="7" l="1"/>
  <c r="EP71" i="7" l="1"/>
  <c r="GH80" i="7" l="1"/>
  <c r="EP74" i="7" l="1"/>
  <c r="BO75" i="7" l="1"/>
  <c r="EP112" i="7" l="1"/>
  <c r="ET110" i="7" l="1"/>
  <c r="CK45" i="7" l="1"/>
  <c r="EP81" i="7" l="1"/>
  <c r="GC63" i="7" l="1"/>
  <c r="EP86" i="7" l="1"/>
  <c r="ET71" i="7" l="1"/>
  <c r="BW49" i="7" l="1"/>
  <c r="ET112" i="7" l="1"/>
  <c r="BT101" i="7" l="1"/>
  <c r="CL54" i="7" l="1"/>
  <c r="CQ35" i="7" l="1"/>
  <c r="FD71" i="7" l="1"/>
  <c r="GC61" i="7" l="1"/>
  <c r="CF39" i="7" l="1"/>
  <c r="EY55" i="7" l="1"/>
  <c r="GC53" i="7" l="1"/>
  <c r="CM45" i="7" l="1"/>
  <c r="BP78" i="7" l="1"/>
  <c r="FE85" i="7" l="1"/>
  <c r="CF44" i="7" l="1"/>
  <c r="EY79" i="7" l="1"/>
  <c r="CD94" i="7" l="1"/>
  <c r="CI40" i="7" l="1"/>
  <c r="EZ31" i="7" l="1"/>
  <c r="CO34" i="7" l="1"/>
  <c r="FD58" i="7" l="1"/>
  <c r="BX39" i="7" l="1"/>
  <c r="CF54" i="7" l="1"/>
  <c r="FD103" i="7" l="1"/>
  <c r="BO101" i="7" l="1"/>
  <c r="FI47" i="7" l="1"/>
  <c r="ET108" i="7" l="1"/>
  <c r="BY40" i="7" l="1"/>
  <c r="FN39" i="7" l="1"/>
  <c r="FE73" i="7" l="1"/>
  <c r="CG35" i="7" l="1"/>
  <c r="BU39" i="7" l="1"/>
  <c r="EY88" i="7" l="1"/>
  <c r="BX24" i="7" l="1"/>
  <c r="BO79" i="7" l="1"/>
  <c r="EZ73" i="7" l="1"/>
  <c r="CH30" i="7" l="1"/>
  <c r="FD86" i="7" l="1"/>
  <c r="FE46" i="7" l="1"/>
  <c r="FD64" i="7" l="1"/>
  <c r="EZ38" i="7" l="1"/>
  <c r="EZ42" i="7" l="1"/>
  <c r="EZ57" i="7" l="1"/>
  <c r="CF30" i="7" l="1"/>
  <c r="FT113" i="7" l="1"/>
  <c r="CI34" i="7" l="1"/>
  <c r="CN44" i="7" l="1"/>
  <c r="FT112" i="7" l="1"/>
  <c r="EZ94" i="7" l="1"/>
  <c r="FJ22" i="7" l="1"/>
  <c r="CP45" i="7" l="1"/>
  <c r="CI111" i="7" l="1"/>
  <c r="CI114" i="7" l="1"/>
  <c r="FE59" i="7" l="1"/>
  <c r="ET89" i="7" l="1"/>
  <c r="ET86" i="7"/>
  <c r="FY55" i="7" l="1"/>
  <c r="BT102" i="7" l="1"/>
  <c r="EP47" i="7" l="1"/>
  <c r="ET82" i="7" l="1"/>
  <c r="BU34" i="7" l="1"/>
  <c r="CC30" i="7" l="1"/>
  <c r="EU71" i="7" l="1"/>
  <c r="FE40" i="7" l="1"/>
  <c r="CE106" i="7" l="1"/>
  <c r="ET78" i="7" l="1"/>
  <c r="FN77" i="7" l="1"/>
  <c r="FS59" i="7" l="1"/>
  <c r="GD86" i="7" l="1"/>
  <c r="BO103" i="7" l="1"/>
  <c r="CA50" i="7" l="1"/>
  <c r="CP25" i="7" l="1"/>
  <c r="CE50" i="7" l="1"/>
  <c r="FI94" i="7" l="1"/>
  <c r="FI34" i="7" l="1"/>
  <c r="BU29" i="7" l="1"/>
  <c r="GH101" i="7" l="1"/>
  <c r="CI54" i="7" l="1"/>
  <c r="BX45" i="7" l="1"/>
  <c r="FE76" i="7" l="1"/>
  <c r="GD60" i="7" l="1"/>
  <c r="FN48" i="7" l="1"/>
  <c r="CE71" i="7" l="1"/>
  <c r="BY34" i="7" l="1"/>
  <c r="CJ34" i="7" l="1"/>
  <c r="FI50" i="7" l="1"/>
  <c r="CE94" i="7" l="1"/>
  <c r="EY56" i="7" l="1"/>
  <c r="FO53" i="7" l="1"/>
  <c r="CE45" i="7" l="1"/>
  <c r="EY30" i="7" l="1"/>
  <c r="FD110" i="7" l="1"/>
  <c r="CE109" i="7" l="1"/>
  <c r="CQ24" i="7" l="1"/>
  <c r="ET73" i="7" l="1"/>
  <c r="BW40" i="7" l="1"/>
  <c r="BU35" i="7" l="1"/>
  <c r="GD82" i="7" l="1"/>
  <c r="FT44" i="7" l="1"/>
  <c r="CD106" i="7" l="1"/>
  <c r="FN46" i="7" l="1"/>
  <c r="FI80" i="7" l="1"/>
  <c r="FD48" i="7" l="1"/>
  <c r="ET56" i="7" l="1"/>
  <c r="EU110" i="7" l="1"/>
  <c r="BP96" i="7" l="1"/>
  <c r="BV35" i="7" l="1"/>
  <c r="CI29" i="7" l="1"/>
  <c r="BO91" i="7" l="1"/>
  <c r="BT91" i="7"/>
  <c r="BY24" i="7" l="1"/>
  <c r="ET80" i="7" l="1"/>
  <c r="GD90" i="7" l="1"/>
  <c r="ET49" i="7" l="1"/>
  <c r="GC75" i="7" l="1"/>
  <c r="BW35" i="7" l="1"/>
  <c r="FN60" i="7" l="1"/>
  <c r="EY23" i="7" l="1"/>
  <c r="BX35" i="7" l="1"/>
  <c r="GD93" i="7" l="1"/>
  <c r="EY82" i="7" l="1"/>
  <c r="EU93" i="7" l="1"/>
  <c r="EU33" i="7" l="1"/>
  <c r="GC82" i="7" l="1"/>
  <c r="CE110" i="7" l="1"/>
  <c r="GH88" i="7" l="1"/>
  <c r="FJ35" i="7" l="1"/>
  <c r="EZ56" i="7" l="1"/>
  <c r="EU37" i="7" l="1"/>
  <c r="CK50" i="7" l="1"/>
  <c r="CD88" i="7" l="1"/>
  <c r="CE91" i="7" l="1"/>
  <c r="FI28" i="7" l="1"/>
  <c r="FY63" i="7" l="1"/>
  <c r="FO50" i="7" l="1"/>
  <c r="FO112" i="7" l="1"/>
  <c r="FO31" i="7" l="1"/>
  <c r="BK89" i="7" l="1"/>
  <c r="BV25" i="7" l="1"/>
  <c r="CB39" i="7" l="1"/>
  <c r="FY38" i="7" l="1"/>
  <c r="BW39" i="7" l="1"/>
  <c r="BU104" i="7" l="1"/>
  <c r="EP56" i="7" l="1"/>
  <c r="EZ30" i="7" l="1"/>
  <c r="BA34" i="7" l="1"/>
  <c r="FE43" i="7" l="1"/>
  <c r="FE53" i="7" l="1"/>
  <c r="FD44" i="7" l="1"/>
  <c r="FN22" i="7" l="1"/>
  <c r="BW45" i="7" l="1"/>
  <c r="CB40" i="7" l="1"/>
  <c r="FO107" i="7" l="1"/>
  <c r="CH49" i="7" l="1"/>
  <c r="CL45" i="7" l="1"/>
  <c r="BU114" i="7" l="1"/>
  <c r="CQ25" i="7" l="1"/>
  <c r="BK74" i="7" l="1"/>
  <c r="BT78" i="7" l="1"/>
  <c r="CI44" i="7" l="1"/>
  <c r="CE93" i="7" l="1"/>
  <c r="FI115" i="7" l="1"/>
  <c r="FD94" i="7" l="1"/>
  <c r="FD109" i="7" l="1"/>
  <c r="CJ102" i="7" l="1"/>
  <c r="CN81" i="7" l="1"/>
  <c r="FN78" i="7" l="1"/>
  <c r="CO35" i="7" l="1"/>
  <c r="EZ104" i="7" l="1"/>
  <c r="FX23" i="7" l="1"/>
  <c r="FI63" i="7" l="1"/>
  <c r="BF89" i="7" l="1"/>
  <c r="CL44" i="7" l="1"/>
  <c r="ET74" i="7" l="1"/>
  <c r="FI93" i="7" l="1"/>
  <c r="EY53" i="7" l="1"/>
  <c r="CM44" i="7" l="1"/>
  <c r="FO47" i="7" l="1"/>
  <c r="BU50" i="7" l="1"/>
  <c r="CE113" i="7" l="1"/>
  <c r="FJ105" i="7" l="1"/>
  <c r="FE111" i="7" l="1"/>
  <c r="CJ49" i="7" l="1"/>
  <c r="ET47" i="7" l="1"/>
  <c r="BW44" i="7" l="1"/>
  <c r="CK30" i="7" l="1"/>
  <c r="BU40" i="7" l="1"/>
  <c r="FX27" i="7" l="1"/>
  <c r="BA36" i="7" l="1"/>
  <c r="EZ48" i="7" l="1"/>
  <c r="BY71" i="7" l="1"/>
  <c r="CK54" i="7" l="1"/>
  <c r="FJ63" i="7" l="1"/>
  <c r="CI103" i="7" l="1"/>
  <c r="FN81" i="7" l="1"/>
  <c r="EU29" i="7" l="1"/>
  <c r="FT33" i="7" l="1"/>
  <c r="BK103" i="7" l="1"/>
  <c r="EP32" i="7" l="1"/>
  <c r="EY71" i="7" l="1"/>
  <c r="FN100" i="7" l="1"/>
  <c r="CG30" i="7" l="1"/>
  <c r="CE54" i="7" l="1"/>
  <c r="EY43" i="7" l="1"/>
  <c r="CC25" i="7" l="1"/>
  <c r="CJ81" i="7" l="1"/>
  <c r="CB30" i="7" l="1"/>
  <c r="CF45" i="7" l="1"/>
  <c r="BP100" i="7" l="1"/>
  <c r="BK109" i="7" l="1"/>
  <c r="FJ23" i="7" l="1"/>
  <c r="FJ79" i="7" l="1"/>
  <c r="CC54" i="7" l="1"/>
  <c r="EU86" i="7" l="1"/>
  <c r="CJ40" i="7" l="1"/>
  <c r="FD83" i="7" l="1"/>
  <c r="FT47" i="7" l="1"/>
  <c r="BU103" i="7" l="1"/>
  <c r="FE74" i="7" l="1"/>
  <c r="BJ91" i="7" l="1"/>
  <c r="BJ94" i="7" l="1"/>
  <c r="FX104" i="7" l="1"/>
  <c r="FE36" i="7" l="1"/>
  <c r="FE51" i="7" l="1"/>
  <c r="FI79" i="7" l="1"/>
  <c r="EP94" i="7" l="1"/>
  <c r="CE83" i="7" l="1"/>
  <c r="FI30" i="7" l="1"/>
  <c r="BF97" i="7" l="1"/>
  <c r="BT103" i="7" l="1"/>
  <c r="FS86" i="7" l="1"/>
  <c r="FS89" i="7"/>
  <c r="BJ89" i="7" l="1"/>
  <c r="BZ39" i="7" l="1"/>
  <c r="BV49" i="7" l="1"/>
  <c r="BP91" i="7" l="1"/>
  <c r="GH99" i="7" l="1"/>
  <c r="ET97" i="7" l="1"/>
  <c r="EP39" i="7" l="1"/>
  <c r="FI84" i="7" l="1"/>
  <c r="BF81" i="7" l="1"/>
  <c r="EY86" i="7" l="1"/>
  <c r="EY89" i="7"/>
  <c r="FO48" i="7" l="1"/>
  <c r="EU42" i="7" l="1"/>
  <c r="FN83" i="7" l="1"/>
  <c r="EZ59" i="7" l="1"/>
  <c r="BY29" i="7" l="1"/>
  <c r="ET28" i="7" l="1"/>
  <c r="EY54" i="7" l="1"/>
  <c r="EP92" i="7" l="1"/>
  <c r="FE30" i="7" l="1"/>
  <c r="EU94" i="7" l="1"/>
  <c r="BJ73" i="7" l="1"/>
  <c r="BK76" i="7" l="1"/>
  <c r="FD79" i="7" l="1"/>
  <c r="CJ80" i="7" l="1"/>
  <c r="CA35" i="7" l="1"/>
  <c r="FN34" i="7" l="1"/>
  <c r="CD50" i="7" l="1"/>
  <c r="EZ52" i="7" l="1"/>
  <c r="EZ60" i="7" l="1"/>
  <c r="CN35" i="7" l="1"/>
  <c r="FO36" i="7" l="1"/>
  <c r="GC35" i="7" l="1"/>
  <c r="FS94" i="7" l="1"/>
  <c r="EU38" i="7" l="1"/>
  <c r="FE108" i="7" l="1"/>
  <c r="BV45" i="7" l="1"/>
  <c r="FT88" i="7" l="1"/>
  <c r="FO73" i="7" l="1"/>
  <c r="ET107" i="7" l="1"/>
  <c r="BY77" i="7" l="1"/>
  <c r="BY30" i="7" l="1"/>
  <c r="FD88" i="7" l="1"/>
  <c r="CK40" i="7" l="1"/>
  <c r="BY81" i="7" l="1"/>
  <c r="CA49" i="7" l="1"/>
  <c r="BT45" i="7" l="1"/>
  <c r="FD96" i="7" l="1"/>
  <c r="CE97" i="7" l="1"/>
  <c r="BJ99" i="7" l="1"/>
  <c r="CE85" i="7" l="1"/>
  <c r="ET85" i="7" l="1"/>
  <c r="CD45" i="7" l="1"/>
  <c r="BZ54" i="7" l="1"/>
  <c r="FX58" i="7" l="1"/>
  <c r="FE31" i="7" l="1"/>
  <c r="GH76" i="7" l="1"/>
  <c r="EY64" i="7" l="1"/>
  <c r="BK115" i="7" l="1"/>
  <c r="CI74" i="7" l="1"/>
  <c r="FT32" i="7" l="1"/>
  <c r="FN96" i="7" l="1"/>
  <c r="FX43" i="7" l="1"/>
  <c r="FN23" i="7" l="1"/>
  <c r="GD22" i="7" l="1"/>
  <c r="BP103" i="7" l="1"/>
  <c r="FO106" i="7" l="1"/>
  <c r="EY93" i="7" l="1"/>
  <c r="CD79" i="7" l="1"/>
  <c r="CE101" i="7" l="1"/>
  <c r="CE72" i="7" l="1"/>
  <c r="BZ88" i="7" l="1"/>
  <c r="EU74" i="7" l="1"/>
  <c r="BO111" i="7" l="1"/>
  <c r="EZ71" i="7" l="1"/>
  <c r="CN84" i="7" l="1"/>
  <c r="BO82" i="7" l="1"/>
  <c r="CJ72" i="7" l="1"/>
  <c r="FD26" i="7"/>
  <c r="CI101" i="7" l="1"/>
  <c r="BO86" i="7" l="1"/>
  <c r="EU27" i="7" l="1"/>
  <c r="FO82" i="7" l="1"/>
  <c r="FN63" i="7" l="1"/>
  <c r="CE78" i="7" l="1"/>
  <c r="BK99" i="7" l="1"/>
  <c r="CE76" i="7" l="1"/>
  <c r="CF40" i="7" l="1"/>
  <c r="CC40" i="7" l="1"/>
  <c r="CG50" i="7" l="1"/>
  <c r="BT98" i="7" l="1"/>
  <c r="FJ93" i="7" l="1"/>
  <c r="BU76" i="7" l="1"/>
  <c r="BK83" i="7" l="1"/>
  <c r="EP63" i="7" l="1"/>
  <c r="FN33" i="7" l="1"/>
  <c r="FD78" i="7" l="1"/>
  <c r="CA45" i="7" l="1"/>
  <c r="FN35" i="7" l="1"/>
  <c r="EU62" i="7" l="1"/>
  <c r="GD97" i="7" l="1"/>
  <c r="EU36" i="7" l="1"/>
  <c r="FX33" i="7" l="1"/>
  <c r="BT108" i="7" l="1"/>
  <c r="CJ99" i="7" l="1"/>
  <c r="FI58" i="7" l="1"/>
  <c r="GH82" i="7" l="1"/>
  <c r="FS96" i="7" l="1"/>
  <c r="CB49" i="7" l="1"/>
  <c r="EP110" i="7" l="1"/>
  <c r="CD108" i="7" l="1"/>
  <c r="BF96" i="7" l="1"/>
  <c r="CE104" i="7" l="1"/>
  <c r="FJ52" i="7" l="1"/>
  <c r="ET24" i="7" l="1"/>
  <c r="FI88" i="7" l="1"/>
  <c r="GC86" i="7" l="1"/>
  <c r="GC89" i="7"/>
  <c r="CD35" i="7" l="1"/>
  <c r="BF73" i="7" l="1"/>
  <c r="BF72" i="7" l="1"/>
  <c r="BY103" i="7" l="1"/>
  <c r="FD97" i="7" l="1"/>
  <c r="CA34" i="7" l="1"/>
  <c r="FD101" i="7" l="1"/>
  <c r="CN104" i="7" l="1"/>
  <c r="EZ100" i="7" l="1"/>
  <c r="BY73" i="7" l="1"/>
  <c r="CE103" i="7" l="1"/>
  <c r="BY83" i="7" l="1"/>
  <c r="FO57" i="7" l="1"/>
  <c r="EZ93" i="7" l="1"/>
  <c r="GD92" i="7" l="1"/>
  <c r="EU101" i="7" l="1"/>
  <c r="BP77" i="7" l="1"/>
  <c r="BT99" i="7" l="1"/>
  <c r="BZ34" i="7" l="1"/>
  <c r="BY49" i="7" l="1"/>
  <c r="EP62" i="7" l="1"/>
  <c r="FS32" i="7" l="1"/>
  <c r="EY102" i="7" l="1"/>
  <c r="FX94" i="7" l="1"/>
  <c r="BK73" i="7" l="1"/>
  <c r="FX83" i="7" l="1"/>
  <c r="FD105" i="7" l="1"/>
  <c r="FO97" i="7" l="1"/>
  <c r="BU44" i="7" l="1"/>
  <c r="BX29" i="7" l="1"/>
  <c r="FJ107" i="7" l="1"/>
  <c r="GD72" i="7" l="1"/>
  <c r="FI71" i="7" l="1"/>
  <c r="CJ97" i="7" l="1"/>
  <c r="BY79" i="7" l="1"/>
  <c r="EZ35" i="7" l="1"/>
  <c r="BO104" i="7" l="1"/>
  <c r="FO77" i="7" l="1"/>
  <c r="EY60" i="7" l="1"/>
  <c r="EZ37" i="7" l="1"/>
  <c r="FN53" i="7" l="1"/>
  <c r="FD41" i="7" l="1"/>
  <c r="FX29" i="7" l="1"/>
  <c r="EU92" i="7" l="1"/>
  <c r="FJ65" i="7" l="1"/>
  <c r="FD52" i="7" l="1"/>
  <c r="EZ88" i="7" l="1"/>
  <c r="EU50" i="7" l="1"/>
  <c r="FN97" i="7" l="1"/>
  <c r="BJ102" i="7" l="1"/>
  <c r="CE105" i="7" l="1"/>
  <c r="CJ113" i="7" l="1"/>
  <c r="FD85" i="7" l="1"/>
  <c r="EZ82" i="7" l="1"/>
  <c r="CE82" i="7" l="1"/>
  <c r="CN80" i="7" l="1"/>
  <c r="GC110" i="7" l="1"/>
  <c r="FO24" i="7" l="1"/>
  <c r="CD96" i="7" l="1"/>
  <c r="CN82" i="7" l="1"/>
  <c r="BP89" i="7" l="1"/>
  <c r="CI102" i="7" l="1"/>
  <c r="CI75" i="7" l="1"/>
  <c r="EZ113" i="7" l="1"/>
  <c r="ET72" i="7" l="1"/>
  <c r="FS49" i="7" l="1"/>
  <c r="BT94" i="7" l="1"/>
  <c r="BF86" i="7" l="1"/>
  <c r="EZ55" i="7" l="1"/>
  <c r="BT83" i="7" l="1"/>
  <c r="FN94" i="7" l="1"/>
  <c r="CI109" i="7" l="1"/>
  <c r="EY62" i="7" l="1"/>
  <c r="BY102" i="7" l="1"/>
  <c r="FO72" i="7" l="1"/>
  <c r="CE35" i="7" l="1"/>
  <c r="CJ86" i="7" l="1"/>
  <c r="FX31" i="7" l="1"/>
  <c r="FJ104" i="7" l="1"/>
  <c r="CN54" i="7" l="1"/>
  <c r="CH40" i="7" l="1"/>
  <c r="FO92" i="7" l="1"/>
  <c r="FS110" i="7" l="1"/>
  <c r="CJ96" i="7" l="1"/>
  <c r="EU98" i="7" l="1"/>
  <c r="CI45" i="7" l="1"/>
  <c r="BA40" i="7" l="1"/>
  <c r="EP55" i="7" l="1"/>
  <c r="CI92" i="7" l="1"/>
  <c r="EU100" i="7" l="1"/>
  <c r="FE102" i="7" l="1"/>
  <c r="BU94" i="7" l="1"/>
  <c r="EY74" i="7" l="1"/>
  <c r="BU115" i="7" l="1"/>
  <c r="CH45" i="7" l="1"/>
  <c r="EY90" i="7" l="1"/>
  <c r="EY87" i="7"/>
  <c r="FN58" i="7" l="1"/>
  <c r="FD29" i="7" l="1"/>
  <c r="EU108" i="7" l="1"/>
  <c r="FN54" i="7" l="1"/>
  <c r="CN25" i="7" l="1"/>
  <c r="GD59" i="7" l="1"/>
  <c r="FI77" i="7" l="1"/>
  <c r="CD97" i="7" l="1"/>
  <c r="EY94" i="7" l="1"/>
  <c r="BY35" i="7" l="1"/>
  <c r="CI115" i="7" l="1"/>
  <c r="CE107" i="7" l="1"/>
  <c r="FJ92" i="7" l="1"/>
  <c r="BJ72" i="7" l="1"/>
  <c r="CI49" i="7" l="1"/>
  <c r="BU74" i="7" l="1"/>
  <c r="EY85" i="7" l="1"/>
  <c r="FE56" i="7" l="1"/>
  <c r="FE37" i="7" l="1"/>
  <c r="FE22" i="7" l="1"/>
  <c r="EU105" i="7" l="1"/>
  <c r="BU83" i="7" l="1"/>
  <c r="EU55" i="7" l="1"/>
  <c r="BZ44" i="7" l="1"/>
  <c r="BF80" i="7" l="1"/>
  <c r="FO63" i="7" l="1"/>
  <c r="FT110" i="7" l="1"/>
  <c r="FN104" i="7" l="1"/>
  <c r="CJ50" i="7" l="1"/>
  <c r="FT53" i="7" l="1"/>
  <c r="GD94" i="7" l="1"/>
  <c r="BZ91" i="7" l="1"/>
  <c r="BU30" i="7" l="1"/>
  <c r="CN83" i="7" l="1"/>
  <c r="CE79" i="7" l="1"/>
  <c r="GH93" i="7" l="1"/>
  <c r="EZ108" i="7" l="1"/>
  <c r="FY114" i="7" l="1"/>
  <c r="FD25" i="7" l="1"/>
  <c r="BK87" i="7" l="1"/>
  <c r="CJ108" i="7" l="1"/>
  <c r="FO28" i="7" l="1"/>
  <c r="EZ40" i="7" l="1"/>
  <c r="FE106" i="7" l="1"/>
  <c r="FE78" i="7" l="1"/>
  <c r="CE87" i="7" l="1"/>
  <c r="FD23" i="7" l="1"/>
  <c r="FN25" i="7" l="1"/>
  <c r="FN98" i="7" l="1"/>
  <c r="CH44" i="7" l="1"/>
  <c r="GC103" i="7" l="1"/>
  <c r="EY109" i="7" l="1"/>
  <c r="ET43" i="7" l="1"/>
  <c r="FE100" i="7" l="1"/>
  <c r="EU78" i="7" l="1"/>
  <c r="CN114" i="7" l="1"/>
  <c r="FI40" i="7" l="1"/>
  <c r="FI97" i="7" l="1"/>
  <c r="EZ86" i="7" l="1"/>
  <c r="FI87" i="7" l="1"/>
  <c r="FI90" i="7"/>
  <c r="FJ36" i="7" l="1"/>
  <c r="FD100" i="7" l="1"/>
  <c r="BK101" i="7" l="1"/>
  <c r="EY51" i="7" l="1"/>
  <c r="FX56" i="7" l="1"/>
  <c r="BK72" i="7" l="1"/>
  <c r="BK80" i="7" l="1"/>
  <c r="FD31" i="7" l="1"/>
  <c r="BU79" i="7" l="1"/>
  <c r="EY99" i="7" l="1"/>
  <c r="BK104" i="7" l="1"/>
  <c r="EP26" i="7" l="1"/>
  <c r="FS81" i="7" l="1"/>
  <c r="EZ39" i="7" l="1"/>
  <c r="EU43" i="7" l="1"/>
  <c r="FD62" i="7" l="1"/>
  <c r="CG29" i="7" l="1"/>
  <c r="FS34" i="7" l="1"/>
  <c r="FN111" i="7" l="1"/>
  <c r="FJ94" i="7" l="1"/>
  <c r="CJ114" i="7" l="1"/>
  <c r="BY113" i="7" l="1"/>
  <c r="BK86" i="7" l="1"/>
  <c r="EU97" i="7" l="1"/>
  <c r="EY41" i="7" l="1"/>
  <c r="FN108" i="7" l="1"/>
  <c r="BJ112" i="7" l="1"/>
  <c r="EU115" i="7" l="1"/>
  <c r="GD103" i="7" l="1"/>
  <c r="FJ47" i="7" l="1"/>
  <c r="FN82" i="7" l="1"/>
  <c r="CD40" i="7" l="1"/>
  <c r="CQ44" i="7" l="1"/>
  <c r="BY39" i="7" l="1"/>
  <c r="FO58" i="7" l="1"/>
  <c r="FD107" i="7" l="1"/>
  <c r="FJ82" i="7" l="1"/>
  <c r="FT52" i="7" l="1"/>
  <c r="FJ91" i="7" l="1"/>
  <c r="CN108" i="7" l="1"/>
  <c r="EZ51" i="7" l="1"/>
  <c r="FT62" i="7" l="1"/>
  <c r="CI100" i="7" l="1"/>
  <c r="BA45" i="7" l="1"/>
  <c r="BY100" i="7" l="1"/>
  <c r="FD59" i="7" l="1"/>
  <c r="FN51" i="7" l="1"/>
  <c r="FY30" i="7" l="1"/>
  <c r="GD106" i="7" l="1"/>
  <c r="FE29" i="7" l="1"/>
  <c r="FO83" i="7" l="1"/>
  <c r="FD38" i="7" l="1"/>
  <c r="BO98" i="7" l="1"/>
  <c r="EZ81" i="7" l="1"/>
  <c r="BY91" i="7" l="1"/>
  <c r="FI82" i="7" l="1"/>
  <c r="FY92" i="7" l="1"/>
  <c r="GD83" i="7" l="1"/>
  <c r="FS36" i="7" l="1"/>
  <c r="CI50" i="7" l="1"/>
  <c r="FY103" i="7" l="1"/>
  <c r="EU39" i="7" l="1"/>
  <c r="CN94" i="7" l="1"/>
  <c r="FO89" i="7" l="1"/>
  <c r="BA25" i="7" l="1"/>
  <c r="CN102" i="7" l="1"/>
  <c r="FY29" i="7" l="1"/>
  <c r="FX92" i="7" l="1"/>
  <c r="FI89" i="7" l="1"/>
  <c r="FI86" i="7"/>
  <c r="FS44" i="7" l="1"/>
  <c r="FY104" i="7" l="1"/>
  <c r="EY84" i="7" l="1"/>
  <c r="EZ103" i="7" l="1"/>
  <c r="BK102" i="7" l="1"/>
  <c r="BW50" i="7" l="1"/>
  <c r="FE52" i="7" l="1"/>
  <c r="CN110" i="7" l="1"/>
  <c r="EZ97" i="7" l="1"/>
  <c r="FI101" i="7" l="1"/>
  <c r="EU61" i="7" l="1"/>
  <c r="FY96" i="7" l="1"/>
  <c r="EY65" i="7" l="1"/>
  <c r="FD40" i="7" l="1"/>
  <c r="GC44" i="7" l="1"/>
  <c r="FJ62" i="7" l="1"/>
  <c r="EZ64" i="7" l="1"/>
  <c r="FD39" i="7" l="1"/>
  <c r="FY105" i="7" l="1"/>
  <c r="GC55" i="7" l="1"/>
  <c r="FS92" i="7" l="1"/>
  <c r="FD57" i="7" l="1"/>
  <c r="FT101" i="7" l="1"/>
  <c r="FS100" i="7" l="1"/>
  <c r="CJ74" i="7" l="1"/>
  <c r="CN97" i="7" l="1"/>
  <c r="FD65" i="7" l="1"/>
  <c r="CJ100" i="7" l="1"/>
  <c r="EZ65" i="7" l="1"/>
  <c r="BA21" i="7" l="1"/>
  <c r="BP101" i="7" l="1"/>
  <c r="BF91" i="7" l="1"/>
  <c r="EU87" i="7" l="1"/>
  <c r="FO108" i="7" l="1"/>
  <c r="FI98" i="7" l="1"/>
  <c r="FS98" i="7" l="1"/>
  <c r="FX78" i="7" l="1"/>
  <c r="CG39" i="7" l="1"/>
  <c r="BK94" i="7" l="1"/>
  <c r="EY36" i="7" l="1"/>
  <c r="BP80" i="7" l="1"/>
  <c r="CL35" i="7" l="1"/>
  <c r="CF49" i="7" l="1"/>
  <c r="FJ28" i="7" l="1"/>
  <c r="FJ61" i="7" l="1"/>
  <c r="FJ32" i="7" l="1"/>
  <c r="FI57" i="7" l="1"/>
  <c r="FJ81" i="7" l="1"/>
  <c r="FY57" i="7" l="1"/>
  <c r="CF50" i="7" l="1"/>
  <c r="FN52" i="7" l="1"/>
  <c r="CN75" i="7" l="1"/>
  <c r="EU90" i="7"/>
  <c r="BV40" i="7" l="1"/>
  <c r="EZ23" i="7" l="1"/>
  <c r="FS71" i="7" l="1"/>
  <c r="ET35" i="7" l="1"/>
  <c r="FE23" i="7" l="1"/>
  <c r="EP46" i="7" l="1"/>
  <c r="FO23" i="7" l="1"/>
  <c r="BY112" i="7" l="1"/>
  <c r="CJ73" i="7" l="1"/>
  <c r="BK112" i="7" l="1"/>
  <c r="EY61" i="7" l="1"/>
  <c r="CN72" i="7" l="1"/>
  <c r="GD61" i="7" l="1"/>
  <c r="FJ24" i="7" l="1"/>
  <c r="CJ75" i="7" l="1"/>
  <c r="FS33" i="7" l="1"/>
  <c r="FI59" i="7" l="1"/>
  <c r="FX98" i="7" l="1"/>
  <c r="CC34" i="7" l="1"/>
  <c r="FD63" i="7" l="1"/>
  <c r="GD29" i="7" l="1"/>
  <c r="FO55" i="7" l="1"/>
  <c r="CH25" i="7" l="1"/>
  <c r="FJ44" i="7" l="1"/>
  <c r="BU100" i="7" l="1"/>
  <c r="FS22" i="7" l="1"/>
  <c r="FI107" i="7" l="1"/>
  <c r="FX108" i="7" l="1"/>
  <c r="FJ55" i="7" l="1"/>
  <c r="GC94" i="7" l="1"/>
  <c r="GD50" i="7" l="1"/>
  <c r="EP64" i="7" l="1"/>
  <c r="BK91" i="7" l="1"/>
  <c r="BT50" i="7" l="1"/>
  <c r="CJ92" i="7" l="1"/>
  <c r="CJ93" i="7"/>
  <c r="FX113" i="7" l="1"/>
  <c r="ET29" i="7" l="1"/>
  <c r="BY115" i="7" l="1"/>
  <c r="GC76" i="7" l="1"/>
  <c r="EZ109" i="7" l="1"/>
  <c r="EZ115" i="7" l="1"/>
  <c r="EY92" i="7" l="1"/>
  <c r="EU58" i="7" l="1"/>
  <c r="FD75" i="7" l="1"/>
  <c r="FJ50" i="7" l="1"/>
  <c r="FJ51" i="7" l="1"/>
  <c r="GD25" i="7" l="1"/>
  <c r="BP110" i="7" l="1"/>
  <c r="EZ111" i="7" l="1"/>
  <c r="GH60" i="7" l="1"/>
  <c r="CD44" i="7" l="1"/>
  <c r="CN107" i="7" l="1"/>
  <c r="EY76" i="7" l="1"/>
  <c r="FD76" i="7" l="1"/>
  <c r="EU72" i="7" l="1"/>
  <c r="FO93" i="7" l="1"/>
  <c r="FD60" i="7" l="1"/>
  <c r="CI73" i="7" l="1"/>
  <c r="FO49" i="7" l="1"/>
  <c r="FI54" i="7" l="1"/>
  <c r="CN115" i="7" l="1"/>
  <c r="FI73" i="7" l="1"/>
  <c r="EZ87" i="7" l="1"/>
  <c r="BO93" i="7" l="1"/>
  <c r="FX105" i="7" l="1"/>
  <c r="BU72" i="7" l="1"/>
  <c r="BJ71" i="7" l="1"/>
  <c r="FX26" i="7" l="1"/>
  <c r="FS88" i="7" l="1"/>
  <c r="BT39" i="7" l="1"/>
  <c r="FE91" i="7" l="1"/>
  <c r="EZ22" i="7" l="1"/>
  <c r="FI72" i="7" l="1"/>
  <c r="FN110" i="7" l="1"/>
  <c r="FS85" i="7" l="1"/>
  <c r="EY72" i="7" l="1"/>
  <c r="BU45" i="7" l="1"/>
  <c r="FY39" i="7" l="1"/>
  <c r="GD58" i="7" l="1"/>
  <c r="BA43" i="7" l="1"/>
  <c r="FN85" i="7" l="1"/>
  <c r="FS46" i="7" l="1"/>
  <c r="EP38" i="7" l="1"/>
  <c r="BO99" i="7" l="1"/>
  <c r="EU46" i="7" l="1"/>
  <c r="FO52" i="7" l="1"/>
  <c r="BK111" i="7" l="1"/>
  <c r="FN101" i="7" l="1"/>
  <c r="FI75" i="7" l="1"/>
  <c r="BT79" i="7" l="1"/>
  <c r="FT31" i="7" l="1"/>
  <c r="BZ50" i="7" l="1"/>
  <c r="FE80" i="7" l="1"/>
  <c r="FN59" i="7" l="1"/>
  <c r="FJ37" i="7" l="1"/>
  <c r="EU89" i="7" l="1"/>
  <c r="FJ112" i="7" l="1"/>
  <c r="BO105" i="7" l="1"/>
  <c r="EU80" i="7" l="1"/>
  <c r="FT83" i="7" l="1"/>
  <c r="BF109" i="7" l="1"/>
  <c r="FN28" i="7" l="1"/>
  <c r="FE50" i="7" l="1"/>
  <c r="BF106" i="7" l="1"/>
  <c r="FE63" i="7" l="1"/>
  <c r="FY94" i="7" l="1"/>
  <c r="EU75" i="7" l="1"/>
  <c r="FE87" i="7" l="1"/>
  <c r="FS112" i="7" l="1"/>
  <c r="FY89" i="7" l="1"/>
  <c r="FO38" i="7" l="1"/>
  <c r="EY32" i="7" l="1"/>
  <c r="FS84" i="7" l="1"/>
  <c r="EU104" i="7" l="1"/>
  <c r="FS48" i="7" l="1"/>
  <c r="BO95" i="7" l="1"/>
  <c r="FJ41" i="7" l="1"/>
  <c r="FT96" i="7" l="1"/>
  <c r="GC48" i="7" l="1"/>
  <c r="FD28" i="7" l="1"/>
  <c r="FN24" i="7" l="1"/>
  <c r="FE27" i="7" l="1"/>
  <c r="EU41" i="7" l="1"/>
  <c r="BK105" i="7" l="1"/>
  <c r="GC113" i="7" l="1"/>
  <c r="EZ62" i="7" l="1"/>
  <c r="EU106" i="7" l="1"/>
  <c r="FY60" i="7" l="1"/>
  <c r="BZ81" i="7" l="1"/>
  <c r="FE93" i="7" l="1"/>
  <c r="FI49" i="7" l="1"/>
  <c r="FX99" i="7" l="1"/>
  <c r="FE62" i="7" l="1"/>
  <c r="FY26" i="7" l="1"/>
  <c r="BA28" i="7" l="1"/>
  <c r="CN88" i="7" l="1"/>
  <c r="FO98" i="7" l="1"/>
  <c r="EY25" i="7" l="1"/>
  <c r="EY29" i="7" l="1"/>
  <c r="FN50" i="7" l="1"/>
  <c r="GD85" i="7" l="1"/>
  <c r="FO39" i="7" l="1"/>
  <c r="FI36" i="7" l="1"/>
  <c r="FE83" i="7" l="1"/>
  <c r="BT113" i="7" l="1"/>
  <c r="EZ53" i="7" l="1"/>
  <c r="BF78" i="7" l="1"/>
  <c r="BF108" i="7" l="1"/>
  <c r="FY59" i="7" l="1"/>
  <c r="BO106" i="7" l="1"/>
  <c r="GD100" i="7" l="1"/>
  <c r="CN78" i="7" l="1"/>
  <c r="CI82" i="7" l="1"/>
  <c r="BO76" i="7" l="1"/>
  <c r="BK79" i="7" l="1"/>
  <c r="FN62" i="7" l="1"/>
  <c r="CF29" i="7" l="1"/>
  <c r="CJ77" i="7" l="1"/>
  <c r="CI88" i="7" l="1"/>
  <c r="CJ110" i="7" l="1"/>
  <c r="FX35" i="7" l="1"/>
  <c r="EY101" i="7" l="1"/>
  <c r="CI83" i="7" l="1"/>
  <c r="CO25" i="7" l="1"/>
  <c r="BT106" i="7" l="1"/>
  <c r="EY34" i="7" l="1"/>
  <c r="EZ75" i="7" l="1"/>
  <c r="FO62" i="7" l="1"/>
  <c r="FO33" i="7" l="1"/>
  <c r="FN42" i="7" l="1"/>
  <c r="CE30" i="7" l="1"/>
  <c r="FJ54" i="7" l="1"/>
  <c r="CQ45" i="7" l="1"/>
  <c r="FY61" i="7" l="1"/>
  <c r="FO29" i="7" l="1"/>
  <c r="FD113" i="7" l="1"/>
  <c r="CJ90" i="7" l="1"/>
  <c r="FI96" i="7" l="1"/>
  <c r="FI105" i="7" l="1"/>
  <c r="CE73" i="7" l="1"/>
  <c r="FE24" i="7" l="1"/>
  <c r="FJ103" i="7" l="1"/>
  <c r="EZ28" i="7" l="1"/>
  <c r="FE49" i="7" l="1"/>
  <c r="FO111" i="7" l="1"/>
  <c r="FD80" i="7" l="1"/>
  <c r="FY53" i="7" l="1"/>
  <c r="EU25" i="7" l="1"/>
  <c r="BT97" i="7" l="1"/>
  <c r="BA44" i="7" l="1"/>
  <c r="FN47" i="7" l="1"/>
  <c r="GC85" i="7" l="1"/>
  <c r="EY22" i="7" l="1"/>
  <c r="GD87" i="7" l="1"/>
  <c r="CN93" i="7" l="1"/>
  <c r="FN73" i="7" l="1"/>
  <c r="EZ44" i="7" l="1"/>
  <c r="FX111" i="7" l="1"/>
  <c r="CK49" i="7" l="1"/>
  <c r="BP71" i="7" l="1"/>
  <c r="FO94" i="7" l="1"/>
  <c r="FT94" i="7"/>
  <c r="BF102" i="7" l="1"/>
  <c r="CC50" i="7" l="1"/>
  <c r="FI99" i="7" l="1"/>
  <c r="FX97" i="7" l="1"/>
  <c r="FY109" i="7" l="1"/>
  <c r="FN109" i="7" l="1"/>
  <c r="BP111" i="7" l="1"/>
  <c r="EU81" i="7" l="1"/>
  <c r="BA23" i="7" l="1"/>
  <c r="FN29" i="7" l="1"/>
  <c r="FD84" i="7" l="1"/>
  <c r="BJ78" i="7" l="1"/>
  <c r="FI109" i="7" l="1"/>
  <c r="ET27" i="7" l="1"/>
  <c r="BY110" i="7" l="1"/>
  <c r="GC92" i="7" l="1"/>
  <c r="FS83" i="7" l="1"/>
  <c r="BZ97" i="7" l="1"/>
  <c r="FT91" i="7" l="1"/>
  <c r="EP93" i="7" l="1"/>
  <c r="FT98" i="7" l="1"/>
  <c r="FD112" i="7" l="1"/>
  <c r="FY46" i="7" l="1"/>
  <c r="BY80" i="7" l="1"/>
  <c r="FO60" i="7" l="1"/>
  <c r="FX72" i="7" l="1"/>
  <c r="CE108" i="7" l="1"/>
  <c r="FS91" i="7" l="1"/>
  <c r="BJ85" i="7" l="1"/>
  <c r="BT107" i="7" l="1"/>
  <c r="FE109" i="7" l="1"/>
  <c r="FT107" i="7" l="1"/>
  <c r="GC83" i="7" l="1"/>
  <c r="FN112" i="7" l="1"/>
  <c r="EU107" i="7" l="1"/>
  <c r="ET36" i="7" l="1"/>
  <c r="CA29" i="7" l="1"/>
  <c r="FD108" i="7" l="1"/>
  <c r="FE48" i="7" l="1"/>
  <c r="BA33" i="7" l="1"/>
  <c r="EY26" i="7" l="1"/>
  <c r="EZ47" i="7" l="1"/>
  <c r="CE75" i="7" l="1"/>
  <c r="EU52" i="7" l="1"/>
  <c r="FI100" i="7" l="1"/>
  <c r="FI102" i="7" l="1"/>
  <c r="EU114" i="7" l="1"/>
  <c r="CN77" i="7" l="1"/>
  <c r="EU85" i="7" l="1"/>
  <c r="BJ111" i="7" l="1"/>
  <c r="FI52" i="7" l="1"/>
  <c r="GH56" i="7" l="1"/>
  <c r="ET42" i="7" l="1"/>
  <c r="FY78" i="7" l="1"/>
  <c r="ET54" i="7" l="1"/>
  <c r="FY24" i="7" l="1"/>
  <c r="FE41" i="7" l="1"/>
  <c r="FX81" i="7" l="1"/>
  <c r="FT93" i="7" l="1"/>
  <c r="BO96" i="7" l="1"/>
  <c r="FE84" i="7" l="1"/>
  <c r="FE33" i="7" l="1"/>
  <c r="BJ101" i="7" l="1"/>
  <c r="BF103" i="7" l="1"/>
  <c r="EY100" i="7" l="1"/>
  <c r="EY106" i="7" l="1"/>
  <c r="FI24" i="7" l="1"/>
  <c r="BA47" i="7" l="1"/>
  <c r="BJ79" i="7" l="1"/>
  <c r="GC71" i="7" l="1"/>
  <c r="EU112" i="7" l="1"/>
  <c r="CN76" i="7" l="1"/>
  <c r="FO46" i="7" l="1"/>
  <c r="EU76" i="7" l="1"/>
  <c r="BJ82" i="7" l="1"/>
  <c r="BZ73" i="7" l="1"/>
  <c r="CJ87" i="7" l="1"/>
  <c r="EP54" i="7" l="1"/>
  <c r="BJ106" i="7" l="1"/>
  <c r="GC36" i="7" l="1"/>
  <c r="GC73" i="7" l="1"/>
  <c r="GD57" i="7" l="1"/>
  <c r="FN99" i="7" l="1"/>
  <c r="BY106" i="7" l="1"/>
  <c r="BY95" i="7" l="1"/>
  <c r="ET50" i="7" l="1"/>
  <c r="CI106" i="7" l="1"/>
  <c r="FI25" i="7"/>
  <c r="FT76" i="7" l="1"/>
  <c r="CG49" i="7" l="1"/>
  <c r="FJ88" i="7" l="1"/>
  <c r="EZ34" i="7" l="1"/>
  <c r="FY50" i="7" l="1"/>
  <c r="FY93" i="7" l="1"/>
  <c r="BK93" i="7" l="1"/>
  <c r="CN96" i="7" l="1"/>
  <c r="EY49" i="7" l="1"/>
  <c r="FJ27" i="7" l="1"/>
  <c r="BT73" i="7" l="1"/>
  <c r="FJ102" i="7" l="1"/>
  <c r="BX50" i="7" l="1"/>
  <c r="CI71" i="7" l="1"/>
  <c r="FX22" i="7" l="1"/>
  <c r="BO85" i="7" l="1"/>
  <c r="CN98" i="7" l="1"/>
  <c r="CJ71" i="7" l="1"/>
  <c r="FX71" i="7" l="1"/>
  <c r="ET37" i="7" l="1"/>
  <c r="CI105" i="7" l="1"/>
  <c r="CJ88" i="7" l="1"/>
  <c r="FY64" i="7" l="1"/>
  <c r="GD54" i="7" l="1"/>
  <c r="CD100" i="7" l="1"/>
  <c r="FS60" i="7" l="1"/>
  <c r="BY111" i="7" l="1"/>
  <c r="FI91" i="7" l="1"/>
  <c r="FD93" i="7" l="1"/>
  <c r="EZ50" i="7" l="1"/>
  <c r="FO35" i="7" l="1"/>
  <c r="FI55" i="7" l="1"/>
  <c r="FI22" i="7" l="1"/>
  <c r="CN85" i="7" l="1"/>
  <c r="BY94" i="7" l="1"/>
  <c r="EU84" i="7" l="1"/>
  <c r="FE113" i="7" l="1"/>
  <c r="FE57" i="7" l="1"/>
  <c r="CN111" i="7" l="1"/>
  <c r="CJ98" i="7" l="1"/>
  <c r="FS79" i="7" l="1"/>
  <c r="CD83" i="7" l="1"/>
  <c r="BK71" i="7" l="1"/>
  <c r="BJ80" i="7" l="1"/>
  <c r="BF74" i="7" l="1"/>
  <c r="ET52" i="7" l="1"/>
  <c r="FJ73" i="7" l="1"/>
  <c r="EZ74" i="7" l="1"/>
  <c r="FS53" i="7" l="1"/>
  <c r="EZ33" i="7" l="1"/>
  <c r="BA50" i="7" l="1"/>
  <c r="BF105" i="7" l="1"/>
  <c r="EZ26" i="7" l="1"/>
  <c r="FN87" i="7" l="1"/>
  <c r="FN90" i="7"/>
  <c r="CD84" i="7" l="1"/>
  <c r="EU26" i="7" l="1"/>
  <c r="BK110" i="7" l="1"/>
  <c r="CJ30" i="7" l="1"/>
  <c r="BO71" i="7" l="1"/>
  <c r="CD82" i="7" l="1"/>
  <c r="CI80" i="7" l="1"/>
  <c r="FJ72" i="7"/>
  <c r="CN112" i="7" l="1"/>
  <c r="BZ77" i="7"/>
  <c r="FJ89" i="7" l="1"/>
  <c r="FT85" i="7" l="1"/>
  <c r="GC50" i="7" l="1"/>
  <c r="EZ106" i="7" l="1"/>
  <c r="BU81" i="7" l="1"/>
  <c r="GC29" i="7" l="1"/>
  <c r="BU84" i="7" l="1"/>
  <c r="FJ78" i="7" l="1"/>
  <c r="FJ25" i="7" l="1"/>
  <c r="FJ108" i="7" l="1"/>
  <c r="CI77" i="7" l="1"/>
  <c r="FI32" i="7" l="1"/>
  <c r="BF104" i="7" l="1"/>
  <c r="FY40" i="7" l="1"/>
  <c r="FO51" i="7" l="1"/>
  <c r="EY113" i="7" l="1"/>
  <c r="BT30" i="7" l="1"/>
  <c r="FS99" i="7" l="1"/>
  <c r="CM35" i="7" l="1"/>
  <c r="FY32" i="7" l="1"/>
  <c r="GC40" i="7" l="1"/>
  <c r="BO109" i="7" l="1"/>
  <c r="BJ83" i="7" l="1"/>
  <c r="FO32" i="7" l="1"/>
  <c r="EZ27" i="7" l="1"/>
  <c r="EU103" i="7" l="1"/>
  <c r="GC74" i="7" l="1"/>
  <c r="FJ38" i="7" l="1"/>
  <c r="GH85" i="7" l="1"/>
  <c r="FE77" i="7" l="1"/>
  <c r="FD106" i="7" l="1"/>
  <c r="FS72" i="7" l="1"/>
  <c r="BO73" i="7" l="1"/>
  <c r="BF87" i="7" l="1"/>
  <c r="FS47" i="7" l="1"/>
  <c r="FJ58" i="7" l="1"/>
  <c r="FY56" i="7" l="1"/>
  <c r="FX28" i="7" l="1"/>
  <c r="GC91" i="7" l="1"/>
  <c r="BY105" i="7" l="1"/>
  <c r="FJ99" i="7" l="1"/>
  <c r="BO72" i="7" l="1"/>
  <c r="BP73" i="7" l="1"/>
  <c r="FJ40" i="7" l="1"/>
  <c r="GD91" i="7" l="1"/>
  <c r="FE82" i="7" l="1"/>
  <c r="CN87" i="7" l="1"/>
  <c r="CN90" i="7"/>
  <c r="FS108" i="7" l="1"/>
  <c r="FI53" i="7" l="1"/>
  <c r="BK113" i="7" l="1"/>
  <c r="EU35" i="7" l="1"/>
  <c r="BZ82" i="7" l="1"/>
  <c r="FI29" i="7" l="1"/>
  <c r="FS38" i="7" l="1"/>
  <c r="GH27" i="7" l="1"/>
  <c r="FX85" i="7" l="1"/>
  <c r="GH105" i="7" l="1"/>
  <c r="BT25" i="7" l="1"/>
  <c r="EU34" i="7" l="1"/>
  <c r="GC54" i="7" l="1"/>
  <c r="FO87" i="7" l="1"/>
  <c r="BY101" i="7" l="1"/>
  <c r="GC56" i="7" l="1"/>
  <c r="BF71" i="7" l="1"/>
  <c r="FX89" i="7" l="1"/>
  <c r="FX86" i="7"/>
  <c r="FO71" i="7" l="1"/>
  <c r="BO112" i="7" l="1"/>
  <c r="FO25" i="7" l="1"/>
  <c r="FT41" i="7" l="1"/>
  <c r="CJ89" i="7" l="1"/>
  <c r="EP44" i="7" l="1"/>
  <c r="FX36" i="7" l="1"/>
  <c r="CJ79" i="7" l="1"/>
  <c r="BA22" i="7" l="1"/>
  <c r="BT109" i="7" l="1"/>
  <c r="EZ49" i="7" l="1"/>
  <c r="FD51" i="7" l="1"/>
  <c r="BP74" i="7" l="1"/>
  <c r="CB45" i="7" l="1"/>
  <c r="FD22" i="7" l="1"/>
  <c r="FE79" i="7" l="1"/>
  <c r="CJ85" i="7" l="1"/>
  <c r="FY106" i="7" l="1"/>
  <c r="GH90" i="7" l="1"/>
  <c r="GH87" i="7"/>
  <c r="FT80" i="7" l="1"/>
  <c r="EP40" i="7" l="1"/>
  <c r="FS25" i="7" l="1"/>
  <c r="ET31" i="7" l="1"/>
  <c r="BT104" i="7" l="1"/>
  <c r="EY46" i="7" l="1"/>
  <c r="CI72" i="7" l="1"/>
  <c r="ET38" i="7" l="1"/>
  <c r="ET34" i="7" l="1"/>
  <c r="FE96" i="7" l="1"/>
  <c r="FN55" i="7" l="1"/>
  <c r="GH106" i="7" l="1"/>
  <c r="FN41" i="7" l="1"/>
  <c r="FN76" i="7" l="1"/>
  <c r="FI61" i="7" l="1"/>
  <c r="EU96" i="7" l="1"/>
  <c r="EU24" i="7" l="1"/>
  <c r="FS29" i="7" l="1"/>
  <c r="FI112" i="7" l="1"/>
  <c r="CN99" i="7" l="1"/>
  <c r="FO103" i="7" l="1"/>
  <c r="FO88" i="7" l="1"/>
  <c r="BF83" i="7" l="1"/>
  <c r="FI27" i="7" l="1"/>
  <c r="FE28" i="7" l="1"/>
  <c r="BO113" i="7" l="1"/>
  <c r="CN91" i="7" l="1"/>
  <c r="CI94" i="7" l="1"/>
  <c r="FN30" i="7" l="1"/>
  <c r="GC59" i="7" l="1"/>
  <c r="BP88" i="7" l="1"/>
  <c r="FI35" i="7" l="1"/>
  <c r="FY97" i="7" l="1"/>
  <c r="BK75" i="7" l="1"/>
  <c r="FD47" i="7" l="1"/>
  <c r="FO110" i="7" l="1"/>
  <c r="EY111" i="7" l="1"/>
  <c r="FX42" i="7" l="1"/>
  <c r="EY63" i="7" l="1"/>
  <c r="FT23" i="7" l="1"/>
  <c r="EU88" i="7" l="1"/>
  <c r="EU48" i="7" l="1"/>
  <c r="FE94" i="7" l="1"/>
  <c r="FE103" i="7" l="1"/>
  <c r="EZ96" i="7" l="1"/>
  <c r="FE86" i="7" l="1"/>
  <c r="EZ102" i="7" l="1"/>
  <c r="BU88" i="7" l="1"/>
  <c r="CN79" i="7" l="1"/>
  <c r="FS62" i="7" l="1"/>
  <c r="BU102" i="7" l="1"/>
  <c r="EY98" i="7" l="1"/>
  <c r="CJ91" i="7" l="1"/>
  <c r="FX112" i="7" l="1"/>
  <c r="FN38" i="7" l="1"/>
  <c r="GD65" i="7" l="1"/>
  <c r="FS63" i="7" l="1"/>
  <c r="GC106" i="7" l="1"/>
  <c r="EP23" i="7" l="1"/>
  <c r="BJ105" i="7" l="1"/>
  <c r="CN109" i="7" l="1"/>
  <c r="FN72" i="7" l="1"/>
  <c r="FE72" i="7" l="1"/>
  <c r="FJ98" i="7" l="1"/>
  <c r="FN102" i="7" l="1"/>
  <c r="FS51" i="7" l="1"/>
  <c r="EU30" i="7" l="1"/>
  <c r="FX79" i="7" l="1"/>
  <c r="BA24" i="7" l="1"/>
  <c r="FI110" i="7" l="1"/>
  <c r="GH97" i="7" l="1"/>
  <c r="FJ46" i="7" l="1"/>
  <c r="CI85" i="7" l="1"/>
  <c r="FX65" i="7" l="1"/>
  <c r="FY52" i="7" l="1"/>
  <c r="FJ71" i="7" l="1"/>
  <c r="CO45" i="7" l="1"/>
  <c r="BU85" i="7" l="1"/>
  <c r="EZ46" i="7" l="1"/>
  <c r="FT22" i="7" l="1"/>
  <c r="BU112" i="7" l="1"/>
  <c r="FN31" i="7" l="1"/>
  <c r="FI74" i="7" l="1"/>
  <c r="FJ43" i="7" l="1"/>
  <c r="BA29" i="7" l="1"/>
  <c r="BA48" i="7" l="1"/>
  <c r="CI112" i="7" l="1"/>
  <c r="BJ88" i="7" l="1"/>
  <c r="BJ86" i="7" l="1"/>
  <c r="ET59" i="7" l="1"/>
  <c r="FO86" i="7" l="1"/>
  <c r="FT64" i="7" l="1"/>
  <c r="EY39" i="7" l="1"/>
  <c r="CC35" i="7" l="1"/>
  <c r="FN80" i="7" l="1"/>
  <c r="FX77" i="7" l="1"/>
  <c r="FN79" i="7" l="1"/>
  <c r="BJ108" i="7" l="1"/>
  <c r="FO26" i="7" l="1"/>
  <c r="CN95" i="7" l="1"/>
  <c r="BK114" i="7" l="1"/>
  <c r="EY91" i="7" l="1"/>
  <c r="EU82" i="7" l="1"/>
  <c r="FS80" i="7" l="1"/>
  <c r="FI113" i="7" l="1"/>
  <c r="FY43" i="7" l="1"/>
  <c r="FJ96" i="7" l="1"/>
  <c r="GH35" i="7" l="1"/>
  <c r="BP97" i="7" l="1"/>
  <c r="FT36" i="7" l="1"/>
  <c r="BK98" i="7" l="1"/>
  <c r="FD98" i="7" l="1"/>
  <c r="EZ76" i="7" l="1"/>
  <c r="FT37" i="7" l="1"/>
  <c r="FO100" i="7" l="1"/>
  <c r="EY81" i="7" l="1"/>
  <c r="BJ104" i="7" l="1"/>
  <c r="CI24" i="7" l="1"/>
  <c r="FI108" i="7" l="1"/>
  <c r="BU106" i="7" l="1"/>
  <c r="CI95" i="7" l="1"/>
  <c r="FX41" i="7" l="1"/>
  <c r="BU97" i="7" l="1"/>
  <c r="CB35" i="7" l="1"/>
  <c r="FD111" i="7" l="1"/>
  <c r="FI104" i="7" l="1"/>
  <c r="BF82" i="7" l="1"/>
  <c r="FT65" i="7" l="1"/>
  <c r="BU75" i="7" l="1"/>
  <c r="FS37" i="7" l="1"/>
  <c r="FX32" i="7" l="1"/>
  <c r="FD72" i="7" l="1"/>
  <c r="GC88" i="7" l="1"/>
  <c r="FN106" i="7" l="1"/>
  <c r="EY52" i="7" l="1"/>
  <c r="BY86" i="7" l="1"/>
  <c r="BY89" i="7"/>
  <c r="BF76" i="7" l="1"/>
  <c r="FX39" i="7" l="1"/>
  <c r="EP49" i="7" l="1"/>
  <c r="FX64" i="7" l="1"/>
  <c r="FI23" i="7" l="1"/>
  <c r="FO78" i="7" l="1"/>
  <c r="FJ76" i="7" l="1"/>
  <c r="BF88" i="7" l="1"/>
  <c r="FO34" i="7" l="1"/>
  <c r="CJ83" i="7" l="1"/>
  <c r="EY57" i="7" l="1"/>
  <c r="FO41" i="7" l="1"/>
  <c r="FJ86" i="7" l="1"/>
  <c r="FE71" i="7" l="1"/>
  <c r="FD32" i="7" l="1"/>
  <c r="FN114" i="7" l="1"/>
  <c r="FT51" i="7" l="1"/>
  <c r="CI108" i="7" l="1"/>
  <c r="FE89" i="7" l="1"/>
  <c r="BY78" i="7" l="1"/>
  <c r="FS40" i="7" l="1"/>
  <c r="FX73" i="7" l="1"/>
  <c r="FT71" i="7" l="1"/>
  <c r="EU60" i="7" l="1"/>
  <c r="FJ42" i="7" l="1"/>
  <c r="BY74" i="7" l="1"/>
  <c r="BU109" i="7" l="1"/>
  <c r="BY82" i="7" l="1"/>
  <c r="CJ84" i="7" l="1"/>
  <c r="EZ92" i="7" l="1"/>
  <c r="FJ57" i="7" l="1"/>
  <c r="EY37" i="7" l="1"/>
  <c r="FD56" i="7" l="1"/>
  <c r="FE38" i="7" l="1"/>
  <c r="FS90" i="7" l="1"/>
  <c r="FS87" i="7"/>
  <c r="FT73" i="7" l="1"/>
  <c r="FT74" i="7" l="1"/>
  <c r="FO40" i="7" l="1"/>
  <c r="FY115" i="7" l="1"/>
  <c r="FY113" i="7"/>
  <c r="FE47" i="7" l="1"/>
  <c r="GC114" i="7" l="1"/>
  <c r="FE25" i="7" l="1"/>
  <c r="FJ87" i="7" l="1"/>
  <c r="CN113" i="7" l="1"/>
  <c r="FX47" i="7" l="1"/>
  <c r="GH26" i="7" l="1"/>
  <c r="EZ83" i="7" l="1"/>
  <c r="FY41" i="7" l="1"/>
  <c r="CN105" i="7" l="1"/>
  <c r="FT109" i="7" l="1"/>
  <c r="FY90" i="7" l="1"/>
  <c r="GH112" i="7" l="1"/>
  <c r="FE107" i="7" l="1"/>
  <c r="BT40" i="7" l="1"/>
  <c r="GC52" i="7" l="1"/>
  <c r="FT29" i="7" l="1"/>
  <c r="EU28" i="7" l="1"/>
  <c r="FJ77" i="7" l="1"/>
  <c r="FJ53" i="7" l="1"/>
  <c r="BY114" i="7" l="1"/>
  <c r="FJ110" i="7" l="1"/>
  <c r="FY48" i="7" l="1"/>
  <c r="FJ29" i="7" l="1"/>
  <c r="FN103" i="7" l="1"/>
  <c r="CG44" i="7" l="1"/>
  <c r="FT48" i="7" l="1"/>
  <c r="GH103" i="7" l="1"/>
  <c r="FS50" i="7" l="1"/>
  <c r="FO114" i="7" l="1"/>
  <c r="GH84" i="7" l="1"/>
  <c r="GC97" i="7" l="1"/>
  <c r="FS42" i="7" l="1"/>
  <c r="FO84" i="7" l="1"/>
  <c r="FY73" i="7" l="1"/>
  <c r="FT38" i="7" l="1"/>
  <c r="FY62" i="7" l="1"/>
  <c r="CI76" i="7" l="1"/>
  <c r="CJ82" i="7" l="1"/>
  <c r="CP54" i="7" l="1"/>
  <c r="GC96" i="7" l="1"/>
  <c r="ET44" i="7" l="1"/>
  <c r="CI25" i="7" l="1"/>
  <c r="FT63" i="7" l="1"/>
  <c r="FO30" i="7" l="1"/>
  <c r="FE99" i="7" l="1"/>
  <c r="ET30" i="7" l="1"/>
  <c r="FD27" i="7" l="1"/>
  <c r="BP95" i="7" l="1"/>
  <c r="FS78" i="7" l="1"/>
  <c r="FJ33" i="7" l="1"/>
  <c r="ET84" i="7" l="1"/>
  <c r="BF110" i="7" l="1"/>
  <c r="FO61" i="7" l="1"/>
  <c r="GC39" i="7" l="1"/>
  <c r="GC84" i="7" l="1"/>
  <c r="EU49" i="7" l="1"/>
  <c r="BA31" i="7" l="1"/>
  <c r="FN26" i="7" l="1"/>
  <c r="BJ109" i="7" l="1"/>
  <c r="BP94" i="7" l="1"/>
  <c r="BF84" i="7" l="1"/>
  <c r="BP84" i="7" l="1"/>
  <c r="FE104" i="7" l="1"/>
  <c r="EZ58" i="7" l="1"/>
  <c r="EU44" i="7" l="1"/>
  <c r="FD87" i="7" l="1"/>
  <c r="CN106" i="7" l="1"/>
  <c r="FJ101" i="7" l="1"/>
  <c r="FT60" i="7" l="1"/>
  <c r="FX63" i="7" l="1"/>
  <c r="FS102" i="7" l="1"/>
  <c r="BZ74" i="7" l="1"/>
  <c r="EP43" i="7" l="1"/>
  <c r="GC41" i="7" l="1"/>
  <c r="FS52" i="7" l="1"/>
  <c r="FT72" i="7" l="1"/>
  <c r="EU73" i="7" l="1"/>
  <c r="CN71" i="7" l="1"/>
  <c r="FT84" i="7" l="1"/>
  <c r="BP85" i="7" l="1"/>
  <c r="EZ110" i="7" l="1"/>
  <c r="BO110" i="7" l="1"/>
  <c r="FN107" i="7" l="1"/>
  <c r="FI85" i="7" l="1"/>
  <c r="FX59" i="7" l="1"/>
  <c r="FX24" i="7" l="1"/>
  <c r="FD91" i="7" l="1"/>
  <c r="FT81" i="7" l="1"/>
  <c r="FT27" i="7" l="1"/>
  <c r="EZ63" i="7" l="1"/>
  <c r="EP42" i="7" l="1"/>
  <c r="EU53" i="7" l="1"/>
  <c r="FN92" i="7" l="1"/>
  <c r="BF79" i="7" l="1"/>
  <c r="BO108" i="7" l="1"/>
  <c r="FI103" i="7" l="1"/>
  <c r="EY103" i="7"/>
  <c r="FI48" i="7" l="1"/>
  <c r="FY36" i="7" l="1"/>
  <c r="FX103" i="7" l="1"/>
  <c r="GD56" i="7" l="1"/>
  <c r="BF100" i="7" l="1"/>
  <c r="EU32" i="7" l="1"/>
  <c r="BT86" i="7" l="1"/>
  <c r="BT89" i="7"/>
  <c r="BP72" i="7" l="1"/>
  <c r="EZ84" i="7" l="1"/>
  <c r="FE81" i="7" l="1"/>
  <c r="FJ75" i="7" l="1"/>
  <c r="BP90" i="7" l="1"/>
  <c r="CB34" i="7" l="1"/>
  <c r="BA35" i="7" l="1"/>
  <c r="FS30" i="7" l="1"/>
  <c r="ET88" i="7" l="1"/>
  <c r="EU77" i="7" l="1"/>
  <c r="BA52" i="7" l="1"/>
  <c r="FS61" i="7" l="1"/>
  <c r="FY23" i="7" l="1"/>
  <c r="FX102" i="7" l="1"/>
  <c r="FI92" i="7" l="1"/>
  <c r="GC111" i="7" l="1"/>
  <c r="FX62" i="7" l="1"/>
  <c r="EZ72" i="7" l="1"/>
  <c r="EY73" i="7" l="1"/>
  <c r="ET22" i="7" l="1"/>
  <c r="GD52" i="7" l="1"/>
  <c r="ET58" i="7" l="1"/>
  <c r="FT78" i="7" l="1"/>
  <c r="FN75" i="7" l="1"/>
  <c r="FE101" i="7" l="1"/>
  <c r="FI37" i="7" l="1"/>
  <c r="ET23" i="7" l="1"/>
  <c r="BJ84" i="7" l="1"/>
  <c r="FY25" i="7" l="1"/>
  <c r="EZ89" i="7" l="1"/>
  <c r="GD111" i="7" l="1"/>
  <c r="GC25" i="7" l="1"/>
  <c r="GC101" i="7" l="1"/>
  <c r="FX51" i="7" l="1"/>
  <c r="FX57" i="7" l="1"/>
  <c r="FS24" i="7" l="1"/>
  <c r="FX84" i="7" l="1"/>
  <c r="FE88" i="7" l="1"/>
  <c r="FY107" i="7" l="1"/>
  <c r="FS41" i="7" l="1"/>
  <c r="EY48" i="7" l="1"/>
  <c r="FD36" i="7" l="1"/>
  <c r="EU47" i="7" l="1"/>
  <c r="CF35" i="7" l="1"/>
  <c r="FO104" i="7" l="1"/>
  <c r="GC98" i="7" l="1"/>
  <c r="CA39" i="7" l="1"/>
  <c r="BA32" i="7" l="1"/>
  <c r="FI106" i="7" l="1"/>
  <c r="ET48" i="7" l="1"/>
  <c r="FD73" i="7" l="1"/>
  <c r="FX100" i="7" l="1"/>
  <c r="GC42" i="7" l="1"/>
  <c r="FS65" i="7" l="1"/>
  <c r="FX109" i="7" l="1"/>
  <c r="EP109" i="7" l="1"/>
  <c r="BP83" i="7" l="1"/>
  <c r="FX37" i="7" l="1"/>
  <c r="BJ98" i="7" l="1"/>
  <c r="BJ96" i="7" l="1"/>
  <c r="BT85" i="7" l="1"/>
  <c r="EU56" i="7" l="1"/>
  <c r="BP113" i="7" l="1"/>
  <c r="BF107" i="7" l="1"/>
  <c r="FO105" i="7" l="1"/>
  <c r="EZ90" i="7" l="1"/>
  <c r="FJ59" i="7" l="1"/>
  <c r="EU59" i="7" l="1"/>
  <c r="BK81" i="7" l="1"/>
  <c r="BJ103" i="7" l="1"/>
  <c r="FT26" i="7" l="1"/>
  <c r="FT75" i="7" l="1"/>
  <c r="FD99" i="7" l="1"/>
  <c r="BP76" i="7" l="1"/>
  <c r="BP106" i="7" l="1"/>
  <c r="CD112" i="7" l="1"/>
  <c r="FE90" i="7" l="1"/>
  <c r="EY42" i="7" l="1"/>
  <c r="CK35" i="7" l="1"/>
  <c r="FS97" i="7" l="1"/>
  <c r="FO90" i="7" l="1"/>
  <c r="CJ54" i="7" l="1"/>
  <c r="GH81" i="7" l="1"/>
  <c r="BV50" i="7" l="1"/>
  <c r="EZ80" i="7" l="1"/>
  <c r="BK107" i="7" l="1"/>
  <c r="GD71" i="7" l="1"/>
  <c r="FY112" i="7" l="1"/>
  <c r="GC80" i="7" l="1"/>
  <c r="FE32" i="7" l="1"/>
  <c r="EY33" i="7" l="1"/>
  <c r="FY72" i="7" l="1"/>
  <c r="FT100" i="7" l="1"/>
  <c r="CJ94" i="7" l="1"/>
  <c r="ET81" i="7" l="1"/>
  <c r="BJ110" i="7" l="1"/>
  <c r="GD55" i="7" l="1"/>
  <c r="GD89" i="7" l="1"/>
  <c r="EU79" i="7" l="1"/>
  <c r="BF101" i="7" l="1"/>
  <c r="EY28" i="7" l="1"/>
  <c r="EY80" i="7" l="1"/>
  <c r="BY104" i="7" l="1"/>
  <c r="BY75" i="7" l="1"/>
  <c r="BZ71" i="7" l="1"/>
  <c r="CJ78" i="7" l="1"/>
  <c r="BU113" i="7"/>
  <c r="EU91" i="7" l="1"/>
  <c r="BF99" i="7" l="1"/>
  <c r="BW30" i="7" l="1"/>
  <c r="FS74" i="7" l="1"/>
  <c r="FT58" i="7" l="1"/>
  <c r="FT79" i="7" l="1"/>
  <c r="FX106" i="7" l="1"/>
  <c r="GC93" i="7" l="1"/>
  <c r="BJ95" i="7" l="1"/>
  <c r="BJ97" i="7"/>
  <c r="BJ107" i="7" l="1"/>
  <c r="BF95" i="7" l="1"/>
  <c r="FX60" i="7" l="1"/>
  <c r="FI78" i="7" l="1"/>
  <c r="FX76" i="7" l="1"/>
  <c r="EY110" i="7"/>
  <c r="FX114" i="7" l="1"/>
  <c r="BF98" i="7" l="1"/>
  <c r="BJ100" i="7" l="1"/>
  <c r="FS73" i="7" l="1"/>
  <c r="EU57" i="7" l="1"/>
  <c r="FJ113" i="7" l="1"/>
  <c r="FJ115" i="7"/>
  <c r="BA30" i="7" l="1"/>
  <c r="EY97" i="7" l="1"/>
  <c r="EY47" i="7" l="1"/>
  <c r="FE112" i="7" l="1"/>
  <c r="BX44" i="7" l="1"/>
  <c r="FT59" i="7" l="1"/>
  <c r="FO91" i="7" l="1"/>
  <c r="FI42" i="7" l="1"/>
  <c r="FY71" i="7" l="1"/>
  <c r="CQ34" i="7" l="1"/>
  <c r="BP79" i="7" l="1"/>
  <c r="FO85" i="7" l="1"/>
  <c r="FE65" i="7" l="1"/>
  <c r="BA26" i="7" l="1"/>
  <c r="GH46" i="7" l="1"/>
  <c r="BZ30" i="7" l="1"/>
  <c r="FO22" i="7" l="1"/>
  <c r="BP102" i="7" l="1"/>
  <c r="BY45" i="7" l="1"/>
  <c r="GD31" i="7" l="1"/>
  <c r="FI60" i="7" l="1"/>
  <c r="BK95" i="7" l="1"/>
  <c r="CD109" i="7" l="1"/>
  <c r="EZ78" i="7" l="1"/>
  <c r="BZ25" i="7" l="1"/>
  <c r="FX61" i="7" l="1"/>
  <c r="CD25" i="7" l="1"/>
  <c r="EY114" i="7" l="1"/>
  <c r="BT114" i="7" l="1"/>
  <c r="BV44" i="7" l="1"/>
  <c r="FX107" i="7" l="1"/>
  <c r="BU105" i="7" l="1"/>
  <c r="EZ32" i="7" l="1"/>
  <c r="GD81" i="7" l="1"/>
  <c r="BT29" i="7" l="1"/>
  <c r="FY100" i="7" l="1"/>
  <c r="FE110" i="7" l="1"/>
  <c r="EP65" i="7" l="1"/>
  <c r="BZ45" i="7" l="1"/>
  <c r="ET57" i="7" l="1"/>
  <c r="EZ112" i="7" l="1"/>
  <c r="FJ64" i="7" l="1"/>
  <c r="FX96" i="7" l="1"/>
  <c r="FD92" i="7" l="1"/>
  <c r="CD103" i="7" l="1"/>
  <c r="FI39" i="7" l="1"/>
  <c r="FJ39" i="7" l="1"/>
  <c r="BO100" i="7" l="1"/>
  <c r="FN44" i="7" l="1"/>
  <c r="CG34" i="7" l="1"/>
  <c r="BJ81" i="7" l="1"/>
  <c r="BJ114" i="7"/>
  <c r="EY96" i="7" l="1"/>
  <c r="GH58" i="7" l="1"/>
  <c r="EY112" i="7" l="1"/>
  <c r="FD35" i="7" l="1"/>
  <c r="FN65" i="7" l="1"/>
  <c r="BZ75" i="7" l="1"/>
  <c r="GD46" i="7" l="1"/>
  <c r="FO59" i="7" l="1"/>
  <c r="FJ85" i="7" l="1"/>
  <c r="EP103" i="7" l="1"/>
  <c r="BZ76" i="7" l="1"/>
  <c r="GC38" i="7" l="1"/>
  <c r="FT111" i="7" l="1"/>
  <c r="FI46" i="7" l="1"/>
  <c r="CD95" i="7" l="1"/>
  <c r="EU51" i="7" l="1"/>
  <c r="EU31" i="7" l="1"/>
  <c r="EY108" i="7" l="1"/>
  <c r="FJ83" i="7" l="1"/>
  <c r="FE26" i="7" l="1"/>
  <c r="CI107" i="7" l="1"/>
  <c r="GC109" i="7" l="1"/>
  <c r="GH20" i="7" l="1"/>
  <c r="EZ79" i="7" l="1"/>
  <c r="FO102" i="7" l="1"/>
  <c r="GC115" i="7" l="1"/>
  <c r="FE114" i="7" l="1"/>
  <c r="FO65" i="7" l="1"/>
  <c r="CJ39" i="7" l="1"/>
  <c r="FN64" i="7" l="1"/>
  <c r="FT49" i="7" l="1"/>
  <c r="FI41" i="7" l="1"/>
  <c r="FS31" i="7" l="1"/>
  <c r="EU64" i="7" l="1"/>
  <c r="FO75" i="7" l="1"/>
  <c r="ET51" i="7" l="1"/>
  <c r="GH33" i="7" l="1"/>
  <c r="EY75" i="7" l="1"/>
  <c r="BT77" i="7" l="1"/>
  <c r="CP35" i="7" l="1"/>
  <c r="BT105" i="7" l="1"/>
  <c r="FX101" i="7" l="1"/>
  <c r="BT88" i="7" l="1"/>
  <c r="GH40" i="7" l="1"/>
  <c r="FI38" i="7" l="1"/>
  <c r="EP48" i="7" l="1"/>
  <c r="FX40" i="7" l="1"/>
  <c r="BF94" i="7" l="1"/>
  <c r="BF93" i="7" l="1"/>
  <c r="EZ85" i="7" l="1"/>
  <c r="FO56" i="7" l="1"/>
  <c r="GD75" i="7" l="1"/>
  <c r="GC87" i="7" l="1"/>
  <c r="GC90" i="7"/>
  <c r="FJ90" i="7" l="1"/>
  <c r="EU22" i="7" l="1"/>
  <c r="EP107" i="7" l="1"/>
  <c r="FJ56" i="7" l="1"/>
  <c r="FJ31" i="7" l="1"/>
  <c r="FX88" i="7" l="1"/>
  <c r="FO43" i="7" l="1"/>
  <c r="FO101" i="7" l="1"/>
  <c r="FJ74" i="7" l="1"/>
  <c r="CD54" i="7" l="1"/>
  <c r="FS82" i="7" l="1"/>
  <c r="FS76" i="7" l="1"/>
  <c r="FE105" i="7" l="1"/>
  <c r="CN92" i="7" l="1"/>
  <c r="FI44" i="7" l="1"/>
  <c r="BK108" i="7" l="1"/>
  <c r="GD64" i="7" l="1"/>
  <c r="FE42" i="7" l="1"/>
  <c r="FO81" i="7" l="1"/>
  <c r="FI62" i="7" l="1"/>
  <c r="FO54" i="7" l="1"/>
  <c r="BO84" i="7" l="1"/>
  <c r="FT82" i="7" l="1"/>
  <c r="BT76" i="7" l="1"/>
  <c r="FX110" i="7" l="1"/>
  <c r="CP34" i="7" l="1"/>
  <c r="GD73" i="7" l="1"/>
  <c r="FN32" i="7" l="1"/>
  <c r="EU63" i="7" l="1"/>
  <c r="CA40" i="7" l="1"/>
  <c r="FN74" i="7" l="1"/>
  <c r="FS55" i="7" l="1"/>
  <c r="FT25" i="7" l="1"/>
  <c r="FO79" i="7" l="1"/>
  <c r="FO99" i="7" l="1"/>
  <c r="EZ29" i="7" l="1"/>
  <c r="FX82" i="7" l="1"/>
  <c r="BA55" i="7" l="1"/>
  <c r="CM54" i="7" l="1"/>
  <c r="FT87" i="7" l="1"/>
  <c r="CN100" i="7" l="1"/>
  <c r="FN91" i="7" l="1"/>
  <c r="GH47" i="7" l="1"/>
  <c r="FT86" i="7" l="1"/>
  <c r="GC104" i="7" l="1"/>
  <c r="EZ101" i="7" l="1"/>
  <c r="FS106" i="7" l="1"/>
  <c r="FD74" i="7" l="1"/>
  <c r="BJ87" i="7" l="1"/>
  <c r="FS77" i="7" l="1"/>
  <c r="FT40" i="7" l="1"/>
  <c r="BA20" i="7" l="1"/>
  <c r="FJ109" i="7" l="1"/>
  <c r="GD63" i="7" l="1"/>
  <c r="EU23" i="7" l="1"/>
  <c r="EZ54" i="7" l="1"/>
  <c r="GD28" i="7" l="1"/>
  <c r="EZ41" i="7" l="1"/>
  <c r="FY42" i="7" l="1"/>
  <c r="FY44" i="7" l="1"/>
  <c r="EP53" i="7" l="1"/>
  <c r="EY59" i="7" l="1"/>
  <c r="FE92" i="7" l="1"/>
  <c r="ET76" i="7" l="1"/>
  <c r="BO94" i="7" l="1"/>
  <c r="BO88" i="7" l="1"/>
  <c r="BK106" i="7" l="1"/>
  <c r="BK100" i="7" l="1"/>
  <c r="BK90" i="7" l="1"/>
  <c r="BK82" i="7" l="1"/>
  <c r="FJ80" i="7" l="1"/>
  <c r="EP85" i="7" l="1"/>
  <c r="FT99" i="7" l="1"/>
  <c r="FY33" i="7" l="1"/>
  <c r="FX91" i="7" l="1"/>
  <c r="EU109" i="7" l="1"/>
  <c r="FS105" i="7" l="1"/>
  <c r="FS113" i="7" l="1"/>
  <c r="FS103" i="7" l="1"/>
  <c r="BO107" i="7" l="1"/>
  <c r="EY107" i="7" l="1"/>
  <c r="FY77" i="7" l="1"/>
  <c r="CI98" i="7" l="1"/>
  <c r="BF85" i="7" l="1"/>
  <c r="BF75" i="7" l="1"/>
  <c r="FD46" i="7" l="1"/>
  <c r="FS101" i="7" l="1"/>
  <c r="BK97" i="7" l="1"/>
  <c r="GD108" i="7" l="1"/>
  <c r="FS23" i="7" l="1"/>
  <c r="GC112" i="7" l="1"/>
  <c r="GC72" i="7" l="1"/>
  <c r="FT24" i="7" l="1"/>
  <c r="FJ100" i="7"/>
  <c r="FX115" i="7" l="1"/>
  <c r="FE98" i="7" l="1"/>
  <c r="EY27" i="7" l="1"/>
  <c r="ET100" i="7" l="1"/>
  <c r="FX50" i="7" l="1"/>
  <c r="EU113" i="7" l="1"/>
  <c r="EZ98" i="7" l="1"/>
  <c r="FS111" i="7" l="1"/>
  <c r="GC32" i="7" l="1"/>
  <c r="BW25" i="7" l="1"/>
  <c r="FY91" i="7" l="1"/>
  <c r="CI39" i="7" l="1"/>
  <c r="EP72" i="7" l="1"/>
  <c r="FO96" i="7" l="1"/>
  <c r="CN74" i="7" l="1"/>
  <c r="FN113" i="7" l="1"/>
  <c r="GH78" i="7" l="1"/>
  <c r="BP109" i="7" l="1"/>
  <c r="FT97" i="7" l="1"/>
  <c r="FJ114" i="7" l="1"/>
  <c r="FS58" i="7" l="1"/>
  <c r="ET46" i="7" l="1"/>
  <c r="ET26" i="7" l="1"/>
  <c r="BX49" i="7" l="1"/>
  <c r="CC44" i="7" l="1"/>
  <c r="GD62" i="7" l="1"/>
  <c r="BP81" i="7" l="1"/>
  <c r="FE97" i="7" l="1"/>
  <c r="BP115" i="7" l="1"/>
  <c r="BK88" i="7" l="1"/>
  <c r="FD61" i="7" l="1"/>
  <c r="EY50" i="7" l="1"/>
  <c r="FN37" i="7" l="1"/>
  <c r="CN103" i="7" l="1"/>
  <c r="FS109" i="7" l="1"/>
  <c r="GH74" i="7" l="1"/>
  <c r="FI111" i="7" l="1"/>
  <c r="FN56" i="7" l="1"/>
  <c r="BJ115" i="7" l="1"/>
  <c r="BJ113" i="7" l="1"/>
  <c r="CE44" i="7" l="1"/>
  <c r="FI51" i="7" l="1"/>
  <c r="FE44" i="7" l="1"/>
  <c r="FE39" i="7" l="1"/>
  <c r="FE34" i="7" l="1"/>
  <c r="FI31" i="7" l="1"/>
  <c r="FX38" i="7" l="1"/>
  <c r="GH89" i="7" l="1"/>
  <c r="GH86" i="7"/>
  <c r="BF77" i="7" l="1"/>
  <c r="BJ77" i="7" l="1"/>
  <c r="BJ76" i="7" l="1"/>
  <c r="BJ75" i="7" l="1"/>
  <c r="BJ74" i="7" l="1"/>
  <c r="EZ105" i="7" l="1"/>
  <c r="CN101" i="7" l="1"/>
  <c r="EP41" i="7" l="1"/>
  <c r="FS26" i="7" l="1"/>
  <c r="BU49" i="7" l="1"/>
  <c r="FX53" i="7" l="1"/>
  <c r="FX54" i="7" l="1"/>
  <c r="BW24" i="7" l="1"/>
  <c r="BJ93" i="7" l="1"/>
  <c r="BF90" i="7" l="1"/>
  <c r="BJ90" i="7" l="1"/>
  <c r="BA42" i="7" l="1"/>
  <c r="CI99" i="7" l="1"/>
  <c r="FS115" i="7" l="1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<sst xmlns="http://schemas.openxmlformats.org/spreadsheetml/2006/main" count="202" uniqueCount="126">
  <si>
    <t>Article</t>
  </si>
  <si>
    <t>314188_1</t>
  </si>
  <si>
    <t>Nombre de ligne</t>
  </si>
  <si>
    <t>% Cumulée</t>
  </si>
  <si>
    <t>Libellé article</t>
  </si>
  <si>
    <t>ABSORBANT SOL MINERAL SEPIOLITE 15/30 (SAC 20KG)</t>
  </si>
  <si>
    <t>POUBELLE IMMEUBLE 80L NOIR+COUV VERROUILLABLE-LBTP</t>
  </si>
  <si>
    <t>COMPRESSEUR PIST B6000F/500 FT 7.5 400 T 54M3/H</t>
  </si>
  <si>
    <t>BOTTE DE SECURITE PVC BRONZE2 S5 SRA VERT T43</t>
  </si>
  <si>
    <t>EVIER POS 2C REVERS VID MANU MAN721 1200</t>
  </si>
  <si>
    <t>LINGETTE NETTOYANTE SCRUBS SEAU 72</t>
  </si>
  <si>
    <t>CHIFFON ESSUYAGE TEXT TSHIRT COUL (CT 10KG)</t>
  </si>
  <si>
    <t>PAPIER TOILETTE BLC (12 RLX 165 FTS)</t>
  </si>
  <si>
    <t>BATI RAPID SL HT 1,13M MUR PORT 38340001</t>
  </si>
  <si>
    <t>CHIFFON ESSUYAGE TEXT TSHIRT COUL (SAC 10KG)</t>
  </si>
  <si>
    <t>DIABLE 125 KG ALUMINIUM REPLIABLE</t>
  </si>
  <si>
    <t>COFFRE CHANTIER 670X350X350</t>
  </si>
  <si>
    <t>CHAUSSURE SECU HAUTE STEP ROC EVOL S3 43 OPSIAL</t>
  </si>
  <si>
    <t>BIG BAG 90X90X110CM FOND PLAT 5/1 1500KG OPSIAL</t>
  </si>
  <si>
    <t>MARCHEPIED ALUMINIUM 5 MARCHE OPSIAL</t>
  </si>
  <si>
    <t>MARCHEPIED TYPE MP PRO 300 5 MARCHE HT PLATE 1,1M</t>
  </si>
  <si>
    <t>GANT HANDLITE 300N POLYAMIDE NITR. NOIR T9 OPSIAL</t>
  </si>
  <si>
    <t>ENROULEUR PRO STANDARD 25M NF H07RN-F 3G2,5 OPSIAL</t>
  </si>
  <si>
    <t>ENROULEUR PRO STANDARD 40M NF H07RN-F 3G2,5 OPSIAL</t>
  </si>
  <si>
    <t>MARCHEPIED ALUMINIUM 4 MARCHE OPSIAL</t>
  </si>
  <si>
    <t>MARCHEPIED ALUMINIUM 6 MARCHE OPSIAL</t>
  </si>
  <si>
    <t>CHIFFON ESSUYAGE TEXT SWEATSH COUL (CT 10KG)</t>
  </si>
  <si>
    <t>CHIFFON BLANC COTON MELE BTP SAC 10KG</t>
  </si>
  <si>
    <t>BOBINE OUATE BLANC 500F 2P COLLE 24,7X27CM(2 BOB)</t>
  </si>
  <si>
    <t>BOBINE OUATE CHAM 500F 2P COLLE 24,7X27CM (2 BOB)</t>
  </si>
  <si>
    <t>POTEAU PVC 0,9M RGE/BLC SOCLE CHANTIER LESTER 9KG</t>
  </si>
  <si>
    <t>CHIFFON COULEUR POLO SPECIAL BTP CART 10KG</t>
  </si>
  <si>
    <t>POUBELLE 75L PLASTIQUE SANS COUVERCLE</t>
  </si>
  <si>
    <t>BAC GERBABLE EUROPE 60L 600X400X319MM GRIS OUV</t>
  </si>
  <si>
    <t>SEAU CAOUTCHOUC TALIAGOM 13L POIGNEE+ERG ANSE5,3MM</t>
  </si>
  <si>
    <t>SEAU PLASTIQUE NOIR 11L ANSE 5,3MM 310103</t>
  </si>
  <si>
    <t>CONE SIGNALISATION PVC 2 BANDE 50CM 1,1KG</t>
  </si>
  <si>
    <t>TRANSPALETTE MANUEL 2,5T 1150X525 GRIS ERGO OPSIAL</t>
  </si>
  <si>
    <t>OUATE CHAMOIS GAUF 26X30CM (2 BOB 576FTS)</t>
  </si>
  <si>
    <t>COMBINAISON CAPUCHE TYVEK 500 XPERT BLANC TXL</t>
  </si>
  <si>
    <t>FILM BULLE ECONOMIQUE 50MIC 100CMX150M=150M2</t>
  </si>
  <si>
    <t>Standard</t>
  </si>
  <si>
    <t>CAILLEBOTIS</t>
  </si>
  <si>
    <t>2H01-04-00-01</t>
  </si>
  <si>
    <t>2H02-04-00-01</t>
  </si>
  <si>
    <t>2H01-04-00-02</t>
  </si>
  <si>
    <t>2H02-04-00-02</t>
  </si>
  <si>
    <t>2H01-04-00-03</t>
  </si>
  <si>
    <t>2H02-02-00-02</t>
  </si>
  <si>
    <t>2H02-02-00-01</t>
  </si>
  <si>
    <t>2H01-08-00-03</t>
  </si>
  <si>
    <t>2H01-08-00-02</t>
  </si>
  <si>
    <t>2H01-02-00-03</t>
  </si>
  <si>
    <t>2H01-02-00-01</t>
  </si>
  <si>
    <t>2H01-02-00-02</t>
  </si>
  <si>
    <t>2H01-10-00-03</t>
  </si>
  <si>
    <t>2H01-06-00-02</t>
  </si>
  <si>
    <t>2H01-08-00-01</t>
  </si>
  <si>
    <t>2H01-06-00-01</t>
  </si>
  <si>
    <t>2H02-02-00-03</t>
  </si>
  <si>
    <t>2H02-04-00-03</t>
  </si>
  <si>
    <t>2H02-10-00-01</t>
  </si>
  <si>
    <t>2H02-10-00-02</t>
  </si>
  <si>
    <t>2H02-10-00-03</t>
  </si>
  <si>
    <t>2H01-06-00-03</t>
  </si>
  <si>
    <t>2H02-08-00-03</t>
  </si>
  <si>
    <t>2H01-10-00-02</t>
  </si>
  <si>
    <t>Part de l'article dans l'ensemble</t>
  </si>
  <si>
    <t>Cellule accessible</t>
  </si>
  <si>
    <t>Espace GDS (uniquement niveau 0)</t>
  </si>
  <si>
    <t>Cellule bloqué avec bordure (uniquement dernier niveau)</t>
  </si>
  <si>
    <t>Allée de circulation centrale</t>
  </si>
  <si>
    <t>Cellule bloqué avec poteau (Tout le niveau est bloqué)</t>
  </si>
  <si>
    <t>Cellule bloqué avec RIA (uniquement au niveau 0)</t>
  </si>
  <si>
    <t>Cellule bloqué avec passage piéton (uniquement niveau 0)</t>
  </si>
  <si>
    <t>CELULE 1</t>
  </si>
  <si>
    <t>CELULE 2</t>
  </si>
  <si>
    <t>CELULE 3</t>
  </si>
  <si>
    <t>CELULE 4</t>
  </si>
  <si>
    <t>CUBY</t>
  </si>
  <si>
    <t>MEZZA</t>
  </si>
  <si>
    <t>Récep</t>
  </si>
  <si>
    <t>Emplacement</t>
  </si>
  <si>
    <t>2H01-10-00-01</t>
  </si>
  <si>
    <t>Lignes/j</t>
  </si>
  <si>
    <t>E</t>
  </si>
  <si>
    <t>D</t>
  </si>
  <si>
    <t>C</t>
  </si>
  <si>
    <t>B</t>
  </si>
  <si>
    <t>A</t>
  </si>
  <si>
    <t>Volume article (en L)</t>
  </si>
  <si>
    <t>Longueur (en mm)</t>
  </si>
  <si>
    <t>Largeur (en mm)</t>
  </si>
  <si>
    <t>H (en mm)</t>
  </si>
  <si>
    <t>Volume/ jour (%)</t>
  </si>
  <si>
    <t>Volume total traité par jour</t>
  </si>
  <si>
    <t>Quantité prélevé moyen par j</t>
  </si>
  <si>
    <t>% Cumulée volume</t>
  </si>
  <si>
    <t>Futur emplacement</t>
  </si>
  <si>
    <t>Poid (en g)</t>
  </si>
  <si>
    <t>Classe Volume</t>
  </si>
  <si>
    <t>Classe global</t>
  </si>
  <si>
    <t>Colonne1</t>
  </si>
  <si>
    <t>I</t>
  </si>
  <si>
    <t>Région de stockage</t>
  </si>
  <si>
    <t>P10</t>
  </si>
  <si>
    <t>Emplacement avec beaucoup de picking</t>
  </si>
  <si>
    <t>Emplacement avec énormément de picking</t>
  </si>
  <si>
    <t>Emplacement avec un picking moyen</t>
  </si>
  <si>
    <t>Emplacement avec peu de picking</t>
  </si>
  <si>
    <t>Emplacement avec très peu de picking</t>
  </si>
  <si>
    <t>Ancien emplacement</t>
  </si>
  <si>
    <t>Ecart Ancien/Futur emplacement ?</t>
  </si>
  <si>
    <t>Méca UVC?</t>
  </si>
  <si>
    <t>Méca SPCB ?</t>
  </si>
  <si>
    <t>2H02-08-00-01</t>
  </si>
  <si>
    <t>2H02-08-00-02</t>
  </si>
  <si>
    <t>2H01-01-00-01</t>
  </si>
  <si>
    <t>2H01-01-00-02</t>
  </si>
  <si>
    <t>2H01-01-00-03</t>
  </si>
  <si>
    <t>2H01-03-00-01</t>
  </si>
  <si>
    <t>2H01-03-00-02</t>
  </si>
  <si>
    <t>2H01-03-00-03</t>
  </si>
  <si>
    <t>2H01-09-00-01</t>
  </si>
  <si>
    <t>2H01-09-00-02</t>
  </si>
  <si>
    <t>2H01-09-00-03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</si>
</sst>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%"/>
  </numFmts>
  <fonts count="18" x14ac:knownFonts="1">
    <font>
      <sz val="10"/>
      <color rgb="FF000000"/>
      <name val="Arial"/>
    </font>
    <font>
      <sz val="9"/>
      <color rgb="FF333333"/>
      <name val="Arial"/>
      <family val="2"/>
    </font>
    <font>
      <sz val="10"/>
      <color rgb="FF000000"/>
      <name val="Arial"/>
      <family val="2"/>
    </font>
    <font>
      <b/>
      <sz val="9"/>
      <color theme="0"/>
      <name val="Arial"/>
      <family val="2"/>
    </font>
    <font>
      <sz val="11"/>
      <color rgb="FF000000"/>
      <name val="Calibri"/>
      <family val="2"/>
    </font>
    <font>
      <sz val="16"/>
      <color rgb="FF000000"/>
      <name val="Calibri"/>
      <family val="2"/>
    </font>
    <font>
      <sz val="26"/>
      <color rgb="FF000000"/>
      <name val="Calibri"/>
      <family val="2"/>
    </font>
    <font>
      <sz val="22"/>
      <color rgb="FF000000"/>
      <name val="Calibri"/>
      <family val="2"/>
    </font>
    <font>
      <sz val="24"/>
      <color rgb="FF000000"/>
      <name val="Calibri"/>
      <family val="2"/>
    </font>
    <font>
      <sz val="10"/>
      <color rgb="FF000000"/>
      <name val="Calibri"/>
      <family val="2"/>
    </font>
    <font>
      <sz val="20"/>
      <color rgb="FF000000"/>
      <name val="Calibri"/>
      <family val="2"/>
    </font>
    <font>
      <sz val="10"/>
      <color rgb="FF333333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10"/>
      <name val="Calibri"/>
      <family val="2"/>
    </font>
    <font>
      <sz val="10"/>
      <color rgb="FF70AD47"/>
      <name val="Calibri"/>
      <family val="2"/>
    </font>
    <font>
      <sz val="8"/>
      <color rgb="FF000000"/>
      <name val="Calibri"/>
      <family val="2"/>
    </font>
    <font>
      <sz val="10"/>
      <color theme="1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70AD47"/>
        <bgColor rgb="FF70AD47"/>
      </patternFill>
    </fill>
    <fill>
      <patternFill patternType="solid">
        <fgColor rgb="FF4472C4"/>
        <bgColor rgb="FF4472C4"/>
      </patternFill>
    </fill>
    <fill>
      <patternFill patternType="solid">
        <fgColor rgb="FF808080"/>
        <bgColor rgb="FF808080"/>
      </patternFill>
    </fill>
    <fill>
      <patternFill patternType="solid">
        <fgColor rgb="FFFFC000"/>
        <bgColor rgb="FFFFC000"/>
      </patternFill>
    </fill>
    <fill>
      <patternFill patternType="solid">
        <fgColor rgb="FF000000"/>
        <bgColor rgb="FF000000"/>
      </patternFill>
    </fill>
    <fill>
      <patternFill patternType="solid">
        <fgColor rgb="FFFF0000"/>
        <bgColor rgb="FFFF0000"/>
      </patternFill>
    </fill>
    <fill>
      <patternFill patternType="solid">
        <fgColor rgb="FFF2F2F2"/>
        <bgColor rgb="FFF2F2F2"/>
      </patternFill>
    </fill>
    <fill>
      <patternFill patternType="solid">
        <fgColor rgb="FFD9E1F2"/>
        <bgColor rgb="FFD9E1F2"/>
      </patternFill>
    </fill>
    <fill>
      <patternFill patternType="solid">
        <fgColor theme="8" tint="-0.499984740745262"/>
        <bgColor rgb="FFFFFF00"/>
      </patternFill>
    </fill>
    <fill>
      <patternFill patternType="solid">
        <fgColor theme="0" tint="-4.9989318521683403E-2"/>
        <bgColor rgb="FFF2F2F2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rgb="FF70AD47"/>
      </patternFill>
    </fill>
    <fill>
      <patternFill patternType="solid">
        <fgColor theme="0" tint="-0.499984740745262"/>
        <bgColor rgb="FF808080"/>
      </patternFill>
    </fill>
    <fill>
      <patternFill patternType="solid">
        <fgColor theme="0" tint="-0.499984740745262"/>
        <bgColor rgb="FFFFFFFF"/>
      </patternFill>
    </fill>
    <fill>
      <patternFill patternType="solid">
        <fgColor theme="0" tint="-0.499984740745262"/>
        <bgColor rgb="FFFFFF00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 tint="-0.499984740745262"/>
        <bgColor rgb="FFFFFFFF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1"/>
        <bgColor rgb="FFFFFFFF"/>
      </patternFill>
    </fill>
    <fill>
      <patternFill patternType="solid">
        <fgColor theme="1"/>
        <bgColor rgb="FFD9E1F2"/>
      </patternFill>
    </fill>
    <fill>
      <patternFill patternType="solid">
        <fgColor theme="0" tint="-4.9989318521683403E-2"/>
        <bgColor rgb="FFFF0000"/>
      </patternFill>
    </fill>
    <fill>
      <patternFill patternType="solid">
        <fgColor rgb="FFFFC7CE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2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ck">
        <color rgb="FF000000"/>
      </bottom>
      <diagonal/>
    </border>
    <border>
      <left/>
      <right style="thin">
        <color rgb="FF000000"/>
      </right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/>
      <right style="thin">
        <color rgb="FF000000"/>
      </right>
      <top style="thick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ck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 style="thin">
        <color rgb="FF000000"/>
      </bottom>
      <diagonal/>
    </border>
    <border>
      <left style="medium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medium">
        <color rgb="FF000000"/>
      </right>
      <top style="thin">
        <color rgb="FF000000"/>
      </top>
      <bottom style="thick">
        <color rgb="FF000000"/>
      </bottom>
      <diagonal/>
    </border>
    <border>
      <left style="medium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ck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/>
      <right style="thin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/>
      <diagonal/>
    </border>
    <border>
      <left style="thick">
        <color rgb="FF000000"/>
      </left>
      <right style="thin">
        <color rgb="FF000000"/>
      </right>
      <top style="medium">
        <color rgb="FF000000"/>
      </top>
      <bottom style="thin">
        <color rgb="FFFF0000"/>
      </bottom>
      <diagonal/>
    </border>
    <border>
      <left/>
      <right style="thin">
        <color rgb="FF000000"/>
      </right>
      <top style="medium">
        <color rgb="FF000000"/>
      </top>
      <bottom style="thin">
        <color rgb="FFFF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FF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FF0000"/>
      </bottom>
      <diagonal/>
    </border>
    <border>
      <left/>
      <right/>
      <top style="medium">
        <color rgb="FF000000"/>
      </top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ck">
        <color rgb="FF000000"/>
      </right>
      <top style="medium">
        <color rgb="FF000000"/>
      </top>
      <bottom style="thin">
        <color rgb="FFFF0000"/>
      </bottom>
      <diagonal/>
    </border>
    <border>
      <left style="thick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/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ck">
        <color rgb="FF000000"/>
      </right>
      <top style="thin">
        <color rgb="FF000000"/>
      </top>
      <bottom/>
      <diagonal/>
    </border>
    <border>
      <left style="thick">
        <color rgb="FF000000"/>
      </left>
      <right/>
      <top style="thin">
        <color rgb="FF000000"/>
      </top>
      <bottom/>
      <diagonal/>
    </border>
    <border>
      <left/>
      <right style="thick">
        <color rgb="FF000000"/>
      </right>
      <top/>
      <bottom style="thin">
        <color rgb="FF000000"/>
      </bottom>
      <diagonal/>
    </border>
    <border>
      <left style="thick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/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rgb="FF000000"/>
      </left>
      <right style="thick">
        <color indexed="64"/>
      </right>
      <top style="thick">
        <color indexed="64"/>
      </top>
      <bottom style="thin">
        <color rgb="FF000000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rgb="FF000000"/>
      </left>
      <right style="thin">
        <color rgb="FF000000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rgb="FF000000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rgb="FF000000"/>
      </right>
      <top style="thick">
        <color indexed="64"/>
      </top>
      <bottom style="thin">
        <color rgb="FF000000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 style="thin">
        <color rgb="FF000000"/>
      </right>
      <top style="thin">
        <color rgb="FF000000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/>
      <top/>
      <bottom/>
      <diagonal/>
    </border>
    <border>
      <left style="thin">
        <color rgb="FF000000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rgb="FF000000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rgb="FF000000"/>
      </right>
      <top style="thick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rgb="FF000000"/>
      </bottom>
      <diagonal/>
    </border>
    <border>
      <left/>
      <right style="thick">
        <color rgb="FF000000"/>
      </right>
      <top style="thick">
        <color indexed="64"/>
      </top>
      <bottom style="thick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0" fontId="4" fillId="0" borderId="0"/>
    <xf numFmtId="0" fontId="2" fillId="0" borderId="0"/>
  </cellStyleXfs>
  <cellXfs count="276">
    <xf numFmtId="0" fontId="0" fillId="0" borderId="0" xfId="0"/>
    <xf numFmtId="0" fontId="4" fillId="0" borderId="0" xfId="2"/>
    <xf numFmtId="0" fontId="4" fillId="0" borderId="0" xfId="2" applyAlignment="1">
      <alignment horizontal="left"/>
    </xf>
    <xf numFmtId="0" fontId="4" fillId="4" borderId="1" xfId="2" applyFill="1" applyBorder="1" applyAlignment="1">
      <alignment horizontal="left"/>
    </xf>
    <xf numFmtId="0" fontId="4" fillId="0" borderId="2" xfId="2" applyBorder="1" applyAlignment="1">
      <alignment horizontal="left"/>
    </xf>
    <xf numFmtId="0" fontId="4" fillId="5" borderId="1" xfId="2" applyFill="1" applyBorder="1"/>
    <xf numFmtId="0" fontId="4" fillId="6" borderId="3" xfId="2" applyFill="1" applyBorder="1" applyAlignment="1">
      <alignment horizontal="left"/>
    </xf>
    <xf numFmtId="0" fontId="4" fillId="7" borderId="1" xfId="2" applyFill="1" applyBorder="1"/>
    <xf numFmtId="0" fontId="4" fillId="8" borderId="1" xfId="2" applyFill="1" applyBorder="1"/>
    <xf numFmtId="0" fontId="4" fillId="9" borderId="0" xfId="2" applyFill="1"/>
    <xf numFmtId="0" fontId="4" fillId="9" borderId="7" xfId="2" applyFill="1" applyBorder="1"/>
    <xf numFmtId="0" fontId="8" fillId="9" borderId="9" xfId="2" applyFont="1" applyFill="1" applyBorder="1" applyAlignment="1">
      <alignment vertical="center"/>
    </xf>
    <xf numFmtId="0" fontId="8" fillId="9" borderId="7" xfId="2" applyFont="1" applyFill="1" applyBorder="1" applyAlignment="1">
      <alignment vertical="center"/>
    </xf>
    <xf numFmtId="0" fontId="4" fillId="9" borderId="8" xfId="2" applyFill="1" applyBorder="1"/>
    <xf numFmtId="0" fontId="4" fillId="9" borderId="9" xfId="2" applyFill="1" applyBorder="1"/>
    <xf numFmtId="0" fontId="8" fillId="9" borderId="20" xfId="2" applyFont="1" applyFill="1" applyBorder="1" applyAlignment="1">
      <alignment vertical="center"/>
    </xf>
    <xf numFmtId="0" fontId="8" fillId="9" borderId="0" xfId="2" applyFont="1" applyFill="1" applyAlignment="1">
      <alignment vertical="center"/>
    </xf>
    <xf numFmtId="0" fontId="4" fillId="9" borderId="21" xfId="2" applyFill="1" applyBorder="1"/>
    <xf numFmtId="0" fontId="4" fillId="9" borderId="20" xfId="2" applyFill="1" applyBorder="1"/>
    <xf numFmtId="0" fontId="9" fillId="9" borderId="20" xfId="2" applyFont="1" applyFill="1" applyBorder="1"/>
    <xf numFmtId="0" fontId="9" fillId="9" borderId="0" xfId="2" applyFont="1" applyFill="1"/>
    <xf numFmtId="0" fontId="9" fillId="9" borderId="21" xfId="2" applyFont="1" applyFill="1" applyBorder="1"/>
    <xf numFmtId="0" fontId="4" fillId="6" borderId="57" xfId="2" applyFill="1" applyBorder="1"/>
    <xf numFmtId="0" fontId="4" fillId="6" borderId="58" xfId="2" applyFill="1" applyBorder="1"/>
    <xf numFmtId="0" fontId="4" fillId="6" borderId="0" xfId="2" applyFill="1"/>
    <xf numFmtId="0" fontId="4" fillId="6" borderId="21" xfId="2" applyFill="1" applyBorder="1"/>
    <xf numFmtId="0" fontId="4" fillId="6" borderId="2" xfId="2" applyFill="1" applyBorder="1"/>
    <xf numFmtId="0" fontId="4" fillId="6" borderId="60" xfId="2" applyFill="1" applyBorder="1"/>
    <xf numFmtId="0" fontId="4" fillId="9" borderId="66" xfId="2" applyFill="1" applyBorder="1"/>
    <xf numFmtId="0" fontId="4" fillId="9" borderId="67" xfId="2" applyFill="1" applyBorder="1"/>
    <xf numFmtId="0" fontId="4" fillId="9" borderId="39" xfId="2" applyFill="1" applyBorder="1"/>
    <xf numFmtId="0" fontId="4" fillId="12" borderId="0" xfId="2" applyFill="1"/>
    <xf numFmtId="0" fontId="4" fillId="16" borderId="27" xfId="2" applyFill="1" applyBorder="1"/>
    <xf numFmtId="0" fontId="4" fillId="16" borderId="30" xfId="2" applyFill="1" applyBorder="1"/>
    <xf numFmtId="0" fontId="4" fillId="16" borderId="24" xfId="2" applyFill="1" applyBorder="1"/>
    <xf numFmtId="0" fontId="4" fillId="16" borderId="62" xfId="2" applyFill="1" applyBorder="1"/>
    <xf numFmtId="0" fontId="4" fillId="16" borderId="31" xfId="2" applyFill="1" applyBorder="1"/>
    <xf numFmtId="0" fontId="4" fillId="16" borderId="37" xfId="2" applyFill="1" applyBorder="1"/>
    <xf numFmtId="0" fontId="4" fillId="16" borderId="28" xfId="2" applyFill="1" applyBorder="1"/>
    <xf numFmtId="0" fontId="4" fillId="17" borderId="37" xfId="2" applyFill="1" applyBorder="1"/>
    <xf numFmtId="0" fontId="11" fillId="13" borderId="80" xfId="3" applyNumberFormat="1" applyFont="1" applyFill="1" applyBorder="1" applyAlignment="1">
      <alignment horizontal="left" vertical="top"/>
    </xf>
    <xf numFmtId="0" fontId="12" fillId="13" borderId="75" xfId="3" applyNumberFormat="1" applyFont="1" applyFill="1" applyBorder="1" applyAlignment="1">
      <alignment horizontal="left" vertical="top"/>
    </xf>
    <xf numFmtId="0" fontId="11" fillId="13" borderId="83" xfId="3" applyNumberFormat="1" applyFont="1" applyFill="1" applyBorder="1" applyAlignment="1">
      <alignment horizontal="left" vertical="top"/>
    </xf>
    <xf numFmtId="0" fontId="11" fillId="13" borderId="75" xfId="3" applyNumberFormat="1" applyFont="1" applyFill="1" applyBorder="1" applyAlignment="1">
      <alignment horizontal="left" vertical="top"/>
    </xf>
    <xf numFmtId="0" fontId="11" fillId="13" borderId="91" xfId="3" applyNumberFormat="1" applyFont="1" applyFill="1" applyBorder="1" applyAlignment="1">
      <alignment horizontal="left" vertical="top"/>
    </xf>
    <xf numFmtId="0" fontId="11" fillId="13" borderId="92" xfId="3" applyNumberFormat="1" applyFont="1" applyFill="1" applyBorder="1" applyAlignment="1">
      <alignment horizontal="left" vertical="top"/>
    </xf>
    <xf numFmtId="0" fontId="11" fillId="18" borderId="73" xfId="3" applyNumberFormat="1" applyFont="1" applyFill="1" applyBorder="1" applyAlignment="1">
      <alignment horizontal="left" vertical="top"/>
    </xf>
    <xf numFmtId="0" fontId="11" fillId="18" borderId="78" xfId="3" applyNumberFormat="1" applyFont="1" applyFill="1" applyBorder="1" applyAlignment="1">
      <alignment horizontal="left" vertical="top"/>
    </xf>
    <xf numFmtId="0" fontId="11" fillId="18" borderId="77" xfId="3" applyNumberFormat="1" applyFont="1" applyFill="1" applyBorder="1" applyAlignment="1">
      <alignment horizontal="left" vertical="top"/>
    </xf>
    <xf numFmtId="0" fontId="11" fillId="18" borderId="76" xfId="3" applyNumberFormat="1" applyFont="1" applyFill="1" applyBorder="1" applyAlignment="1">
      <alignment horizontal="left" vertical="top"/>
    </xf>
    <xf numFmtId="0" fontId="11" fillId="18" borderId="74" xfId="3" applyNumberFormat="1" applyFont="1" applyFill="1" applyBorder="1" applyAlignment="1">
      <alignment horizontal="left" vertical="top"/>
    </xf>
    <xf numFmtId="0" fontId="11" fillId="18" borderId="68" xfId="3" applyNumberFormat="1" applyFont="1" applyFill="1" applyBorder="1" applyAlignment="1">
      <alignment horizontal="left" vertical="top"/>
    </xf>
    <xf numFmtId="0" fontId="11" fillId="18" borderId="97" xfId="3" applyNumberFormat="1" applyFont="1" applyFill="1" applyBorder="1" applyAlignment="1">
      <alignment horizontal="left" vertical="top"/>
    </xf>
    <xf numFmtId="0" fontId="11" fillId="18" borderId="93" xfId="3" applyNumberFormat="1" applyFont="1" applyFill="1" applyBorder="1" applyAlignment="1">
      <alignment horizontal="left" vertical="top"/>
    </xf>
    <xf numFmtId="0" fontId="11" fillId="18" borderId="99" xfId="3" applyNumberFormat="1" applyFont="1" applyFill="1" applyBorder="1" applyAlignment="1">
      <alignment horizontal="left" vertical="top"/>
    </xf>
    <xf numFmtId="0" fontId="11" fillId="18" borderId="98" xfId="3" applyNumberFormat="1" applyFont="1" applyFill="1" applyBorder="1" applyAlignment="1">
      <alignment horizontal="left" vertical="top"/>
    </xf>
    <xf numFmtId="0" fontId="11" fillId="18" borderId="71" xfId="3" applyNumberFormat="1" applyFont="1" applyFill="1" applyBorder="1" applyAlignment="1">
      <alignment horizontal="left" vertical="top"/>
    </xf>
    <xf numFmtId="0" fontId="11" fillId="13" borderId="96" xfId="3" applyNumberFormat="1" applyFont="1" applyFill="1" applyBorder="1" applyAlignment="1">
      <alignment horizontal="left" vertical="top"/>
    </xf>
    <xf numFmtId="0" fontId="11" fillId="18" borderId="88" xfId="3" applyNumberFormat="1" applyFont="1" applyFill="1" applyBorder="1" applyAlignment="1">
      <alignment horizontal="left" vertical="top"/>
    </xf>
    <xf numFmtId="0" fontId="11" fillId="13" borderId="94" xfId="3" applyNumberFormat="1" applyFont="1" applyFill="1" applyBorder="1" applyAlignment="1">
      <alignment horizontal="left" vertical="top"/>
    </xf>
    <xf numFmtId="0" fontId="11" fillId="13" borderId="95" xfId="3" applyNumberFormat="1" applyFont="1" applyFill="1" applyBorder="1" applyAlignment="1">
      <alignment horizontal="left" vertical="top"/>
    </xf>
    <xf numFmtId="0" fontId="11" fillId="18" borderId="101" xfId="3" applyNumberFormat="1" applyFont="1" applyFill="1" applyBorder="1" applyAlignment="1">
      <alignment horizontal="left" vertical="top"/>
    </xf>
    <xf numFmtId="0" fontId="11" fillId="13" borderId="87" xfId="3" applyNumberFormat="1" applyFont="1" applyFill="1" applyBorder="1" applyAlignment="1">
      <alignment horizontal="left" vertical="top"/>
    </xf>
    <xf numFmtId="0" fontId="11" fillId="18" borderId="70" xfId="3" applyNumberFormat="1" applyFont="1" applyFill="1" applyBorder="1" applyAlignment="1">
      <alignment horizontal="left" vertical="top"/>
    </xf>
    <xf numFmtId="0" fontId="9" fillId="12" borderId="0" xfId="2" applyFont="1" applyFill="1"/>
    <xf numFmtId="0" fontId="4" fillId="16" borderId="1" xfId="2" applyFill="1" applyBorder="1"/>
    <xf numFmtId="0" fontId="11" fillId="14" borderId="80" xfId="3" applyNumberFormat="1" applyFont="1" applyFill="1" applyBorder="1" applyAlignment="1">
      <alignment horizontal="left" vertical="top"/>
    </xf>
    <xf numFmtId="0" fontId="11" fillId="14" borderId="75" xfId="3" applyNumberFormat="1" applyFont="1" applyFill="1" applyBorder="1" applyAlignment="1">
      <alignment horizontal="left" vertical="top"/>
    </xf>
    <xf numFmtId="0" fontId="11" fillId="14" borderId="83" xfId="3" applyNumberFormat="1" applyFont="1" applyFill="1" applyBorder="1" applyAlignment="1">
      <alignment horizontal="left" vertical="top"/>
    </xf>
    <xf numFmtId="0" fontId="8" fillId="10" borderId="7" xfId="2" applyFont="1" applyFill="1" applyBorder="1" applyAlignment="1">
      <alignment vertical="center"/>
    </xf>
    <xf numFmtId="0" fontId="8" fillId="10" borderId="0" xfId="2" applyFont="1" applyFill="1" applyBorder="1" applyAlignment="1">
      <alignment vertical="center"/>
    </xf>
    <xf numFmtId="0" fontId="11" fillId="23" borderId="77" xfId="3" applyNumberFormat="1" applyFont="1" applyFill="1" applyBorder="1" applyAlignment="1">
      <alignment horizontal="left" vertical="top"/>
    </xf>
    <xf numFmtId="0" fontId="11" fillId="24" borderId="80" xfId="3" applyNumberFormat="1" applyFont="1" applyFill="1" applyBorder="1" applyAlignment="1">
      <alignment horizontal="left" vertical="top"/>
    </xf>
    <xf numFmtId="0" fontId="11" fillId="25" borderId="77" xfId="3" applyNumberFormat="1" applyFont="1" applyFill="1" applyBorder="1" applyAlignment="1">
      <alignment horizontal="left" vertical="top"/>
    </xf>
    <xf numFmtId="0" fontId="11" fillId="25" borderId="99" xfId="3" applyNumberFormat="1" applyFont="1" applyFill="1" applyBorder="1" applyAlignment="1">
      <alignment horizontal="left" vertical="top"/>
    </xf>
    <xf numFmtId="0" fontId="11" fillId="25" borderId="76" xfId="3" applyNumberFormat="1" applyFont="1" applyFill="1" applyBorder="1" applyAlignment="1">
      <alignment horizontal="left" vertical="top"/>
    </xf>
    <xf numFmtId="0" fontId="11" fillId="25" borderId="97" xfId="3" applyNumberFormat="1" applyFont="1" applyFill="1" applyBorder="1" applyAlignment="1">
      <alignment horizontal="left" vertical="top"/>
    </xf>
    <xf numFmtId="0" fontId="9" fillId="9" borderId="0" xfId="2" applyFont="1" applyFill="1" applyAlignment="1">
      <alignment vertical="center"/>
    </xf>
    <xf numFmtId="0" fontId="9" fillId="10" borderId="0" xfId="2" applyFont="1" applyFill="1" applyBorder="1" applyAlignment="1">
      <alignment vertical="center"/>
    </xf>
    <xf numFmtId="0" fontId="9" fillId="3" borderId="30" xfId="2" applyFont="1" applyFill="1" applyBorder="1"/>
    <xf numFmtId="0" fontId="9" fillId="15" borderId="0" xfId="2" applyFont="1" applyFill="1"/>
    <xf numFmtId="0" fontId="9" fillId="3" borderId="38" xfId="2" applyFont="1" applyFill="1" applyBorder="1"/>
    <xf numFmtId="0" fontId="9" fillId="3" borderId="39" xfId="2" applyFont="1" applyFill="1" applyBorder="1"/>
    <xf numFmtId="0" fontId="9" fillId="7" borderId="28" xfId="2" applyFont="1" applyFill="1" applyBorder="1"/>
    <xf numFmtId="0" fontId="14" fillId="10" borderId="0" xfId="2" applyFont="1" applyFill="1" applyBorder="1" applyAlignment="1">
      <alignment vertical="center"/>
    </xf>
    <xf numFmtId="0" fontId="9" fillId="8" borderId="22" xfId="2" applyFont="1" applyFill="1" applyBorder="1"/>
    <xf numFmtId="0" fontId="9" fillId="8" borderId="25" xfId="2" applyFont="1" applyFill="1" applyBorder="1"/>
    <xf numFmtId="0" fontId="9" fillId="8" borderId="23" xfId="2" applyFont="1" applyFill="1" applyBorder="1"/>
    <xf numFmtId="0" fontId="9" fillId="8" borderId="26" xfId="2" applyFont="1" applyFill="1" applyBorder="1"/>
    <xf numFmtId="0" fontId="9" fillId="11" borderId="24" xfId="2" applyFont="1" applyFill="1" applyBorder="1"/>
    <xf numFmtId="0" fontId="9" fillId="11" borderId="28" xfId="2" applyFont="1" applyFill="1" applyBorder="1"/>
    <xf numFmtId="0" fontId="9" fillId="9" borderId="50" xfId="2" applyFont="1" applyFill="1" applyBorder="1"/>
    <xf numFmtId="0" fontId="9" fillId="9" borderId="20" xfId="2" applyFont="1" applyFill="1" applyBorder="1" applyAlignment="1">
      <alignment vertical="center"/>
    </xf>
    <xf numFmtId="0" fontId="9" fillId="10" borderId="2" xfId="2" applyFont="1" applyFill="1" applyBorder="1" applyAlignment="1">
      <alignment vertical="center"/>
    </xf>
    <xf numFmtId="0" fontId="9" fillId="6" borderId="59" xfId="2" applyFont="1" applyFill="1" applyBorder="1"/>
    <xf numFmtId="0" fontId="9" fillId="6" borderId="57" xfId="2" applyFont="1" applyFill="1" applyBorder="1"/>
    <xf numFmtId="0" fontId="9" fillId="6" borderId="58" xfId="2" applyFont="1" applyFill="1" applyBorder="1"/>
    <xf numFmtId="0" fontId="9" fillId="6" borderId="20" xfId="2" applyFont="1" applyFill="1" applyBorder="1"/>
    <xf numFmtId="0" fontId="9" fillId="6" borderId="0" xfId="2" applyFont="1" applyFill="1"/>
    <xf numFmtId="0" fontId="9" fillId="6" borderId="21" xfId="2" applyFont="1" applyFill="1" applyBorder="1"/>
    <xf numFmtId="0" fontId="9" fillId="6" borderId="61" xfId="2" applyFont="1" applyFill="1" applyBorder="1"/>
    <xf numFmtId="0" fontId="9" fillId="6" borderId="2" xfId="2" applyFont="1" applyFill="1" applyBorder="1"/>
    <xf numFmtId="0" fontId="9" fillId="6" borderId="60" xfId="2" applyFont="1" applyFill="1" applyBorder="1"/>
    <xf numFmtId="0" fontId="9" fillId="16" borderId="24" xfId="2" applyFont="1" applyFill="1" applyBorder="1"/>
    <xf numFmtId="0" fontId="9" fillId="16" borderId="84" xfId="2" applyFont="1" applyFill="1" applyBorder="1"/>
    <xf numFmtId="0" fontId="9" fillId="16" borderId="27" xfId="2" applyFont="1" applyFill="1" applyBorder="1"/>
    <xf numFmtId="0" fontId="9" fillId="16" borderId="85" xfId="2" applyFont="1" applyFill="1" applyBorder="1"/>
    <xf numFmtId="0" fontId="9" fillId="16" borderId="30" xfId="2" applyFont="1" applyFill="1" applyBorder="1"/>
    <xf numFmtId="0" fontId="9" fillId="16" borderId="86" xfId="2" applyFont="1" applyFill="1" applyBorder="1"/>
    <xf numFmtId="0" fontId="9" fillId="16" borderId="79" xfId="2" applyFont="1" applyFill="1" applyBorder="1"/>
    <xf numFmtId="0" fontId="9" fillId="16" borderId="81" xfId="2" applyFont="1" applyFill="1" applyBorder="1"/>
    <xf numFmtId="0" fontId="9" fillId="16" borderId="82" xfId="2" applyFont="1" applyFill="1" applyBorder="1"/>
    <xf numFmtId="0" fontId="9" fillId="7" borderId="100" xfId="2" applyFont="1" applyFill="1" applyBorder="1"/>
    <xf numFmtId="0" fontId="9" fillId="9" borderId="90" xfId="2" applyFont="1" applyFill="1" applyBorder="1"/>
    <xf numFmtId="0" fontId="9" fillId="8" borderId="31" xfId="2" applyFont="1" applyFill="1" applyBorder="1"/>
    <xf numFmtId="0" fontId="9" fillId="7" borderId="103" xfId="2" applyFont="1" applyFill="1" applyBorder="1"/>
    <xf numFmtId="0" fontId="9" fillId="17" borderId="27" xfId="2" applyFont="1" applyFill="1" applyBorder="1"/>
    <xf numFmtId="0" fontId="9" fillId="17" borderId="81" xfId="2" applyFont="1" applyFill="1" applyBorder="1"/>
    <xf numFmtId="0" fontId="9" fillId="7" borderId="102" xfId="2" applyFont="1" applyFill="1" applyBorder="1"/>
    <xf numFmtId="0" fontId="9" fillId="0" borderId="0" xfId="2" applyFont="1"/>
    <xf numFmtId="0" fontId="9" fillId="11" borderId="79" xfId="2" applyFont="1" applyFill="1" applyBorder="1"/>
    <xf numFmtId="0" fontId="9" fillId="19" borderId="69" xfId="2" applyFont="1" applyFill="1" applyBorder="1"/>
    <xf numFmtId="0" fontId="9" fillId="11" borderId="72" xfId="2" applyFont="1" applyFill="1" applyBorder="1"/>
    <xf numFmtId="0" fontId="9" fillId="11" borderId="69" xfId="2" applyFont="1" applyFill="1" applyBorder="1"/>
    <xf numFmtId="0" fontId="9" fillId="11" borderId="103" xfId="2" applyFont="1" applyFill="1" applyBorder="1"/>
    <xf numFmtId="0" fontId="9" fillId="9" borderId="21" xfId="2" applyFont="1" applyFill="1" applyBorder="1" applyAlignment="1">
      <alignment vertical="center"/>
    </xf>
    <xf numFmtId="0" fontId="9" fillId="9" borderId="0" xfId="2" applyFont="1" applyFill="1" applyBorder="1"/>
    <xf numFmtId="0" fontId="9" fillId="4" borderId="27" xfId="2" applyFont="1" applyFill="1" applyBorder="1"/>
    <xf numFmtId="0" fontId="9" fillId="4" borderId="30" xfId="2" applyFont="1" applyFill="1" applyBorder="1"/>
    <xf numFmtId="0" fontId="9" fillId="17" borderId="82" xfId="2" applyFont="1" applyFill="1" applyBorder="1"/>
    <xf numFmtId="0" fontId="9" fillId="9" borderId="66" xfId="2" applyFont="1" applyFill="1" applyBorder="1"/>
    <xf numFmtId="0" fontId="9" fillId="9" borderId="67" xfId="2" applyFont="1" applyFill="1" applyBorder="1"/>
    <xf numFmtId="0" fontId="9" fillId="9" borderId="39" xfId="2" applyFont="1" applyFill="1" applyBorder="1"/>
    <xf numFmtId="0" fontId="9" fillId="10" borderId="68" xfId="2" applyFont="1" applyFill="1" applyBorder="1" applyAlignment="1">
      <alignment vertical="center"/>
    </xf>
    <xf numFmtId="0" fontId="9" fillId="10" borderId="80" xfId="2" applyFont="1" applyFill="1" applyBorder="1" applyAlignment="1">
      <alignment vertical="center"/>
    </xf>
    <xf numFmtId="0" fontId="9" fillId="10" borderId="76" xfId="2" applyFont="1" applyFill="1" applyBorder="1" applyAlignment="1">
      <alignment vertical="center"/>
    </xf>
    <xf numFmtId="0" fontId="9" fillId="10" borderId="75" xfId="2" applyFont="1" applyFill="1" applyBorder="1" applyAlignment="1">
      <alignment vertical="center"/>
    </xf>
    <xf numFmtId="0" fontId="9" fillId="10" borderId="97" xfId="2" applyFont="1" applyFill="1" applyBorder="1" applyAlignment="1">
      <alignment vertical="center"/>
    </xf>
    <xf numFmtId="0" fontId="9" fillId="10" borderId="83" xfId="2" applyFont="1" applyFill="1" applyBorder="1" applyAlignment="1">
      <alignment vertical="center"/>
    </xf>
    <xf numFmtId="0" fontId="4" fillId="11" borderId="1" xfId="2" applyFill="1" applyBorder="1"/>
    <xf numFmtId="0" fontId="9" fillId="10" borderId="104" xfId="2" applyFont="1" applyFill="1" applyBorder="1" applyAlignment="1">
      <alignment vertical="center"/>
    </xf>
    <xf numFmtId="0" fontId="9" fillId="10" borderId="105" xfId="2" applyFont="1" applyFill="1" applyBorder="1" applyAlignment="1">
      <alignment vertical="center"/>
    </xf>
    <xf numFmtId="0" fontId="9" fillId="26" borderId="68" xfId="2" applyFont="1" applyFill="1" applyBorder="1" applyAlignment="1">
      <alignment vertical="center"/>
    </xf>
    <xf numFmtId="0" fontId="9" fillId="26" borderId="104" xfId="2" applyFont="1" applyFill="1" applyBorder="1" applyAlignment="1">
      <alignment vertical="center"/>
    </xf>
    <xf numFmtId="0" fontId="9" fillId="26" borderId="76" xfId="2" applyFont="1" applyFill="1" applyBorder="1" applyAlignment="1">
      <alignment vertical="center"/>
    </xf>
    <xf numFmtId="0" fontId="9" fillId="26" borderId="80" xfId="2" applyFont="1" applyFill="1" applyBorder="1" applyAlignment="1">
      <alignment vertical="center"/>
    </xf>
    <xf numFmtId="0" fontId="9" fillId="26" borderId="75" xfId="2" applyFont="1" applyFill="1" applyBorder="1" applyAlignment="1">
      <alignment vertical="center"/>
    </xf>
    <xf numFmtId="0" fontId="16" fillId="9" borderId="0" xfId="2" applyFont="1" applyFill="1"/>
    <xf numFmtId="0" fontId="9" fillId="27" borderId="0" xfId="2" applyFont="1" applyFill="1" applyBorder="1"/>
    <xf numFmtId="0" fontId="9" fillId="10" borderId="106" xfId="2" applyFont="1" applyFill="1" applyBorder="1" applyAlignment="1">
      <alignment vertical="center"/>
    </xf>
    <xf numFmtId="0" fontId="9" fillId="10" borderId="107" xfId="2" applyFont="1" applyFill="1" applyBorder="1" applyAlignment="1">
      <alignment vertical="center"/>
    </xf>
    <xf numFmtId="0" fontId="9" fillId="10" borderId="108" xfId="2" applyFont="1" applyFill="1" applyBorder="1" applyAlignment="1">
      <alignment vertical="center"/>
    </xf>
    <xf numFmtId="0" fontId="9" fillId="10" borderId="109" xfId="2" applyFont="1" applyFill="1" applyBorder="1" applyAlignment="1">
      <alignment vertical="center"/>
    </xf>
    <xf numFmtId="0" fontId="9" fillId="8" borderId="110" xfId="2" applyFont="1" applyFill="1" applyBorder="1"/>
    <xf numFmtId="0" fontId="9" fillId="8" borderId="111" xfId="2" applyFont="1" applyFill="1" applyBorder="1"/>
    <xf numFmtId="0" fontId="9" fillId="10" borderId="112" xfId="2" applyFont="1" applyFill="1" applyBorder="1" applyAlignment="1">
      <alignment vertical="center"/>
    </xf>
    <xf numFmtId="0" fontId="4" fillId="20" borderId="89" xfId="2" applyFill="1" applyBorder="1"/>
    <xf numFmtId="0" fontId="9" fillId="10" borderId="89" xfId="2" applyFont="1" applyFill="1" applyBorder="1" applyAlignment="1">
      <alignment vertical="center"/>
    </xf>
    <xf numFmtId="0" fontId="4" fillId="21" borderId="89" xfId="2" applyFill="1" applyBorder="1"/>
    <xf numFmtId="0" fontId="4" fillId="28" borderId="89" xfId="2" applyFill="1" applyBorder="1"/>
    <xf numFmtId="0" fontId="4" fillId="22" borderId="89" xfId="2" applyFill="1" applyBorder="1"/>
    <xf numFmtId="0" fontId="9" fillId="0" borderId="0" xfId="2" applyFont="1" applyAlignment="1">
      <alignment horizontal="left"/>
    </xf>
    <xf numFmtId="0" fontId="4" fillId="16" borderId="11" xfId="2" applyFill="1" applyBorder="1"/>
    <xf numFmtId="0" fontId="4" fillId="16" borderId="12" xfId="2" applyFill="1" applyBorder="1"/>
    <xf numFmtId="0" fontId="4" fillId="16" borderId="13" xfId="2" applyFill="1" applyBorder="1"/>
    <xf numFmtId="0" fontId="4" fillId="16" borderId="14" xfId="2" applyFill="1" applyBorder="1"/>
    <xf numFmtId="0" fontId="4" fillId="16" borderId="15" xfId="2" applyFill="1" applyBorder="1"/>
    <xf numFmtId="0" fontId="4" fillId="16" borderId="16" xfId="2" applyFill="1" applyBorder="1"/>
    <xf numFmtId="0" fontId="4" fillId="16" borderId="10" xfId="2" applyFill="1" applyBorder="1"/>
    <xf numFmtId="0" fontId="9" fillId="16" borderId="14" xfId="2" applyFont="1" applyFill="1" applyBorder="1"/>
    <xf numFmtId="0" fontId="9" fillId="16" borderId="19" xfId="2" applyFont="1" applyFill="1" applyBorder="1"/>
    <xf numFmtId="0" fontId="9" fillId="16" borderId="38" xfId="2" applyFont="1" applyFill="1" applyBorder="1"/>
    <xf numFmtId="0" fontId="9" fillId="16" borderId="39" xfId="2" applyFont="1" applyFill="1" applyBorder="1"/>
    <xf numFmtId="0" fontId="9" fillId="16" borderId="45" xfId="2" applyFont="1" applyFill="1" applyBorder="1"/>
    <xf numFmtId="0" fontId="9" fillId="16" borderId="46" xfId="2" applyFont="1" applyFill="1" applyBorder="1"/>
    <xf numFmtId="0" fontId="9" fillId="16" borderId="47" xfId="2" applyFont="1" applyFill="1" applyBorder="1"/>
    <xf numFmtId="0" fontId="9" fillId="16" borderId="48" xfId="2" applyFont="1" applyFill="1" applyBorder="1"/>
    <xf numFmtId="0" fontId="9" fillId="16" borderId="49" xfId="2" applyFont="1" applyFill="1" applyBorder="1"/>
    <xf numFmtId="0" fontId="9" fillId="16" borderId="52" xfId="2" applyFont="1" applyFill="1" applyBorder="1"/>
    <xf numFmtId="0" fontId="9" fillId="16" borderId="41" xfId="2" applyFont="1" applyFill="1" applyBorder="1"/>
    <xf numFmtId="0" fontId="9" fillId="16" borderId="42" xfId="2" applyFont="1" applyFill="1" applyBorder="1"/>
    <xf numFmtId="0" fontId="9" fillId="16" borderId="53" xfId="2" applyFont="1" applyFill="1" applyBorder="1"/>
    <xf numFmtId="0" fontId="9" fillId="16" borderId="54" xfId="2" applyFont="1" applyFill="1" applyBorder="1"/>
    <xf numFmtId="0" fontId="9" fillId="16" borderId="56" xfId="2" applyFont="1" applyFill="1" applyBorder="1"/>
    <xf numFmtId="0" fontId="9" fillId="16" borderId="40" xfId="2" applyFont="1" applyFill="1" applyBorder="1"/>
    <xf numFmtId="0" fontId="9" fillId="16" borderId="51" xfId="2" applyFont="1" applyFill="1" applyBorder="1"/>
    <xf numFmtId="0" fontId="9" fillId="16" borderId="43" xfId="2" applyFont="1" applyFill="1" applyBorder="1"/>
    <xf numFmtId="0" fontId="9" fillId="16" borderId="33" xfId="2" applyFont="1" applyFill="1" applyBorder="1"/>
    <xf numFmtId="0" fontId="9" fillId="16" borderId="34" xfId="2" applyFont="1" applyFill="1" applyBorder="1"/>
    <xf numFmtId="0" fontId="9" fillId="16" borderId="35" xfId="2" applyFont="1" applyFill="1" applyBorder="1"/>
    <xf numFmtId="0" fontId="9" fillId="16" borderId="36" xfId="2" applyFont="1" applyFill="1" applyBorder="1"/>
    <xf numFmtId="0" fontId="4" fillId="16" borderId="19" xfId="2" applyFill="1" applyBorder="1"/>
    <xf numFmtId="0" fontId="4" fillId="16" borderId="17" xfId="2" applyFill="1" applyBorder="1"/>
    <xf numFmtId="0" fontId="4" fillId="16" borderId="18" xfId="2" applyFill="1" applyBorder="1"/>
    <xf numFmtId="0" fontId="4" fillId="16" borderId="22" xfId="2" applyFill="1" applyBorder="1"/>
    <xf numFmtId="0" fontId="4" fillId="16" borderId="23" xfId="2" applyFill="1" applyBorder="1"/>
    <xf numFmtId="0" fontId="9" fillId="16" borderId="25" xfId="2" applyFont="1" applyFill="1" applyBorder="1"/>
    <xf numFmtId="0" fontId="9" fillId="16" borderId="26" xfId="2" applyFont="1" applyFill="1" applyBorder="1"/>
    <xf numFmtId="0" fontId="9" fillId="16" borderId="17" xfId="2" applyFont="1" applyFill="1" applyBorder="1"/>
    <xf numFmtId="0" fontId="9" fillId="16" borderId="18" xfId="2" applyFont="1" applyFill="1" applyBorder="1"/>
    <xf numFmtId="0" fontId="9" fillId="16" borderId="22" xfId="2" applyFont="1" applyFill="1" applyBorder="1"/>
    <xf numFmtId="0" fontId="9" fillId="16" borderId="23" xfId="2" applyFont="1" applyFill="1" applyBorder="1"/>
    <xf numFmtId="0" fontId="9" fillId="16" borderId="29" xfId="2" applyFont="1" applyFill="1" applyBorder="1"/>
    <xf numFmtId="0" fontId="9" fillId="16" borderId="32" xfId="2" applyFont="1" applyFill="1" applyBorder="1"/>
    <xf numFmtId="0" fontId="9" fillId="16" borderId="44" xfId="2" applyFont="1" applyFill="1" applyBorder="1"/>
    <xf numFmtId="0" fontId="9" fillId="16" borderId="37" xfId="2" applyFont="1" applyFill="1" applyBorder="1"/>
    <xf numFmtId="0" fontId="9" fillId="16" borderId="28" xfId="2" applyFont="1" applyFill="1" applyBorder="1"/>
    <xf numFmtId="0" fontId="9" fillId="16" borderId="31" xfId="2" applyFont="1" applyFill="1" applyBorder="1"/>
    <xf numFmtId="0" fontId="9" fillId="16" borderId="55" xfId="2" applyFont="1" applyFill="1" applyBorder="1"/>
    <xf numFmtId="0" fontId="9" fillId="16" borderId="63" xfId="2" applyFont="1" applyFill="1" applyBorder="1"/>
    <xf numFmtId="0" fontId="15" fillId="16" borderId="24" xfId="2" applyFont="1" applyFill="1" applyBorder="1"/>
    <xf numFmtId="0" fontId="15" fillId="16" borderId="28" xfId="2" applyFont="1" applyFill="1" applyBorder="1"/>
    <xf numFmtId="0" fontId="15" fillId="16" borderId="27" xfId="2" applyFont="1" applyFill="1" applyBorder="1"/>
    <xf numFmtId="0" fontId="15" fillId="16" borderId="31" xfId="2" applyFont="1" applyFill="1" applyBorder="1"/>
    <xf numFmtId="0" fontId="15" fillId="16" borderId="30" xfId="2" applyFont="1" applyFill="1" applyBorder="1"/>
    <xf numFmtId="0" fontId="15" fillId="16" borderId="37" xfId="2" applyFont="1" applyFill="1" applyBorder="1"/>
    <xf numFmtId="0" fontId="9" fillId="16" borderId="62" xfId="2" applyFont="1" applyFill="1" applyBorder="1"/>
    <xf numFmtId="0" fontId="11" fillId="13" borderId="68" xfId="3" applyNumberFormat="1" applyFont="1" applyFill="1" applyBorder="1" applyAlignment="1">
      <alignment horizontal="left" vertical="top"/>
    </xf>
    <xf numFmtId="0" fontId="12" fillId="13" borderId="76" xfId="3" applyNumberFormat="1" applyFont="1" applyFill="1" applyBorder="1" applyAlignment="1">
      <alignment horizontal="left" vertical="top"/>
    </xf>
    <xf numFmtId="0" fontId="11" fillId="13" borderId="97" xfId="3" applyNumberFormat="1" applyFont="1" applyFill="1" applyBorder="1" applyAlignment="1">
      <alignment horizontal="left" vertical="top"/>
    </xf>
    <xf numFmtId="0" fontId="4" fillId="15" borderId="0" xfId="2" applyFill="1"/>
    <xf numFmtId="0" fontId="11" fillId="14" borderId="68" xfId="3" applyNumberFormat="1" applyFont="1" applyFill="1" applyBorder="1" applyAlignment="1">
      <alignment horizontal="left" vertical="top"/>
    </xf>
    <xf numFmtId="0" fontId="12" fillId="14" borderId="76" xfId="3" applyNumberFormat="1" applyFont="1" applyFill="1" applyBorder="1" applyAlignment="1">
      <alignment horizontal="left" vertical="top"/>
    </xf>
    <xf numFmtId="0" fontId="12" fillId="14" borderId="75" xfId="3" applyNumberFormat="1" applyFont="1" applyFill="1" applyBorder="1" applyAlignment="1">
      <alignment horizontal="left" vertical="top"/>
    </xf>
    <xf numFmtId="0" fontId="11" fillId="13" borderId="113" xfId="3" applyNumberFormat="1" applyFont="1" applyFill="1" applyBorder="1" applyAlignment="1">
      <alignment horizontal="left" vertical="top"/>
    </xf>
    <xf numFmtId="0" fontId="12" fillId="13" borderId="114" xfId="3" applyNumberFormat="1" applyFont="1" applyFill="1" applyBorder="1" applyAlignment="1">
      <alignment horizontal="left" vertical="top"/>
    </xf>
    <xf numFmtId="0" fontId="9" fillId="9" borderId="115" xfId="2" applyFont="1" applyFill="1" applyBorder="1"/>
    <xf numFmtId="0" fontId="12" fillId="13" borderId="116" xfId="3" applyNumberFormat="1" applyFont="1" applyFill="1" applyBorder="1" applyAlignment="1">
      <alignment horizontal="left" vertical="top"/>
    </xf>
    <xf numFmtId="0" fontId="11" fillId="13" borderId="114" xfId="3" applyNumberFormat="1" applyFont="1" applyFill="1" applyBorder="1" applyAlignment="1">
      <alignment horizontal="left" vertical="top"/>
    </xf>
    <xf numFmtId="0" fontId="9" fillId="11" borderId="117" xfId="2" applyFont="1" applyFill="1" applyBorder="1"/>
    <xf numFmtId="0" fontId="9" fillId="9" borderId="118" xfId="2" applyFont="1" applyFill="1" applyBorder="1"/>
    <xf numFmtId="0" fontId="17" fillId="29" borderId="119" xfId="0" applyFont="1" applyFill="1" applyBorder="1"/>
    <xf numFmtId="0" fontId="17" fillId="29" borderId="120" xfId="0" applyFont="1" applyFill="1" applyBorder="1"/>
    <xf numFmtId="0" fontId="17" fillId="0" borderId="119" xfId="0" applyFont="1" applyBorder="1"/>
    <xf numFmtId="0" fontId="17" fillId="0" borderId="120" xfId="0" applyFont="1" applyBorder="1"/>
    <xf numFmtId="49" fontId="3" fillId="30" borderId="119" xfId="0" applyNumberFormat="1" applyFont="1" applyFill="1" applyBorder="1" applyAlignment="1">
      <alignment horizontal="center" vertical="center" wrapText="1"/>
    </xf>
    <xf numFmtId="49" fontId="3" fillId="30" borderId="120" xfId="0" applyNumberFormat="1" applyFont="1" applyFill="1" applyBorder="1" applyAlignment="1">
      <alignment horizontal="center" vertical="center" wrapText="1"/>
    </xf>
    <xf numFmtId="0" fontId="3" fillId="30" borderId="120" xfId="0" applyNumberFormat="1" applyFont="1" applyFill="1" applyBorder="1" applyAlignment="1">
      <alignment horizontal="center" vertical="center" wrapText="1"/>
    </xf>
    <xf numFmtId="10" fontId="3" fillId="30" borderId="120" xfId="1" applyNumberFormat="1" applyFont="1" applyFill="1" applyBorder="1" applyAlignment="1">
      <alignment horizontal="center" vertical="center" wrapText="1"/>
    </xf>
    <xf numFmtId="49" fontId="13" fillId="14" borderId="120" xfId="0" applyNumberFormat="1" applyFont="1" applyFill="1" applyBorder="1" applyAlignment="1">
      <alignment horizontal="center" vertical="center" wrapText="1"/>
    </xf>
    <xf numFmtId="49" fontId="3" fillId="30" borderId="121" xfId="0" applyNumberFormat="1" applyFont="1" applyFill="1" applyBorder="1" applyAlignment="1">
      <alignment horizontal="center" vertical="center" wrapText="1"/>
    </xf>
    <xf numFmtId="49" fontId="1" fillId="29" borderId="120" xfId="0" applyNumberFormat="1" applyFont="1" applyFill="1" applyBorder="1" applyAlignment="1">
      <alignment horizontal="center" vertical="center"/>
    </xf>
    <xf numFmtId="49" fontId="1" fillId="29" borderId="120" xfId="0" applyNumberFormat="1" applyFont="1" applyFill="1" applyBorder="1" applyAlignment="1">
      <alignment horizontal="left" vertical="center"/>
    </xf>
    <xf numFmtId="0" fontId="1" fillId="29" borderId="120" xfId="0" applyNumberFormat="1" applyFont="1" applyFill="1" applyBorder="1" applyAlignment="1">
      <alignment horizontal="left" vertical="center"/>
    </xf>
    <xf numFmtId="2" fontId="1" fillId="29" borderId="120" xfId="0" applyNumberFormat="1" applyFont="1" applyFill="1" applyBorder="1" applyAlignment="1">
      <alignment horizontal="left" vertical="center"/>
    </xf>
    <xf numFmtId="164" fontId="17" fillId="29" borderId="120" xfId="1" applyNumberFormat="1" applyFont="1" applyFill="1" applyBorder="1"/>
    <xf numFmtId="164" fontId="17" fillId="29" borderId="120" xfId="0" applyNumberFormat="1" applyFont="1" applyFill="1" applyBorder="1"/>
    <xf numFmtId="10" fontId="17" fillId="29" borderId="120" xfId="1" applyNumberFormat="1" applyFont="1" applyFill="1" applyBorder="1"/>
    <xf numFmtId="0" fontId="12" fillId="14" borderId="120" xfId="0" applyFont="1" applyFill="1" applyBorder="1"/>
    <xf numFmtId="0" fontId="17" fillId="29" borderId="120" xfId="0" applyNumberFormat="1" applyFont="1" applyFill="1" applyBorder="1"/>
    <xf numFmtId="0" fontId="17" fillId="29" borderId="121" xfId="0" applyNumberFormat="1" applyFont="1" applyFill="1" applyBorder="1"/>
    <xf numFmtId="49" fontId="1" fillId="0" borderId="120" xfId="0" applyNumberFormat="1" applyFont="1" applyBorder="1" applyAlignment="1">
      <alignment horizontal="center" vertical="center"/>
    </xf>
    <xf numFmtId="49" fontId="1" fillId="0" borderId="120" xfId="0" applyNumberFormat="1" applyFont="1" applyBorder="1" applyAlignment="1">
      <alignment horizontal="left" vertical="center"/>
    </xf>
    <xf numFmtId="0" fontId="1" fillId="0" borderId="120" xfId="0" applyNumberFormat="1" applyFont="1" applyBorder="1" applyAlignment="1">
      <alignment horizontal="left" vertical="center"/>
    </xf>
    <xf numFmtId="2" fontId="1" fillId="0" borderId="120" xfId="0" applyNumberFormat="1" applyFont="1" applyBorder="1" applyAlignment="1">
      <alignment horizontal="left" vertical="center"/>
    </xf>
    <xf numFmtId="164" fontId="17" fillId="0" borderId="120" xfId="1" applyNumberFormat="1" applyFont="1" applyBorder="1"/>
    <xf numFmtId="164" fontId="17" fillId="0" borderId="120" xfId="0" applyNumberFormat="1" applyFont="1" applyBorder="1"/>
    <xf numFmtId="10" fontId="17" fillId="0" borderId="120" xfId="1" applyNumberFormat="1" applyFont="1" applyBorder="1"/>
    <xf numFmtId="0" fontId="17" fillId="0" borderId="120" xfId="0" applyNumberFormat="1" applyFont="1" applyBorder="1"/>
    <xf numFmtId="0" fontId="17" fillId="0" borderId="121" xfId="0" applyNumberFormat="1" applyFont="1" applyBorder="1"/>
    <xf numFmtId="0" fontId="1" fillId="0" borderId="120" xfId="0" applyNumberFormat="1" applyFont="1" applyBorder="1" applyAlignment="1">
      <alignment horizontal="center" vertical="center"/>
    </xf>
    <xf numFmtId="0" fontId="1" fillId="29" borderId="120" xfId="0" applyNumberFormat="1" applyFont="1" applyFill="1" applyBorder="1" applyAlignment="1">
      <alignment horizontal="center" vertical="center"/>
    </xf>
    <xf numFmtId="0" fontId="9" fillId="0" borderId="0" xfId="2" applyFont="1" applyAlignment="1">
      <alignment horizontal="left"/>
    </xf>
    <xf numFmtId="0" fontId="9" fillId="9" borderId="65" xfId="2" applyFont="1" applyFill="1" applyBorder="1" applyAlignment="1">
      <alignment horizontal="center" vertical="center"/>
    </xf>
    <xf numFmtId="0" fontId="9" fillId="9" borderId="20" xfId="2" applyFont="1" applyFill="1" applyBorder="1" applyAlignment="1">
      <alignment horizontal="center" vertical="center"/>
    </xf>
    <xf numFmtId="0" fontId="9" fillId="9" borderId="0" xfId="2" applyFont="1" applyFill="1" applyBorder="1" applyAlignment="1">
      <alignment horizontal="center" vertical="center"/>
    </xf>
    <xf numFmtId="0" fontId="9" fillId="9" borderId="21" xfId="2" applyFont="1" applyFill="1" applyBorder="1" applyAlignment="1">
      <alignment horizontal="center" vertical="center"/>
    </xf>
    <xf numFmtId="0" fontId="4" fillId="0" borderId="0" xfId="2" applyAlignment="1">
      <alignment horizontal="left"/>
    </xf>
    <xf numFmtId="0" fontId="5" fillId="2" borderId="4" xfId="2" applyFont="1" applyFill="1" applyBorder="1" applyAlignment="1">
      <alignment horizontal="center"/>
    </xf>
    <xf numFmtId="0" fontId="5" fillId="2" borderId="5" xfId="2" applyFont="1" applyFill="1" applyBorder="1" applyAlignment="1">
      <alignment horizontal="center"/>
    </xf>
    <xf numFmtId="0" fontId="6" fillId="10" borderId="6" xfId="2" applyFont="1" applyFill="1" applyBorder="1" applyAlignment="1">
      <alignment horizontal="center" vertical="center"/>
    </xf>
    <xf numFmtId="0" fontId="7" fillId="10" borderId="8" xfId="2" applyFont="1" applyFill="1" applyBorder="1" applyAlignment="1">
      <alignment horizontal="center" vertical="center"/>
    </xf>
    <xf numFmtId="0" fontId="7" fillId="10" borderId="7" xfId="2" applyFont="1" applyFill="1" applyBorder="1" applyAlignment="1">
      <alignment horizontal="center" vertical="center"/>
    </xf>
    <xf numFmtId="0" fontId="9" fillId="9" borderId="64" xfId="2" applyFont="1" applyFill="1" applyBorder="1" applyAlignment="1">
      <alignment horizontal="center" vertical="center"/>
    </xf>
    <xf numFmtId="0" fontId="10" fillId="9" borderId="65" xfId="2" applyFont="1" applyFill="1" applyBorder="1" applyAlignment="1">
      <alignment horizontal="center" vertical="center"/>
    </xf>
    <xf numFmtId="0" fontId="4" fillId="9" borderId="0" xfId="2" applyFill="1" applyAlignment="1">
      <alignment horizontal="center"/>
    </xf>
  </cellXfs>
  <cellStyles count="4">
    <cellStyle name="Normal" xfId="0" builtinId="0"/>
    <cellStyle name="Normal 2" xfId="2" xr:uid="{6B76CC9B-81D7-42E1-8666-6AEB790F92A2}"/>
    <cellStyle name="Normal 3" xfId="3" xr:uid="{23365D17-B7DB-4C2B-BBB5-3D9506CA29C3}"/>
    <cellStyle name="Pourcentage" xfId="1" builtinId="5"/>
  </cellStyles>
  <dxfs count="1162"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 patternType="lightGrid">
          <fgColor auto="1"/>
          <bgColor rgb="FFFF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 patternType="lightGrid">
          <fgColor auto="1"/>
          <bgColor rgb="FFFF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FFC7CE"/>
      <color rgb="FFC6EFCE"/>
      <color rgb="FFCCFF99"/>
      <color rgb="FFCCFF66"/>
      <color rgb="FFBAFF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24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117</xdr:row>
      <xdr:rowOff>76196</xdr:rowOff>
    </xdr:from>
    <xdr:ext cx="2438403" cy="0"/>
    <xdr:cxnSp macro="">
      <xdr:nvCxnSpPr>
        <xdr:cNvPr id="2" name="Connecteur droit 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CxnSpPr/>
      </xdr:nvCxnSpPr>
      <xdr:spPr>
        <a:xfrm>
          <a:off x="304800" y="17906996"/>
          <a:ext cx="2438403" cy="0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17</xdr:col>
      <xdr:colOff>101598</xdr:colOff>
      <xdr:row>17</xdr:row>
      <xdr:rowOff>76196</xdr:rowOff>
    </xdr:from>
    <xdr:ext cx="31748" cy="15240004"/>
    <xdr:cxnSp macro="">
      <xdr:nvCxnSpPr>
        <xdr:cNvPr id="3" name="Connecteur droit 4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 flipV="1">
          <a:off x="2692398" y="2666996"/>
          <a:ext cx="31748" cy="15240004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17</xdr:col>
      <xdr:colOff>51315</xdr:colOff>
      <xdr:row>17</xdr:row>
      <xdr:rowOff>61783</xdr:rowOff>
    </xdr:from>
    <xdr:ext cx="6267644" cy="18681"/>
    <xdr:cxnSp macro="">
      <xdr:nvCxnSpPr>
        <xdr:cNvPr id="4" name="Connecteur droit 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V="1">
          <a:off x="2667027" y="2677495"/>
          <a:ext cx="6267644" cy="18681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66</xdr:col>
      <xdr:colOff>61784</xdr:colOff>
      <xdr:row>17</xdr:row>
      <xdr:rowOff>92675</xdr:rowOff>
    </xdr:from>
    <xdr:ext cx="4644081" cy="10298"/>
    <xdr:cxnSp macro="">
      <xdr:nvCxnSpPr>
        <xdr:cNvPr id="5" name="Connecteur droit 10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>
          <a:off x="10359081" y="2718486"/>
          <a:ext cx="4644081" cy="10298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66</xdr:col>
      <xdr:colOff>82379</xdr:colOff>
      <xdr:row>17</xdr:row>
      <xdr:rowOff>102973</xdr:rowOff>
    </xdr:from>
    <xdr:ext cx="7268" cy="5914586"/>
    <xdr:cxnSp macro="">
      <xdr:nvCxnSpPr>
        <xdr:cNvPr id="6" name="Connecteur droit 1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>
          <a:off x="10582291" y="2769973"/>
          <a:ext cx="7268" cy="5914586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57</xdr:col>
      <xdr:colOff>89647</xdr:colOff>
      <xdr:row>17</xdr:row>
      <xdr:rowOff>87087</xdr:rowOff>
    </xdr:from>
    <xdr:ext cx="2952" cy="5896854"/>
    <xdr:cxnSp macro="">
      <xdr:nvCxnSpPr>
        <xdr:cNvPr id="7" name="Connecteur droit 14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 flipH="1">
          <a:off x="9076765" y="2754087"/>
          <a:ext cx="2952" cy="5896854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57</xdr:col>
      <xdr:colOff>83288</xdr:colOff>
      <xdr:row>55</xdr:row>
      <xdr:rowOff>133713</xdr:rowOff>
    </xdr:from>
    <xdr:ext cx="1503404" cy="10297"/>
    <xdr:cxnSp macro="">
      <xdr:nvCxnSpPr>
        <xdr:cNvPr id="8" name="Connecteur droit 15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>
          <a:off x="8808188" y="8515713"/>
          <a:ext cx="1503404" cy="10297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95</xdr:col>
      <xdr:colOff>80354</xdr:colOff>
      <xdr:row>17</xdr:row>
      <xdr:rowOff>114793</xdr:rowOff>
    </xdr:from>
    <xdr:ext cx="30678" cy="7004460"/>
    <xdr:cxnSp macro="">
      <xdr:nvCxnSpPr>
        <xdr:cNvPr id="9" name="Connecteur droit 1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>
          <a:off x="14558354" y="2705593"/>
          <a:ext cx="30678" cy="7004460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95</xdr:col>
      <xdr:colOff>102175</xdr:colOff>
      <xdr:row>63</xdr:row>
      <xdr:rowOff>90050</xdr:rowOff>
    </xdr:from>
    <xdr:ext cx="788889" cy="4480"/>
    <xdr:cxnSp macro="">
      <xdr:nvCxnSpPr>
        <xdr:cNvPr id="10" name="Connecteur droit 20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CxnSpPr/>
      </xdr:nvCxnSpPr>
      <xdr:spPr>
        <a:xfrm flipV="1">
          <a:off x="14580175" y="9691250"/>
          <a:ext cx="788889" cy="4480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100</xdr:col>
      <xdr:colOff>84371</xdr:colOff>
      <xdr:row>63</xdr:row>
      <xdr:rowOff>76443</xdr:rowOff>
    </xdr:from>
    <xdr:ext cx="0" cy="4887697"/>
    <xdr:cxnSp macro="">
      <xdr:nvCxnSpPr>
        <xdr:cNvPr id="11" name="Connecteur droit 22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CxnSpPr/>
      </xdr:nvCxnSpPr>
      <xdr:spPr>
        <a:xfrm>
          <a:off x="15324371" y="9677643"/>
          <a:ext cx="0" cy="4887697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0</xdr:col>
      <xdr:colOff>99577</xdr:colOff>
      <xdr:row>0</xdr:row>
      <xdr:rowOff>133346</xdr:rowOff>
    </xdr:from>
    <xdr:ext cx="11349473" cy="1981193"/>
    <xdr:sp macro="" textlink="">
      <xdr:nvSpPr>
        <xdr:cNvPr id="12" name="Rectangle : coins arrondis 25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99577" y="133346"/>
          <a:ext cx="11349473" cy="1981193"/>
        </a:xfrm>
        <a:custGeom>
          <a:avLst/>
          <a:gdLst>
            <a:gd name="f0" fmla="val 10800000"/>
            <a:gd name="f1" fmla="val 5400000"/>
            <a:gd name="f2" fmla="val 16200000"/>
            <a:gd name="f3" fmla="val w"/>
            <a:gd name="f4" fmla="val h"/>
            <a:gd name="f5" fmla="val ss"/>
            <a:gd name="f6" fmla="val 0"/>
            <a:gd name="f7" fmla="*/ 5419351 1 1725033"/>
            <a:gd name="f8" fmla="val 45"/>
            <a:gd name="f9" fmla="val 3600"/>
            <a:gd name="f10" fmla="abs f3"/>
            <a:gd name="f11" fmla="abs f4"/>
            <a:gd name="f12" fmla="abs f5"/>
            <a:gd name="f13" fmla="*/ f7 1 180"/>
            <a:gd name="f14" fmla="+- 0 0 f1"/>
            <a:gd name="f15" fmla="+- f6 f9 0"/>
            <a:gd name="f16" fmla="?: f10 f3 1"/>
            <a:gd name="f17" fmla="?: f11 f4 1"/>
            <a:gd name="f18" fmla="?: f12 f5 1"/>
            <a:gd name="f19" fmla="*/ f8 f13 1"/>
            <a:gd name="f20" fmla="+- f6 0 f15"/>
            <a:gd name="f21" fmla="+- f15 0 f6"/>
            <a:gd name="f22" fmla="*/ f16 1 21600"/>
            <a:gd name="f23" fmla="*/ f17 1 21600"/>
            <a:gd name="f24" fmla="*/ 21600 f16 1"/>
            <a:gd name="f25" fmla="*/ 21600 f17 1"/>
            <a:gd name="f26" fmla="+- 0 0 f19"/>
            <a:gd name="f27" fmla="abs f20"/>
            <a:gd name="f28" fmla="abs f21"/>
            <a:gd name="f29" fmla="?: f20 f14 f1"/>
            <a:gd name="f30" fmla="?: f20 f1 f14"/>
            <a:gd name="f31" fmla="?: f20 f2 f1"/>
            <a:gd name="f32" fmla="?: f20 f1 f2"/>
            <a:gd name="f33" fmla="?: f21 f14 f1"/>
            <a:gd name="f34" fmla="?: f21 f1 f14"/>
            <a:gd name="f35" fmla="?: f20 0 f0"/>
            <a:gd name="f36" fmla="?: f20 f0 0"/>
            <a:gd name="f37" fmla="min f23 f22"/>
            <a:gd name="f38" fmla="*/ f24 1 f18"/>
            <a:gd name="f39" fmla="*/ f25 1 f18"/>
            <a:gd name="f40" fmla="*/ f26 f0 1"/>
            <a:gd name="f41" fmla="?: f20 f32 f31"/>
            <a:gd name="f42" fmla="?: f20 f31 f32"/>
            <a:gd name="f43" fmla="?: f21 f30 f29"/>
            <a:gd name="f44" fmla="val f38"/>
            <a:gd name="f45" fmla="val f39"/>
            <a:gd name="f46" fmla="*/ f40 1 f7"/>
            <a:gd name="f47" fmla="?: f21 f42 f41"/>
            <a:gd name="f48" fmla="*/ f15 f37 1"/>
            <a:gd name="f49" fmla="*/ f6 f37 1"/>
            <a:gd name="f50" fmla="*/ f27 f37 1"/>
            <a:gd name="f51" fmla="*/ f28 f37 1"/>
            <a:gd name="f52" fmla="+- f45 0 f9"/>
            <a:gd name="f53" fmla="+- f44 0 f9"/>
            <a:gd name="f54" fmla="+- f46 0 f1"/>
            <a:gd name="f55" fmla="*/ f45 f37 1"/>
            <a:gd name="f56" fmla="*/ f44 f37 1"/>
            <a:gd name="f57" fmla="+- f45 0 f52"/>
            <a:gd name="f58" fmla="+- f44 0 f53"/>
            <a:gd name="f59" fmla="+- f52 0 f45"/>
            <a:gd name="f60" fmla="+- f53 0 f44"/>
            <a:gd name="f61" fmla="+- f54 f1 0"/>
            <a:gd name="f62" fmla="*/ f52 f37 1"/>
            <a:gd name="f63" fmla="*/ f53 f37 1"/>
            <a:gd name="f64" fmla="abs f57"/>
            <a:gd name="f65" fmla="?: f57 0 f0"/>
            <a:gd name="f66" fmla="?: f57 f0 0"/>
            <a:gd name="f67" fmla="?: f57 f33 f34"/>
            <a:gd name="f68" fmla="abs f58"/>
            <a:gd name="f69" fmla="abs f59"/>
            <a:gd name="f70" fmla="?: f58 f14 f1"/>
            <a:gd name="f71" fmla="?: f58 f1 f14"/>
            <a:gd name="f72" fmla="?: f58 f2 f1"/>
            <a:gd name="f73" fmla="?: f58 f1 f2"/>
            <a:gd name="f74" fmla="abs f60"/>
            <a:gd name="f75" fmla="?: f60 f14 f1"/>
            <a:gd name="f76" fmla="?: f60 f1 f14"/>
            <a:gd name="f77" fmla="?: f60 f36 f35"/>
            <a:gd name="f78" fmla="?: f60 f35 f36"/>
            <a:gd name="f79" fmla="*/ f61 f7 1"/>
            <a:gd name="f80" fmla="?: f21 f66 f65"/>
            <a:gd name="f81" fmla="?: f21 f65 f66"/>
            <a:gd name="f82" fmla="?: f58 f73 f72"/>
            <a:gd name="f83" fmla="?: f58 f72 f73"/>
            <a:gd name="f84" fmla="?: f59 f71 f70"/>
            <a:gd name="f85" fmla="?: f20 f77 f78"/>
            <a:gd name="f86" fmla="?: f20 f75 f76"/>
            <a:gd name="f87" fmla="*/ f79 1 f0"/>
            <a:gd name="f88" fmla="*/ f64 f37 1"/>
            <a:gd name="f89" fmla="*/ f68 f37 1"/>
            <a:gd name="f90" fmla="*/ f69 f37 1"/>
            <a:gd name="f91" fmla="*/ f74 f37 1"/>
            <a:gd name="f92" fmla="?: f57 f80 f81"/>
            <a:gd name="f93" fmla="?: f59 f83 f82"/>
            <a:gd name="f94" fmla="+- 0 0 f87"/>
            <a:gd name="f95" fmla="+- 0 0 f94"/>
            <a:gd name="f96" fmla="*/ f95 f0 1"/>
            <a:gd name="f97" fmla="*/ f96 1 f7"/>
            <a:gd name="f98" fmla="+- f97 0 f1"/>
            <a:gd name="f99" fmla="cos 1 f98"/>
            <a:gd name="f100" fmla="+- 0 0 f99"/>
            <a:gd name="f101" fmla="+- 0 0 f100"/>
            <a:gd name="f102" fmla="val f101"/>
            <a:gd name="f103" fmla="+- 0 0 f102"/>
            <a:gd name="f104" fmla="*/ f9 f103 1"/>
            <a:gd name="f105" fmla="*/ f104 3163 1"/>
            <a:gd name="f106" fmla="*/ f105 1 7636"/>
            <a:gd name="f107" fmla="+- f6 f106 0"/>
            <a:gd name="f108" fmla="+- f44 0 f106"/>
            <a:gd name="f109" fmla="+- f45 0 f106"/>
            <a:gd name="f110" fmla="*/ f107 f37 1"/>
            <a:gd name="f111" fmla="*/ f108 f37 1"/>
            <a:gd name="f112" fmla="*/ f109 f37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110" t="f110" r="f111" b="f112"/>
          <a:pathLst>
            <a:path>
              <a:moveTo>
                <a:pt x="f48" y="f49"/>
              </a:moveTo>
              <a:arcTo wR="f50" hR="f51" stAng="f47" swAng="f43"/>
              <a:lnTo>
                <a:pt x="f49" y="f62"/>
              </a:lnTo>
              <a:arcTo wR="f51" hR="f88" stAng="f92" swAng="f67"/>
              <a:lnTo>
                <a:pt x="f63" y="f55"/>
              </a:lnTo>
              <a:arcTo wR="f89" hR="f90" stAng="f93" swAng="f84"/>
              <a:lnTo>
                <a:pt x="f56" y="f48"/>
              </a:lnTo>
              <a:arcTo wR="f91" hR="f50" stAng="f85" swAng="f86"/>
              <a:close/>
            </a:path>
          </a:pathLst>
        </a:custGeom>
        <a:noFill/>
        <a:ln w="57150" cap="flat">
          <a:solidFill>
            <a:srgbClr val="4472C4"/>
          </a:solidFill>
          <a:prstDash val="solid"/>
          <a:round/>
        </a:ln>
      </xdr:spPr>
      <xdr:txBody>
        <a:bodyPr vert="horz" wrap="square" lIns="91440" tIns="45720" rIns="91440" bIns="45720" anchor="t" anchorCtr="1" compatLnSpc="1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1800" b="0" i="1" u="sng" strike="noStrike" kern="0" cap="none" spc="0" baseline="0">
              <a:solidFill>
                <a:srgbClr val="000000"/>
              </a:solidFill>
              <a:uFillTx/>
              <a:latin typeface="Calibri"/>
            </a:rPr>
            <a:t>Légende</a:t>
          </a:r>
        </a:p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1100" b="0" i="0" u="none" strike="noStrike" kern="0" cap="none" spc="0" baseline="0">
              <a:solidFill>
                <a:srgbClr val="FFFFFF"/>
              </a:solidFill>
              <a:uFillTx/>
              <a:latin typeface="Calibri"/>
            </a:rPr>
            <a:t>:</a:t>
          </a:r>
        </a:p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endParaRPr lang="fr-FR" sz="1100" b="0" i="0" u="none" strike="noStrike" kern="0" cap="none" spc="0" baseline="0">
            <a:solidFill>
              <a:srgbClr val="FFFFFF"/>
            </a:solidFill>
            <a:uFillTx/>
            <a:latin typeface="Calibri"/>
          </a:endParaRPr>
        </a:p>
      </xdr:txBody>
    </xdr:sp>
    <xdr:clientData/>
  </xdr:oneCellAnchor>
  <xdr:oneCellAnchor>
    <xdr:from>
      <xdr:col>100</xdr:col>
      <xdr:colOff>46041</xdr:colOff>
      <xdr:row>95</xdr:row>
      <xdr:rowOff>99004</xdr:rowOff>
    </xdr:from>
    <xdr:ext cx="5905497" cy="7918"/>
    <xdr:cxnSp macro="">
      <xdr:nvCxnSpPr>
        <xdr:cNvPr id="13" name="Connecteur droit 31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/>
      </xdr:nvCxnSpPr>
      <xdr:spPr>
        <a:xfrm flipV="1">
          <a:off x="15444791" y="14426192"/>
          <a:ext cx="5905497" cy="7918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100</xdr:col>
      <xdr:colOff>43543</xdr:colOff>
      <xdr:row>99</xdr:row>
      <xdr:rowOff>88321</xdr:rowOff>
    </xdr:from>
    <xdr:ext cx="5943600" cy="8660"/>
    <xdr:cxnSp macro="">
      <xdr:nvCxnSpPr>
        <xdr:cNvPr id="14" name="Connecteur droit 3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CxnSpPr/>
      </xdr:nvCxnSpPr>
      <xdr:spPr>
        <a:xfrm>
          <a:off x="15762514" y="15175921"/>
          <a:ext cx="5943600" cy="8660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139</xdr:col>
      <xdr:colOff>44988</xdr:colOff>
      <xdr:row>95</xdr:row>
      <xdr:rowOff>48643</xdr:rowOff>
    </xdr:from>
    <xdr:ext cx="0" cy="692731"/>
    <xdr:cxnSp macro="">
      <xdr:nvCxnSpPr>
        <xdr:cNvPr id="15" name="Connecteur droit 3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CxnSpPr/>
      </xdr:nvCxnSpPr>
      <xdr:spPr>
        <a:xfrm flipV="1">
          <a:off x="21782770" y="14526643"/>
          <a:ext cx="0" cy="692731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100</xdr:col>
      <xdr:colOff>23814</xdr:colOff>
      <xdr:row>99</xdr:row>
      <xdr:rowOff>63331</xdr:rowOff>
    </xdr:from>
    <xdr:ext cx="10387" cy="2447062"/>
    <xdr:cxnSp macro="">
      <xdr:nvCxnSpPr>
        <xdr:cNvPr id="16" name="Connecteur droit 41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CxnSpPr/>
      </xdr:nvCxnSpPr>
      <xdr:spPr>
        <a:xfrm flipV="1">
          <a:off x="15422564" y="14993769"/>
          <a:ext cx="10387" cy="2447062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107</xdr:col>
      <xdr:colOff>29443</xdr:colOff>
      <xdr:row>99</xdr:row>
      <xdr:rowOff>79662</xdr:rowOff>
    </xdr:from>
    <xdr:ext cx="16277" cy="1124995"/>
    <xdr:cxnSp macro="">
      <xdr:nvCxnSpPr>
        <xdr:cNvPr id="17" name="Connecteur droit 44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CxnSpPr/>
      </xdr:nvCxnSpPr>
      <xdr:spPr>
        <a:xfrm flipH="1" flipV="1">
          <a:off x="16336243" y="15167262"/>
          <a:ext cx="16277" cy="1124995"/>
        </a:xfrm>
        <a:prstGeom prst="straightConnector1">
          <a:avLst/>
        </a:prstGeom>
        <a:noFill/>
        <a:ln w="317497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113</xdr:col>
      <xdr:colOff>86593</xdr:colOff>
      <xdr:row>99</xdr:row>
      <xdr:rowOff>98718</xdr:rowOff>
    </xdr:from>
    <xdr:ext cx="16277" cy="1124986"/>
    <xdr:cxnSp macro="">
      <xdr:nvCxnSpPr>
        <xdr:cNvPr id="18" name="Connecteur droit 49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CxnSpPr/>
      </xdr:nvCxnSpPr>
      <xdr:spPr>
        <a:xfrm flipH="1" flipV="1">
          <a:off x="17307793" y="15186318"/>
          <a:ext cx="16277" cy="1124986"/>
        </a:xfrm>
        <a:prstGeom prst="straightConnector1">
          <a:avLst/>
        </a:prstGeom>
        <a:noFill/>
        <a:ln w="317497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119</xdr:col>
      <xdr:colOff>105640</xdr:colOff>
      <xdr:row>99</xdr:row>
      <xdr:rowOff>79662</xdr:rowOff>
    </xdr:from>
    <xdr:ext cx="16276" cy="1124995"/>
    <xdr:cxnSp macro="">
      <xdr:nvCxnSpPr>
        <xdr:cNvPr id="19" name="Connecteur droit 50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CxnSpPr/>
      </xdr:nvCxnSpPr>
      <xdr:spPr>
        <a:xfrm flipH="1" flipV="1">
          <a:off x="18241240" y="15167262"/>
          <a:ext cx="16276" cy="1124995"/>
        </a:xfrm>
        <a:prstGeom prst="straightConnector1">
          <a:avLst/>
        </a:prstGeom>
        <a:noFill/>
        <a:ln w="317497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126</xdr:col>
      <xdr:colOff>10387</xdr:colOff>
      <xdr:row>99</xdr:row>
      <xdr:rowOff>79662</xdr:rowOff>
    </xdr:from>
    <xdr:ext cx="16286" cy="1124995"/>
    <xdr:cxnSp macro="">
      <xdr:nvCxnSpPr>
        <xdr:cNvPr id="20" name="Connecteur droit 51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CxnSpPr/>
      </xdr:nvCxnSpPr>
      <xdr:spPr>
        <a:xfrm flipH="1" flipV="1">
          <a:off x="19212787" y="15167262"/>
          <a:ext cx="16286" cy="1124995"/>
        </a:xfrm>
        <a:prstGeom prst="straightConnector1">
          <a:avLst/>
        </a:prstGeom>
        <a:noFill/>
        <a:ln w="317497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133</xdr:col>
      <xdr:colOff>10387</xdr:colOff>
      <xdr:row>99</xdr:row>
      <xdr:rowOff>98718</xdr:rowOff>
    </xdr:from>
    <xdr:ext cx="16286" cy="1124986"/>
    <xdr:cxnSp macro="">
      <xdr:nvCxnSpPr>
        <xdr:cNvPr id="21" name="Connecteur droit 52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CxnSpPr/>
      </xdr:nvCxnSpPr>
      <xdr:spPr>
        <a:xfrm flipH="1" flipV="1">
          <a:off x="20279587" y="15186318"/>
          <a:ext cx="16286" cy="1124986"/>
        </a:xfrm>
        <a:prstGeom prst="straightConnector1">
          <a:avLst/>
        </a:prstGeom>
        <a:noFill/>
        <a:ln w="317497" cap="flat">
          <a:solidFill>
            <a:srgbClr val="203864"/>
          </a:solidFill>
          <a:prstDash val="solid"/>
          <a:miter/>
        </a:ln>
      </xdr:spPr>
    </xdr:cxn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86</xdr:col>
          <xdr:colOff>66675</xdr:colOff>
          <xdr:row>116</xdr:row>
          <xdr:rowOff>19050</xdr:rowOff>
        </xdr:from>
        <xdr:to>
          <xdr:col>92</xdr:col>
          <xdr:colOff>38100</xdr:colOff>
          <xdr:row>118</xdr:row>
          <xdr:rowOff>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Niveau 1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86</xdr:col>
          <xdr:colOff>85725</xdr:colOff>
          <xdr:row>118</xdr:row>
          <xdr:rowOff>114300</xdr:rowOff>
        </xdr:from>
        <xdr:to>
          <xdr:col>92</xdr:col>
          <xdr:colOff>19050</xdr:colOff>
          <xdr:row>120</xdr:row>
          <xdr:rowOff>57150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Niveau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86</xdr:col>
          <xdr:colOff>85725</xdr:colOff>
          <xdr:row>121</xdr:row>
          <xdr:rowOff>47625</xdr:rowOff>
        </xdr:from>
        <xdr:to>
          <xdr:col>92</xdr:col>
          <xdr:colOff>38100</xdr:colOff>
          <xdr:row>122</xdr:row>
          <xdr:rowOff>114300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Niveau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95250</xdr:colOff>
          <xdr:row>58</xdr:row>
          <xdr:rowOff>57150</xdr:rowOff>
        </xdr:from>
        <xdr:to>
          <xdr:col>65</xdr:col>
          <xdr:colOff>95250</xdr:colOff>
          <xdr:row>59</xdr:row>
          <xdr:rowOff>133350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Niveau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95250</xdr:colOff>
          <xdr:row>56</xdr:row>
          <xdr:rowOff>66675</xdr:rowOff>
        </xdr:from>
        <xdr:to>
          <xdr:col>65</xdr:col>
          <xdr:colOff>95250</xdr:colOff>
          <xdr:row>57</xdr:row>
          <xdr:rowOff>142875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0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Niveau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95250</xdr:colOff>
          <xdr:row>60</xdr:row>
          <xdr:rowOff>47625</xdr:rowOff>
        </xdr:from>
        <xdr:to>
          <xdr:col>65</xdr:col>
          <xdr:colOff>85725</xdr:colOff>
          <xdr:row>61</xdr:row>
          <xdr:rowOff>133350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0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Niveau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95250</xdr:colOff>
          <xdr:row>62</xdr:row>
          <xdr:rowOff>38100</xdr:rowOff>
        </xdr:from>
        <xdr:to>
          <xdr:col>65</xdr:col>
          <xdr:colOff>85725</xdr:colOff>
          <xdr:row>63</xdr:row>
          <xdr:rowOff>114300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0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Niveau 4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RAGUENES Romain" id="{CFCD6A2F-BF1F-4A2F-86FF-B7C8B9328874}" userId="S::rraguenes@id-logistics.com::f9a02565-9828-40d1-893a-e7838490c3ce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8329AC-F4D1-4681-97B2-AF988DEDB12C}">
  <sheetPr codeName="Feuil7">
    <tabColor rgb="FFFFFF00"/>
    <pageSetUpPr fitToPage="1"/>
  </sheetPr>
  <dimension ref="C4:GH127"/>
  <sheetViews>
    <sheetView showGridLines="0" tabSelected="1" topLeftCell="A9" zoomScale="85" zoomScaleNormal="85" workbookViewId="0">
      <selection activeCell="BU22" sqref="BU22"/>
    </sheetView>
  </sheetViews>
  <sheetFormatPr baseColWidth="10" defaultColWidth="2.28515625" defaultRowHeight="12" customHeight="1" x14ac:dyDescent="0.25"/>
  <cols>
    <col min="1" max="1" width="2.28515625" style="1" customWidth="1"/>
    <col min="2" max="52" width="2.28515625" style="1"/>
    <col min="53" max="53" width="2.5703125" style="1" bestFit="1" customWidth="1"/>
    <col min="54" max="56" width="2.28515625" style="1"/>
    <col min="57" max="57" width="2.5703125" style="1" bestFit="1" customWidth="1"/>
    <col min="58" max="58" width="2.85546875" style="1" bestFit="1" customWidth="1"/>
    <col min="59" max="59" width="2.28515625" style="1"/>
    <col min="60" max="62" width="2.42578125" style="1" customWidth="1"/>
    <col min="63" max="63" width="2.5703125" style="1" bestFit="1" customWidth="1"/>
    <col min="64" max="66" width="2.28515625" style="1"/>
    <col min="67" max="67" width="2.7109375" style="1" customWidth="1"/>
    <col min="68" max="68" width="2.5703125" style="1" customWidth="1"/>
    <col min="69" max="71" width="2.28515625" style="1"/>
    <col min="72" max="72" width="2.7109375" style="1" customWidth="1"/>
    <col min="73" max="73" width="2.5703125" style="1" bestFit="1" customWidth="1"/>
    <col min="74" max="75" width="2.28515625" style="1"/>
    <col min="76" max="76" width="2.28515625" style="1" customWidth="1"/>
    <col min="77" max="77" width="2.7109375" style="1" customWidth="1"/>
    <col min="78" max="78" width="2.5703125" style="1" bestFit="1" customWidth="1"/>
    <col min="79" max="81" width="2.28515625" style="1"/>
    <col min="82" max="83" width="2.5703125" style="1" bestFit="1" customWidth="1"/>
    <col min="84" max="86" width="2.28515625" style="1"/>
    <col min="87" max="88" width="2.5703125" style="1" bestFit="1" customWidth="1"/>
    <col min="89" max="91" width="2.28515625" style="1"/>
    <col min="92" max="93" width="2.5703125" style="1" bestFit="1" customWidth="1"/>
    <col min="94" max="96" width="2.28515625" style="1"/>
    <col min="97" max="97" width="2.5703125" style="1" bestFit="1" customWidth="1"/>
    <col min="98" max="145" width="2.28515625" style="1"/>
    <col min="146" max="146" width="2.28515625" style="1" bestFit="1" customWidth="1"/>
    <col min="147" max="16384" width="2.28515625" style="1"/>
  </cols>
  <sheetData>
    <row r="4" spans="3:189" ht="12" customHeight="1" thickBot="1" x14ac:dyDescent="0.3">
      <c r="BB4" s="157" t="s">
        <v>89</v>
      </c>
      <c r="BD4" s="262" t="s">
        <v>107</v>
      </c>
      <c r="BE4" s="262"/>
      <c r="BF4" s="262"/>
      <c r="BG4" s="262"/>
      <c r="BH4" s="262"/>
      <c r="BI4" s="262"/>
      <c r="BJ4" s="262"/>
      <c r="BK4" s="262"/>
      <c r="BL4" s="262"/>
      <c r="BM4" s="262"/>
      <c r="BN4" s="262"/>
      <c r="BO4" s="262"/>
      <c r="BP4" s="262"/>
    </row>
    <row r="5" spans="3:189" ht="12" customHeight="1" thickBot="1" x14ac:dyDescent="0.3">
      <c r="C5" s="65"/>
      <c r="E5" s="267" t="s">
        <v>68</v>
      </c>
      <c r="F5" s="267"/>
      <c r="G5" s="267"/>
      <c r="H5" s="267"/>
      <c r="I5" s="267"/>
      <c r="J5" s="267"/>
      <c r="K5" s="267"/>
      <c r="L5" s="267"/>
      <c r="M5" s="267"/>
      <c r="N5" s="267"/>
      <c r="O5" s="267"/>
      <c r="P5" s="267"/>
      <c r="Q5" s="267"/>
      <c r="R5" s="267"/>
      <c r="S5" s="267"/>
      <c r="T5" s="267"/>
      <c r="U5" s="267"/>
      <c r="V5" s="267"/>
      <c r="W5" s="267"/>
      <c r="X5" s="267"/>
      <c r="Y5" s="267"/>
      <c r="Z5" s="267"/>
      <c r="AA5" s="267"/>
      <c r="AB5" s="2"/>
      <c r="AC5" s="2"/>
      <c r="AD5" s="2"/>
      <c r="AE5" s="2"/>
      <c r="AF5" s="2"/>
      <c r="AG5" s="3"/>
      <c r="AH5" s="2"/>
      <c r="AI5" s="267" t="s">
        <v>69</v>
      </c>
      <c r="AJ5" s="267"/>
      <c r="AK5" s="267"/>
      <c r="AL5" s="267"/>
      <c r="AM5" s="267"/>
      <c r="AN5" s="267"/>
      <c r="AO5" s="267"/>
      <c r="AP5" s="267"/>
      <c r="AQ5" s="267"/>
      <c r="AR5" s="267"/>
      <c r="AS5" s="267"/>
      <c r="AT5" s="267"/>
      <c r="AU5" s="267"/>
      <c r="AV5" s="267"/>
      <c r="AW5" s="267"/>
      <c r="BD5" s="262"/>
      <c r="BE5" s="262"/>
      <c r="BF5" s="262"/>
      <c r="BG5" s="262"/>
      <c r="BH5" s="262"/>
      <c r="BI5" s="262"/>
      <c r="BJ5" s="262"/>
      <c r="BK5" s="262"/>
      <c r="BL5" s="262"/>
      <c r="BM5" s="262"/>
      <c r="BN5" s="161"/>
      <c r="BO5" s="161"/>
      <c r="BP5" s="161"/>
    </row>
    <row r="6" spans="3:189" ht="12" customHeight="1" thickBot="1" x14ac:dyDescent="0.3"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4"/>
      <c r="AF6" s="4"/>
      <c r="AG6" s="4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BB6" s="156"/>
      <c r="BD6" s="262" t="s">
        <v>106</v>
      </c>
      <c r="BE6" s="262"/>
      <c r="BF6" s="262"/>
      <c r="BG6" s="262"/>
      <c r="BH6" s="262"/>
      <c r="BI6" s="262"/>
      <c r="BJ6" s="262"/>
      <c r="BK6" s="262"/>
      <c r="BL6" s="262"/>
      <c r="BM6" s="262"/>
      <c r="BN6" s="262"/>
      <c r="BO6" s="262"/>
      <c r="BP6" s="262"/>
    </row>
    <row r="7" spans="3:189" ht="12" customHeight="1" thickBot="1" x14ac:dyDescent="0.3">
      <c r="C7" s="5"/>
      <c r="E7" s="267" t="s">
        <v>70</v>
      </c>
      <c r="F7" s="267"/>
      <c r="G7" s="267"/>
      <c r="H7" s="267"/>
      <c r="I7" s="267"/>
      <c r="J7" s="267"/>
      <c r="K7" s="267"/>
      <c r="L7" s="267"/>
      <c r="M7" s="267"/>
      <c r="N7" s="267"/>
      <c r="O7" s="267"/>
      <c r="P7" s="267"/>
      <c r="Q7" s="267"/>
      <c r="R7" s="267"/>
      <c r="S7" s="267"/>
      <c r="T7" s="267"/>
      <c r="U7" s="267"/>
      <c r="V7" s="267"/>
      <c r="W7" s="267"/>
      <c r="X7" s="267"/>
      <c r="Y7" s="267"/>
      <c r="Z7" s="267"/>
      <c r="AA7" s="267"/>
      <c r="AB7" s="2"/>
      <c r="AC7" s="2"/>
      <c r="AD7" s="2"/>
      <c r="AE7" s="6"/>
      <c r="AF7" s="6"/>
      <c r="AG7" s="6"/>
      <c r="AH7" s="2"/>
      <c r="AI7" s="267" t="s">
        <v>71</v>
      </c>
      <c r="AJ7" s="267"/>
      <c r="AK7" s="267"/>
      <c r="AL7" s="267"/>
      <c r="AM7" s="267"/>
      <c r="AN7" s="267"/>
      <c r="AO7" s="267"/>
      <c r="AP7" s="267"/>
      <c r="AQ7" s="267"/>
      <c r="AR7" s="267"/>
      <c r="AS7" s="267"/>
      <c r="AT7" s="267"/>
      <c r="AU7" s="267"/>
      <c r="AV7" s="267"/>
      <c r="AW7" s="2"/>
      <c r="BD7" s="262"/>
      <c r="BE7" s="262"/>
      <c r="BF7" s="262"/>
      <c r="BG7" s="262"/>
      <c r="BH7" s="262"/>
      <c r="BI7" s="262"/>
      <c r="BJ7" s="262"/>
      <c r="BK7" s="262"/>
      <c r="BL7" s="262"/>
      <c r="BM7" s="262"/>
      <c r="BN7" s="262"/>
      <c r="BO7" s="262"/>
      <c r="BP7" s="262"/>
    </row>
    <row r="8" spans="3:189" ht="12" customHeight="1" thickBot="1" x14ac:dyDescent="0.3"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BB8" s="158"/>
      <c r="BD8" s="262" t="s">
        <v>108</v>
      </c>
      <c r="BE8" s="262"/>
      <c r="BF8" s="262"/>
      <c r="BG8" s="262"/>
      <c r="BH8" s="262"/>
      <c r="BI8" s="262"/>
      <c r="BJ8" s="262"/>
      <c r="BK8" s="262"/>
      <c r="BL8" s="262"/>
      <c r="BM8" s="262"/>
      <c r="BN8" s="262"/>
      <c r="BO8" s="262"/>
      <c r="BP8" s="262"/>
    </row>
    <row r="9" spans="3:189" ht="12" customHeight="1" thickBot="1" x14ac:dyDescent="0.3">
      <c r="C9" s="7"/>
      <c r="E9" s="267" t="s">
        <v>72</v>
      </c>
      <c r="F9" s="267"/>
      <c r="G9" s="267"/>
      <c r="H9" s="267"/>
      <c r="I9" s="267"/>
      <c r="J9" s="267"/>
      <c r="K9" s="267"/>
      <c r="L9" s="267"/>
      <c r="M9" s="267"/>
      <c r="N9" s="267"/>
      <c r="O9" s="267"/>
      <c r="P9" s="267"/>
      <c r="Q9" s="267"/>
      <c r="R9" s="267"/>
      <c r="S9" s="267"/>
      <c r="T9" s="267"/>
      <c r="U9" s="267"/>
      <c r="V9" s="267"/>
      <c r="W9" s="267"/>
      <c r="X9" s="267"/>
      <c r="Y9" s="267"/>
      <c r="Z9" s="267"/>
      <c r="AA9" s="267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BD9" s="262"/>
      <c r="BE9" s="262"/>
      <c r="BF9" s="262"/>
      <c r="BG9" s="262"/>
      <c r="BH9" s="262"/>
      <c r="BI9" s="262"/>
      <c r="BJ9" s="262"/>
      <c r="BK9" s="262"/>
      <c r="BL9" s="262"/>
      <c r="BM9" s="262"/>
      <c r="BN9" s="262"/>
      <c r="BO9" s="262"/>
      <c r="BP9" s="262"/>
    </row>
    <row r="10" spans="3:189" ht="12" customHeight="1" thickBot="1" x14ac:dyDescent="0.3"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BB10" s="159"/>
      <c r="BD10" s="262" t="s">
        <v>109</v>
      </c>
      <c r="BE10" s="262"/>
      <c r="BF10" s="262"/>
      <c r="BG10" s="262"/>
      <c r="BH10" s="262"/>
      <c r="BI10" s="262"/>
      <c r="BJ10" s="262"/>
      <c r="BK10" s="262"/>
      <c r="BL10" s="262"/>
      <c r="BM10" s="262"/>
      <c r="BN10" s="262"/>
      <c r="BO10" s="262"/>
      <c r="BP10" s="262"/>
    </row>
    <row r="11" spans="3:189" ht="12" customHeight="1" thickBot="1" x14ac:dyDescent="0.3">
      <c r="C11" s="8" t="s">
        <v>103</v>
      </c>
      <c r="E11" s="267" t="s">
        <v>73</v>
      </c>
      <c r="F11" s="267"/>
      <c r="G11" s="267"/>
      <c r="H11" s="267"/>
      <c r="I11" s="267"/>
      <c r="J11" s="267"/>
      <c r="K11" s="267"/>
      <c r="L11" s="267"/>
      <c r="M11" s="267"/>
      <c r="N11" s="267"/>
      <c r="O11" s="267"/>
      <c r="P11" s="267"/>
      <c r="Q11" s="267"/>
      <c r="R11" s="267"/>
      <c r="S11" s="267"/>
      <c r="T11" s="267"/>
      <c r="U11" s="267"/>
      <c r="V11" s="267"/>
      <c r="W11" s="267"/>
      <c r="X11" s="267"/>
      <c r="Y11" s="267"/>
      <c r="Z11" s="267"/>
      <c r="AA11" s="267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BD11" s="262"/>
      <c r="BE11" s="262"/>
      <c r="BF11" s="262"/>
      <c r="BG11" s="262"/>
      <c r="BH11" s="262"/>
      <c r="BI11" s="262"/>
      <c r="BJ11" s="262"/>
      <c r="BK11" s="262"/>
      <c r="BL11" s="262"/>
      <c r="BM11" s="262"/>
      <c r="BN11" s="262"/>
      <c r="BO11" s="262"/>
      <c r="BP11" s="262"/>
    </row>
    <row r="12" spans="3:189" ht="12" customHeight="1" thickBot="1" x14ac:dyDescent="0.3"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BB12" s="160"/>
      <c r="BD12" s="262" t="s">
        <v>110</v>
      </c>
      <c r="BE12" s="262"/>
      <c r="BF12" s="262"/>
      <c r="BG12" s="262"/>
      <c r="BH12" s="262"/>
      <c r="BI12" s="262"/>
      <c r="BJ12" s="262"/>
      <c r="BK12" s="262"/>
      <c r="BL12" s="262"/>
      <c r="BM12" s="262"/>
      <c r="BN12" s="262"/>
      <c r="BO12" s="262"/>
      <c r="BP12" s="262"/>
    </row>
    <row r="13" spans="3:189" ht="12" customHeight="1" thickBot="1" x14ac:dyDescent="0.3">
      <c r="C13" s="139"/>
      <c r="E13" s="267" t="s">
        <v>74</v>
      </c>
      <c r="F13" s="267"/>
      <c r="G13" s="267"/>
      <c r="H13" s="267"/>
      <c r="I13" s="267"/>
      <c r="J13" s="267"/>
      <c r="K13" s="267"/>
      <c r="L13" s="267"/>
      <c r="M13" s="267"/>
      <c r="N13" s="267"/>
      <c r="O13" s="267"/>
      <c r="P13" s="267"/>
      <c r="Q13" s="267"/>
      <c r="R13" s="267"/>
      <c r="S13" s="267"/>
      <c r="T13" s="267"/>
      <c r="U13" s="267"/>
      <c r="V13" s="267"/>
      <c r="W13" s="267"/>
      <c r="X13" s="267"/>
      <c r="Y13" s="267"/>
      <c r="Z13" s="267"/>
      <c r="AA13" s="267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</row>
    <row r="15" spans="3:189" ht="12" customHeight="1" thickBot="1" x14ac:dyDescent="0.3"/>
    <row r="16" spans="3:189" ht="12" customHeight="1" thickTop="1" thickBot="1" x14ac:dyDescent="0.3"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268" t="s">
        <v>75</v>
      </c>
      <c r="P16" s="268"/>
      <c r="Q16" s="268"/>
      <c r="R16" s="268"/>
      <c r="S16" s="268"/>
      <c r="T16" s="268"/>
      <c r="U16" s="268"/>
      <c r="V16" s="268"/>
      <c r="W16" s="268"/>
      <c r="X16" s="268"/>
      <c r="Y16" s="268"/>
      <c r="Z16" s="268"/>
      <c r="AA16" s="268"/>
      <c r="AB16" s="268"/>
      <c r="AC16" s="268"/>
      <c r="AD16" s="268"/>
      <c r="AE16" s="268"/>
      <c r="AF16" s="268"/>
      <c r="AG16" s="268"/>
      <c r="AH16" s="268"/>
      <c r="AI16" s="268"/>
      <c r="AJ16" s="268"/>
      <c r="AK16" s="268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268" t="s">
        <v>76</v>
      </c>
      <c r="BT16" s="268"/>
      <c r="BU16" s="268"/>
      <c r="BV16" s="268"/>
      <c r="BW16" s="268"/>
      <c r="BX16" s="268"/>
      <c r="BY16" s="268"/>
      <c r="BZ16" s="268"/>
      <c r="CA16" s="268"/>
      <c r="CB16" s="268"/>
      <c r="CC16" s="268"/>
      <c r="CD16" s="268"/>
      <c r="CE16" s="268"/>
      <c r="CF16" s="268"/>
      <c r="CG16" s="268"/>
      <c r="CH16" s="268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9"/>
      <c r="DJ16" s="9"/>
      <c r="DK16" s="269" t="s">
        <v>77</v>
      </c>
      <c r="DL16" s="269"/>
      <c r="DM16" s="269"/>
      <c r="DN16" s="269"/>
      <c r="DO16" s="269"/>
      <c r="DP16" s="269"/>
      <c r="DQ16" s="269"/>
      <c r="DR16" s="269"/>
      <c r="DS16" s="269"/>
      <c r="DT16" s="269"/>
      <c r="DU16" s="269"/>
      <c r="DV16" s="269"/>
      <c r="DW16" s="269"/>
      <c r="DX16" s="269"/>
      <c r="DY16" s="269"/>
      <c r="DZ16" s="269"/>
      <c r="EA16" s="269"/>
      <c r="EB16" s="269"/>
      <c r="EC16" s="9"/>
      <c r="ED16" s="9"/>
      <c r="EE16" s="9"/>
      <c r="EF16" s="9"/>
      <c r="EG16" s="9"/>
      <c r="EH16" s="9"/>
      <c r="EI16" s="9"/>
      <c r="EJ16" s="9"/>
      <c r="EK16" s="9"/>
      <c r="EL16" s="9"/>
      <c r="EM16" s="9"/>
      <c r="EN16" s="9"/>
      <c r="EO16" s="9"/>
      <c r="EP16" s="9"/>
      <c r="EQ16" s="9"/>
      <c r="ER16" s="9"/>
      <c r="ES16" s="9"/>
      <c r="ET16" s="9"/>
      <c r="EU16" s="9"/>
      <c r="EV16" s="9"/>
      <c r="EW16" s="9"/>
      <c r="EX16" s="9"/>
      <c r="EY16" s="9"/>
      <c r="EZ16" s="9"/>
      <c r="FA16" s="9"/>
      <c r="FB16" s="9"/>
      <c r="FC16" s="268" t="s">
        <v>78</v>
      </c>
      <c r="FD16" s="268"/>
      <c r="FE16" s="268"/>
      <c r="FF16" s="268"/>
      <c r="FG16" s="268"/>
      <c r="FH16" s="268"/>
      <c r="FI16" s="268"/>
      <c r="FJ16" s="268"/>
      <c r="FK16" s="268"/>
      <c r="FL16" s="268"/>
      <c r="FM16" s="268"/>
      <c r="FN16" s="268"/>
      <c r="FO16" s="268"/>
      <c r="FP16" s="268"/>
      <c r="FQ16" s="268"/>
      <c r="FR16" s="268"/>
      <c r="FS16" s="9"/>
      <c r="FT16" s="9"/>
      <c r="FU16" s="9"/>
      <c r="FV16" s="9"/>
      <c r="FW16" s="9"/>
      <c r="FX16" s="9"/>
      <c r="FY16" s="9"/>
      <c r="FZ16" s="9"/>
      <c r="GA16" s="9"/>
      <c r="GB16" s="9"/>
      <c r="GC16" s="9"/>
      <c r="GD16" s="9"/>
      <c r="GE16" s="9"/>
      <c r="GF16" s="9"/>
      <c r="GG16" s="9"/>
    </row>
    <row r="17" spans="3:190" ht="12" customHeight="1" thickTop="1" thickBot="1" x14ac:dyDescent="0.3"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268"/>
      <c r="P17" s="268"/>
      <c r="Q17" s="268"/>
      <c r="R17" s="268"/>
      <c r="S17" s="268"/>
      <c r="T17" s="268"/>
      <c r="U17" s="268"/>
      <c r="V17" s="268"/>
      <c r="W17" s="268"/>
      <c r="X17" s="268"/>
      <c r="Y17" s="268"/>
      <c r="Z17" s="268"/>
      <c r="AA17" s="268"/>
      <c r="AB17" s="268"/>
      <c r="AC17" s="268"/>
      <c r="AD17" s="268"/>
      <c r="AE17" s="268"/>
      <c r="AF17" s="268"/>
      <c r="AG17" s="268"/>
      <c r="AH17" s="268"/>
      <c r="AI17" s="268"/>
      <c r="AJ17" s="268"/>
      <c r="AK17" s="268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268"/>
      <c r="BT17" s="268"/>
      <c r="BU17" s="268"/>
      <c r="BV17" s="268"/>
      <c r="BW17" s="268"/>
      <c r="BX17" s="268"/>
      <c r="BY17" s="268"/>
      <c r="BZ17" s="268"/>
      <c r="CA17" s="268"/>
      <c r="CB17" s="268"/>
      <c r="CC17" s="268"/>
      <c r="CD17" s="268"/>
      <c r="CE17" s="268"/>
      <c r="CF17" s="268"/>
      <c r="CG17" s="268"/>
      <c r="CH17" s="268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269"/>
      <c r="DL17" s="269"/>
      <c r="DM17" s="269"/>
      <c r="DN17" s="269"/>
      <c r="DO17" s="269"/>
      <c r="DP17" s="269"/>
      <c r="DQ17" s="269"/>
      <c r="DR17" s="269"/>
      <c r="DS17" s="269"/>
      <c r="DT17" s="269"/>
      <c r="DU17" s="269"/>
      <c r="DV17" s="269"/>
      <c r="DW17" s="269"/>
      <c r="DX17" s="269"/>
      <c r="DY17" s="269"/>
      <c r="DZ17" s="269"/>
      <c r="EA17" s="269"/>
      <c r="EB17" s="269"/>
      <c r="EC17" s="9"/>
      <c r="ED17" s="9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9"/>
      <c r="EX17" s="9"/>
      <c r="EY17" s="9"/>
      <c r="EZ17" s="9"/>
      <c r="FA17" s="9"/>
      <c r="FB17" s="9"/>
      <c r="FC17" s="268"/>
      <c r="FD17" s="268"/>
      <c r="FE17" s="268"/>
      <c r="FF17" s="268"/>
      <c r="FG17" s="268"/>
      <c r="FH17" s="268"/>
      <c r="FI17" s="268"/>
      <c r="FJ17" s="268"/>
      <c r="FK17" s="268"/>
      <c r="FL17" s="268"/>
      <c r="FM17" s="268"/>
      <c r="FN17" s="268"/>
      <c r="FO17" s="268"/>
      <c r="FP17" s="268"/>
      <c r="FQ17" s="268"/>
      <c r="FR17" s="268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9"/>
      <c r="GF17" s="9"/>
      <c r="GG17" s="9"/>
    </row>
    <row r="18" spans="3:190" ht="12" customHeight="1" thickTop="1" thickBot="1" x14ac:dyDescent="0.3">
      <c r="C18" s="270" t="s">
        <v>79</v>
      </c>
      <c r="D18" s="270"/>
      <c r="E18" s="270"/>
      <c r="F18" s="270"/>
      <c r="G18" s="270"/>
      <c r="H18" s="270"/>
      <c r="I18" s="270"/>
      <c r="J18" s="270"/>
      <c r="K18" s="270"/>
      <c r="L18" s="270"/>
      <c r="M18" s="270"/>
      <c r="N18" s="270"/>
      <c r="O18" s="270"/>
      <c r="P18" s="270"/>
      <c r="Q18" s="270"/>
      <c r="R18" s="10"/>
      <c r="S18" s="10"/>
      <c r="T18" s="10"/>
      <c r="U18" s="10"/>
      <c r="V18" s="10"/>
      <c r="W18" s="10"/>
      <c r="X18" s="10"/>
      <c r="Y18" s="10"/>
      <c r="Z18" s="10"/>
      <c r="AA18" s="271" t="s">
        <v>80</v>
      </c>
      <c r="AB18" s="271"/>
      <c r="AC18" s="271"/>
      <c r="AD18" s="271"/>
      <c r="AE18" s="271"/>
      <c r="AF18" s="271"/>
      <c r="AG18" s="271"/>
      <c r="AH18" s="271"/>
      <c r="AI18" s="271"/>
      <c r="AJ18" s="271"/>
      <c r="AK18" s="271"/>
      <c r="AL18" s="271"/>
      <c r="AM18" s="271"/>
      <c r="AN18" s="271"/>
      <c r="AO18" s="271"/>
      <c r="AP18" s="271"/>
      <c r="AQ18" s="271"/>
      <c r="AR18" s="271"/>
      <c r="AS18" s="271"/>
      <c r="AT18" s="271"/>
      <c r="AU18" s="271"/>
      <c r="AV18" s="271"/>
      <c r="AW18" s="271"/>
      <c r="AX18" s="271"/>
      <c r="AY18" s="271"/>
      <c r="AZ18" s="271"/>
      <c r="BA18" s="11"/>
      <c r="BB18" s="12"/>
      <c r="BC18" s="12"/>
      <c r="BD18" s="69"/>
      <c r="BE18" s="69"/>
      <c r="BF18" s="69"/>
      <c r="BG18" s="69"/>
      <c r="BH18" s="69"/>
      <c r="BI18" s="69"/>
      <c r="BJ18" s="69"/>
      <c r="BK18" s="69"/>
      <c r="BL18" s="69"/>
      <c r="BM18" s="69"/>
      <c r="BN18" s="69"/>
      <c r="BO18" s="69"/>
      <c r="BP18" s="69"/>
      <c r="BQ18" s="69"/>
      <c r="BR18" s="12"/>
      <c r="BS18" s="12"/>
      <c r="BT18" s="12"/>
      <c r="BU18" s="12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3"/>
      <c r="CT18" s="162"/>
      <c r="CU18" s="163"/>
      <c r="CV18" s="164"/>
      <c r="CW18" s="165"/>
      <c r="CX18" s="165"/>
      <c r="CY18" s="166"/>
      <c r="CZ18" s="167"/>
      <c r="DA18" s="165"/>
      <c r="DB18" s="166"/>
      <c r="DC18" s="167"/>
      <c r="DD18" s="165"/>
      <c r="DE18" s="166"/>
      <c r="DF18" s="167"/>
      <c r="DG18" s="165"/>
      <c r="DH18" s="166"/>
      <c r="DI18" s="167"/>
      <c r="DJ18" s="165"/>
      <c r="DK18" s="168"/>
      <c r="DL18" s="10"/>
      <c r="DM18" s="10"/>
      <c r="DN18" s="10"/>
      <c r="DO18" s="192"/>
      <c r="DP18" s="193"/>
      <c r="DQ18" s="10"/>
      <c r="DR18" s="10"/>
      <c r="DS18" s="10"/>
      <c r="DT18" s="10"/>
      <c r="DU18" s="10"/>
      <c r="DV18" s="10"/>
      <c r="DW18" s="10"/>
      <c r="DX18" s="167"/>
      <c r="DY18" s="165"/>
      <c r="DZ18" s="166"/>
      <c r="EA18" s="167"/>
      <c r="EB18" s="165"/>
      <c r="EC18" s="166"/>
      <c r="ED18" s="167"/>
      <c r="EE18" s="165"/>
      <c r="EF18" s="166"/>
      <c r="EG18" s="167"/>
      <c r="EH18" s="165"/>
      <c r="EI18" s="166"/>
      <c r="EJ18" s="167"/>
      <c r="EK18" s="165"/>
      <c r="EL18" s="166"/>
      <c r="EM18" s="167"/>
      <c r="EN18" s="165"/>
      <c r="EO18" s="191"/>
      <c r="EP18" s="14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  <c r="GG18" s="10"/>
      <c r="GH18" s="230">
        <v>9</v>
      </c>
    </row>
    <row r="19" spans="3:190" ht="12" customHeight="1" thickTop="1" thickBot="1" x14ac:dyDescent="0.3">
      <c r="C19" s="270"/>
      <c r="D19" s="270"/>
      <c r="E19" s="270"/>
      <c r="F19" s="270"/>
      <c r="G19" s="270"/>
      <c r="H19" s="270"/>
      <c r="I19" s="270"/>
      <c r="J19" s="270"/>
      <c r="K19" s="270"/>
      <c r="L19" s="270"/>
      <c r="M19" s="270"/>
      <c r="N19" s="270"/>
      <c r="O19" s="270"/>
      <c r="P19" s="270"/>
      <c r="Q19" s="270"/>
      <c r="R19" s="9"/>
      <c r="S19" s="9"/>
      <c r="T19" s="9"/>
      <c r="U19" s="9"/>
      <c r="V19" s="9"/>
      <c r="W19" s="9"/>
      <c r="X19" s="9"/>
      <c r="Y19" s="9"/>
      <c r="Z19" s="9"/>
      <c r="AA19" s="271"/>
      <c r="AB19" s="271"/>
      <c r="AC19" s="271"/>
      <c r="AD19" s="271"/>
      <c r="AE19" s="271"/>
      <c r="AF19" s="271"/>
      <c r="AG19" s="271"/>
      <c r="AH19" s="271"/>
      <c r="AI19" s="271"/>
      <c r="AJ19" s="271"/>
      <c r="AK19" s="271"/>
      <c r="AL19" s="271"/>
      <c r="AM19" s="271"/>
      <c r="AN19" s="271"/>
      <c r="AO19" s="271"/>
      <c r="AP19" s="271"/>
      <c r="AQ19" s="271"/>
      <c r="AR19" s="271"/>
      <c r="AS19" s="271"/>
      <c r="AT19" s="271"/>
      <c r="AU19" s="271"/>
      <c r="AV19" s="271"/>
      <c r="AW19" s="271"/>
      <c r="AX19" s="271"/>
      <c r="AY19" s="271"/>
      <c r="AZ19" s="271"/>
      <c r="BA19" s="15"/>
      <c r="BB19" s="16"/>
      <c r="BC19" s="16"/>
      <c r="BD19" s="133" t="str">
        <f>IFERROR(VLOOKUP("2D01-24-04-03",pareto,18,FALSE),"-")</f>
        <v>-</v>
      </c>
      <c r="BE19" s="134" t="str">
        <f>IFERROR(VLOOKUP("2D01-24-04-06",pareto,18,FALSE),"-")</f>
        <v>-</v>
      </c>
      <c r="BF19" s="70"/>
      <c r="BG19" s="133" t="str">
        <f>IFERROR(VLOOKUP("2D02-23-04-03",pareto,18,FALSE),"-")</f>
        <v>-</v>
      </c>
      <c r="BH19" s="134" t="str">
        <f>IFERROR(VLOOKUP("2D02-23-04-06",pareto,18,FALSE),"-")</f>
        <v>-</v>
      </c>
      <c r="BI19" s="70"/>
      <c r="BJ19" s="70"/>
      <c r="BK19" s="70"/>
      <c r="BL19" s="70"/>
      <c r="BM19" s="133" t="str">
        <f>IFERROR(VLOOKUP("2D02-24-04-03",pareto,18,FALSE),"-")</f>
        <v>-</v>
      </c>
      <c r="BN19" s="134" t="str">
        <f>IFERROR(VLOOKUP("2D02-24-04-06",pareto,18,FALSE),"-")</f>
        <v>-</v>
      </c>
      <c r="BO19" s="70"/>
      <c r="BP19" s="133" t="str">
        <f>IFERROR(VLOOKUP("2D03-23-04-03",pareto,18,FALSE),"-")</f>
        <v>-</v>
      </c>
      <c r="BQ19" s="134" t="str">
        <f>IFERROR(VLOOKUP("2D03-23-04-06",pareto,18,FALSE),"-")</f>
        <v>-</v>
      </c>
      <c r="BR19" s="16"/>
      <c r="BS19" s="16"/>
      <c r="BT19" s="16"/>
      <c r="BU19" s="16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17"/>
      <c r="CT19" s="18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194"/>
      <c r="DP19" s="195"/>
      <c r="DQ19" s="9"/>
      <c r="DR19" s="9"/>
      <c r="DS19" s="9"/>
      <c r="DT19" s="9"/>
      <c r="DU19" s="9"/>
      <c r="DV19" s="9"/>
      <c r="DW19" s="9"/>
      <c r="DX19" s="9"/>
      <c r="DY19" s="9"/>
      <c r="DZ19" s="9"/>
      <c r="EA19" s="9"/>
      <c r="EB19" s="9"/>
      <c r="EC19" s="9"/>
      <c r="ED19" s="9"/>
      <c r="EE19" s="9"/>
      <c r="EF19" s="9"/>
      <c r="EG19" s="9"/>
      <c r="EH19" s="9"/>
      <c r="EI19" s="9"/>
      <c r="EJ19" s="9"/>
      <c r="EK19" s="9"/>
      <c r="EL19" s="9"/>
      <c r="EM19" s="9"/>
      <c r="EN19" s="9"/>
      <c r="EO19" s="17"/>
      <c r="EP19" s="18"/>
      <c r="EQ19" s="9"/>
      <c r="ER19" s="9"/>
      <c r="ES19" s="9"/>
      <c r="ET19" s="9"/>
      <c r="EU19" s="9"/>
      <c r="EV19" s="9"/>
      <c r="EW19" s="9"/>
      <c r="EX19" s="9"/>
      <c r="EY19" s="9"/>
      <c r="EZ19" s="9"/>
      <c r="FA19" s="9"/>
      <c r="FB19" s="9"/>
      <c r="FC19" s="9"/>
      <c r="FD19" s="9"/>
      <c r="FE19" s="9"/>
      <c r="FF19" s="9"/>
      <c r="FG19" s="9"/>
      <c r="FH19" s="9"/>
      <c r="FI19" s="9"/>
      <c r="FJ19" s="9"/>
      <c r="FK19" s="9"/>
      <c r="FL19" s="9"/>
      <c r="FM19" s="9"/>
      <c r="FN19" s="9"/>
      <c r="FO19" s="9"/>
      <c r="FP19" s="9"/>
      <c r="FQ19" s="9"/>
      <c r="FR19" s="9"/>
      <c r="FS19" s="9"/>
      <c r="FT19" s="9"/>
      <c r="FU19" s="9"/>
      <c r="FV19" s="9"/>
      <c r="FW19" s="9"/>
      <c r="FX19" s="9"/>
      <c r="FY19" s="9"/>
      <c r="FZ19" s="9"/>
      <c r="GA19" s="9"/>
      <c r="GB19" s="9"/>
      <c r="GC19" s="9"/>
      <c r="GD19" s="9"/>
      <c r="GE19" s="9"/>
      <c r="GF19" s="9"/>
      <c r="GG19" s="9"/>
      <c r="GH19" s="224" t="str">
        <f>IFERROR(VLOOKUP("4P09-63-00-02",pareto,18,FALSE),"-")</f>
        <v>-</v>
      </c>
    </row>
    <row r="20" spans="3:190" ht="12" customHeight="1" thickTop="1" thickBot="1" x14ac:dyDescent="0.3">
      <c r="C20" s="270"/>
      <c r="D20" s="270"/>
      <c r="E20" s="270"/>
      <c r="F20" s="270"/>
      <c r="G20" s="270"/>
      <c r="H20" s="270"/>
      <c r="I20" s="270"/>
      <c r="J20" s="270"/>
      <c r="K20" s="270"/>
      <c r="L20" s="270"/>
      <c r="M20" s="270"/>
      <c r="N20" s="270"/>
      <c r="O20" s="270"/>
      <c r="P20" s="270"/>
      <c r="Q20" s="270"/>
      <c r="R20" s="9"/>
      <c r="S20" s="9"/>
      <c r="T20" s="9"/>
      <c r="U20" s="9"/>
      <c r="V20" s="9"/>
      <c r="W20" s="9"/>
      <c r="X20" s="9"/>
      <c r="Y20" s="9"/>
      <c r="Z20" s="9"/>
      <c r="AA20" s="271"/>
      <c r="AB20" s="271"/>
      <c r="AC20" s="271"/>
      <c r="AD20" s="271"/>
      <c r="AE20" s="271"/>
      <c r="AF20" s="271"/>
      <c r="AG20" s="271"/>
      <c r="AH20" s="271"/>
      <c r="AI20" s="271"/>
      <c r="AJ20" s="271"/>
      <c r="AK20" s="271"/>
      <c r="AL20" s="271"/>
      <c r="AM20" s="271"/>
      <c r="AN20" s="271"/>
      <c r="AO20" s="271"/>
      <c r="AP20" s="271"/>
      <c r="AQ20" s="271"/>
      <c r="AR20" s="271"/>
      <c r="AS20" s="271"/>
      <c r="AT20" s="271"/>
      <c r="AU20" s="271"/>
      <c r="AV20" s="271"/>
      <c r="AW20" s="271"/>
      <c r="AX20" s="271"/>
      <c r="AY20" s="271"/>
      <c r="AZ20" s="272"/>
      <c r="BA20" s="149" t="str">
        <f>IFERROR(VLOOKUP("2D01-23-00-03",pareto,18,FALSE),"-")</f>
        <v>-</v>
      </c>
      <c r="BB20" s="77"/>
      <c r="BC20" s="77"/>
      <c r="BD20" s="135" t="str">
        <f>IFERROR(VLOOKUP("2D01-24-04-02",pareto,18,FALSE),"-")</f>
        <v>-</v>
      </c>
      <c r="BE20" s="136" t="str">
        <f>IFERROR(VLOOKUP("2D01-24-04-05",pareto,18,FALSE),"-")</f>
        <v>-</v>
      </c>
      <c r="BF20" s="78"/>
      <c r="BG20" s="135" t="str">
        <f>IFERROR(VLOOKUP("2D02-23-04-02",pareto,18,FALSE),"-")</f>
        <v>-</v>
      </c>
      <c r="BH20" s="136" t="str">
        <f>IFERROR(VLOOKUP("2D02-23-04-05",pareto,18,FALSE),"-")</f>
        <v>-</v>
      </c>
      <c r="BI20" s="78"/>
      <c r="BJ20" s="78"/>
      <c r="BK20" s="78"/>
      <c r="BL20" s="78"/>
      <c r="BM20" s="135" t="str">
        <f>IFERROR(VLOOKUP("2D02-24-04-02",pareto,18,FALSE),"-")</f>
        <v>-</v>
      </c>
      <c r="BN20" s="136" t="str">
        <f>IFERROR(VLOOKUP("2D02-24-04-05",pareto,18,FALSE),"-")</f>
        <v>-</v>
      </c>
      <c r="BO20" s="78"/>
      <c r="BP20" s="135" t="str">
        <f>IFERROR(VLOOKUP("2D03-23-04-02",pareto,18,FALSE),"-")</f>
        <v>-</v>
      </c>
      <c r="BQ20" s="136" t="str">
        <f>IFERROR(VLOOKUP("2D03-23-04-05",pareto,18,FALSE),"-")</f>
        <v>-</v>
      </c>
      <c r="BR20" s="77"/>
      <c r="BS20" s="77"/>
      <c r="BT20" s="77"/>
      <c r="BU20" s="77"/>
      <c r="BV20" s="20"/>
      <c r="BW20" s="20"/>
      <c r="BX20" s="20"/>
      <c r="BY20" s="20"/>
      <c r="BZ20" s="20"/>
      <c r="CA20" s="20"/>
      <c r="CB20" s="20"/>
      <c r="CC20" s="20"/>
      <c r="CD20" s="20"/>
      <c r="CE20" s="20"/>
      <c r="CF20" s="20"/>
      <c r="CG20" s="20"/>
      <c r="CH20" s="20"/>
      <c r="CI20" s="20"/>
      <c r="CJ20" s="20"/>
      <c r="CK20" s="20"/>
      <c r="CL20" s="20"/>
      <c r="CM20" s="20"/>
      <c r="CN20" s="20"/>
      <c r="CO20" s="20"/>
      <c r="CP20" s="20"/>
      <c r="CQ20" s="20"/>
      <c r="CR20" s="20"/>
      <c r="CS20" s="21"/>
      <c r="CT20" s="19"/>
      <c r="CU20" s="20"/>
      <c r="CV20" s="20"/>
      <c r="CW20" s="20"/>
      <c r="CX20" s="20"/>
      <c r="CY20" s="20"/>
      <c r="CZ20" s="20"/>
      <c r="DA20" s="20"/>
      <c r="DB20" s="20"/>
      <c r="DC20" s="20"/>
      <c r="DD20" s="20"/>
      <c r="DE20" s="20"/>
      <c r="DF20" s="20"/>
      <c r="DG20" s="20"/>
      <c r="DH20" s="20"/>
      <c r="DI20" s="20"/>
      <c r="DJ20" s="20"/>
      <c r="DK20" s="20"/>
      <c r="DL20" s="20"/>
      <c r="DM20" s="20"/>
      <c r="DN20" s="20"/>
      <c r="DO20" s="196"/>
      <c r="DP20" s="197"/>
      <c r="DQ20" s="20"/>
      <c r="DR20" s="20"/>
      <c r="DS20" s="20"/>
      <c r="DT20" s="20"/>
      <c r="DU20" s="20"/>
      <c r="DV20" s="20"/>
      <c r="DW20" s="20"/>
      <c r="DX20" s="20"/>
      <c r="DY20" s="20"/>
      <c r="DZ20" s="20"/>
      <c r="EA20" s="20"/>
      <c r="EB20" s="20"/>
      <c r="EC20" s="20"/>
      <c r="ED20" s="20"/>
      <c r="EE20" s="20"/>
      <c r="EF20" s="20"/>
      <c r="EG20" s="20"/>
      <c r="EH20" s="20"/>
      <c r="EI20" s="20"/>
      <c r="EJ20" s="20"/>
      <c r="EK20" s="20"/>
      <c r="EL20" s="20"/>
      <c r="EM20" s="20"/>
      <c r="EN20" s="20"/>
      <c r="EO20" s="21"/>
      <c r="EP20" s="19">
        <v>1</v>
      </c>
      <c r="EQ20" s="20"/>
      <c r="ER20" s="20"/>
      <c r="ES20" s="20"/>
      <c r="ET20" s="20">
        <v>1</v>
      </c>
      <c r="EU20" s="20">
        <v>2</v>
      </c>
      <c r="EV20" s="20"/>
      <c r="EW20" s="20"/>
      <c r="EX20" s="20"/>
      <c r="EY20" s="20">
        <v>2</v>
      </c>
      <c r="EZ20" s="20">
        <v>3</v>
      </c>
      <c r="FA20" s="20"/>
      <c r="FB20" s="20"/>
      <c r="FC20" s="20"/>
      <c r="FD20" s="20">
        <v>3</v>
      </c>
      <c r="FE20" s="20">
        <v>4</v>
      </c>
      <c r="FF20" s="20"/>
      <c r="FG20" s="20"/>
      <c r="FH20" s="20"/>
      <c r="FI20" s="20">
        <v>4</v>
      </c>
      <c r="FJ20" s="20">
        <v>5</v>
      </c>
      <c r="FK20" s="20"/>
      <c r="FL20" s="20"/>
      <c r="FM20" s="20"/>
      <c r="FN20" s="20">
        <v>5</v>
      </c>
      <c r="FO20" s="20">
        <v>6</v>
      </c>
      <c r="FP20" s="20"/>
      <c r="FQ20" s="20"/>
      <c r="FR20" s="20"/>
      <c r="FS20" s="20">
        <v>6</v>
      </c>
      <c r="FT20" s="20">
        <v>7</v>
      </c>
      <c r="FU20" s="20"/>
      <c r="FV20" s="20"/>
      <c r="FW20" s="20"/>
      <c r="FX20" s="20">
        <v>7</v>
      </c>
      <c r="FY20" s="20">
        <v>8</v>
      </c>
      <c r="FZ20" s="20"/>
      <c r="GA20" s="20"/>
      <c r="GB20" s="20"/>
      <c r="GC20" s="20">
        <v>8</v>
      </c>
      <c r="GD20" s="20">
        <v>9</v>
      </c>
      <c r="GE20" s="20"/>
      <c r="GF20" s="20"/>
      <c r="GG20" s="20"/>
      <c r="GH20" s="225" t="str">
        <f>IFERROR(VLOOKUP("4P09-62-00-01",pareto,18,FALSE),"-")</f>
        <v>-</v>
      </c>
    </row>
    <row r="21" spans="3:190" ht="12" customHeight="1" thickTop="1" thickBot="1" x14ac:dyDescent="0.3">
      <c r="C21" s="270"/>
      <c r="D21" s="270"/>
      <c r="E21" s="270"/>
      <c r="F21" s="270"/>
      <c r="G21" s="270"/>
      <c r="H21" s="270"/>
      <c r="I21" s="270"/>
      <c r="J21" s="270"/>
      <c r="K21" s="270"/>
      <c r="L21" s="270"/>
      <c r="M21" s="270"/>
      <c r="N21" s="270"/>
      <c r="O21" s="270"/>
      <c r="P21" s="270"/>
      <c r="Q21" s="270"/>
      <c r="R21" s="9"/>
      <c r="S21" s="9"/>
      <c r="T21" s="9"/>
      <c r="U21" s="9"/>
      <c r="V21" s="9"/>
      <c r="W21" s="9"/>
      <c r="X21" s="9"/>
      <c r="Y21" s="9"/>
      <c r="Z21" s="9"/>
      <c r="AA21" s="271"/>
      <c r="AB21" s="271"/>
      <c r="AC21" s="271"/>
      <c r="AD21" s="271"/>
      <c r="AE21" s="271"/>
      <c r="AF21" s="271"/>
      <c r="AG21" s="271"/>
      <c r="AH21" s="271"/>
      <c r="AI21" s="271"/>
      <c r="AJ21" s="271"/>
      <c r="AK21" s="271"/>
      <c r="AL21" s="271"/>
      <c r="AM21" s="271"/>
      <c r="AN21" s="271"/>
      <c r="AO21" s="271"/>
      <c r="AP21" s="271"/>
      <c r="AQ21" s="271"/>
      <c r="AR21" s="271"/>
      <c r="AS21" s="271"/>
      <c r="AT21" s="271"/>
      <c r="AU21" s="271"/>
      <c r="AV21" s="271"/>
      <c r="AW21" s="271"/>
      <c r="AX21" s="271"/>
      <c r="AY21" s="271"/>
      <c r="AZ21" s="272"/>
      <c r="BA21" s="150" t="str">
        <f>IFERROR(VLOOKUP("2D01-23-00-02",pareto,18,FALSE),"-")</f>
        <v>-</v>
      </c>
      <c r="BB21" s="77"/>
      <c r="BC21" s="77"/>
      <c r="BD21" s="137" t="str">
        <f>IFERROR(VLOOKUP("2D01-24-04-01",pareto,18,FALSE),"-")</f>
        <v>-</v>
      </c>
      <c r="BE21" s="138" t="str">
        <f>IFERROR(VLOOKUP("2D01-24-04-04",pareto,18,FALSE),"-")</f>
        <v>-</v>
      </c>
      <c r="BF21" s="78"/>
      <c r="BG21" s="137" t="str">
        <f>IFERROR(VLOOKUP("2D02-23-04-01",pareto,18,FALSE),"-")</f>
        <v>-</v>
      </c>
      <c r="BH21" s="138" t="str">
        <f>IFERROR(VLOOKUP("2D02-23-04-04",pareto,18,FALSE),"-")</f>
        <v>-</v>
      </c>
      <c r="BI21" s="78"/>
      <c r="BJ21" s="78"/>
      <c r="BK21" s="78"/>
      <c r="BL21" s="78"/>
      <c r="BM21" s="137" t="str">
        <f>IFERROR(VLOOKUP("2D02-24-04-01",pareto,18,FALSE),"-")</f>
        <v>-</v>
      </c>
      <c r="BN21" s="138" t="str">
        <f>IFERROR(VLOOKUP("2D02-24-04-04",pareto,18,FALSE),"-")</f>
        <v>-</v>
      </c>
      <c r="BO21" s="78"/>
      <c r="BP21" s="137" t="str">
        <f>IFERROR(VLOOKUP("2D03-23-04-01",pareto,18,FALSE),"-")</f>
        <v>-</v>
      </c>
      <c r="BQ21" s="138" t="str">
        <f>IFERROR(VLOOKUP("2D03-23-04-04",pareto,18,FALSE),"-")</f>
        <v>-</v>
      </c>
      <c r="BR21" s="77"/>
      <c r="BS21" s="77"/>
      <c r="BT21" s="77"/>
      <c r="BU21" s="77"/>
      <c r="BV21" s="20"/>
      <c r="BW21" s="20"/>
      <c r="BX21" s="20"/>
      <c r="BY21" s="20"/>
      <c r="BZ21" s="20"/>
      <c r="CA21" s="20"/>
      <c r="CB21" s="20"/>
      <c r="CC21" s="20"/>
      <c r="CD21" s="20"/>
      <c r="CE21" s="20"/>
      <c r="CF21" s="20"/>
      <c r="CG21" s="20"/>
      <c r="CH21" s="20"/>
      <c r="CI21" s="20"/>
      <c r="CJ21" s="20"/>
      <c r="CK21" s="20"/>
      <c r="CL21" s="20"/>
      <c r="CM21" s="20"/>
      <c r="CN21" s="20"/>
      <c r="CO21" s="20"/>
      <c r="CP21" s="20"/>
      <c r="CQ21" s="20"/>
      <c r="CR21" s="20"/>
      <c r="CS21" s="21"/>
      <c r="CT21" s="19"/>
      <c r="CU21" s="20"/>
      <c r="CV21" s="20"/>
      <c r="CW21" s="20"/>
      <c r="CX21" s="20"/>
      <c r="CY21" s="20"/>
      <c r="CZ21" s="20"/>
      <c r="DA21" s="20"/>
      <c r="DB21" s="20"/>
      <c r="DC21" s="20"/>
      <c r="DD21" s="20"/>
      <c r="DE21" s="20"/>
      <c r="DF21" s="20"/>
      <c r="DG21" s="20"/>
      <c r="DH21" s="20"/>
      <c r="DI21" s="20"/>
      <c r="DJ21" s="20"/>
      <c r="DK21" s="20"/>
      <c r="DL21" s="20"/>
      <c r="DM21" s="20"/>
      <c r="DN21" s="20"/>
      <c r="DO21" s="198"/>
      <c r="DP21" s="199"/>
      <c r="DQ21" s="20"/>
      <c r="DR21" s="20"/>
      <c r="DS21" s="20"/>
      <c r="DT21" s="20"/>
      <c r="DU21" s="20"/>
      <c r="DV21" s="20"/>
      <c r="DW21" s="20"/>
      <c r="DX21" s="20"/>
      <c r="DY21" s="20"/>
      <c r="DZ21" s="20"/>
      <c r="EA21" s="20"/>
      <c r="EB21" s="20"/>
      <c r="EC21" s="20"/>
      <c r="ED21" s="20"/>
      <c r="EE21" s="20"/>
      <c r="EF21" s="20"/>
      <c r="EG21" s="20"/>
      <c r="EH21" s="20"/>
      <c r="EI21" s="20"/>
      <c r="EJ21" s="20"/>
      <c r="EK21" s="20"/>
      <c r="EL21" s="20"/>
      <c r="EM21" s="20"/>
      <c r="EN21" s="20"/>
      <c r="EO21" s="21"/>
      <c r="EP21" s="40" t="str">
        <f>IFERROR(VLOOKUP("4P01-59-00-03",pareto,18,FALSE),"-")</f>
        <v>-</v>
      </c>
      <c r="EQ21" s="20"/>
      <c r="ER21" s="20"/>
      <c r="ES21" s="20"/>
      <c r="ET21" s="217" t="str">
        <f>IFERROR(VLOOKUP("4P01-60-00-03",pareto,18,FALSE),"-")</f>
        <v>-</v>
      </c>
      <c r="EU21" s="40" t="str">
        <f>IFERROR(VLOOKUP("4P02-59-00-03",pareto,18,FALSE),"-")</f>
        <v>-</v>
      </c>
      <c r="EV21" s="20"/>
      <c r="EW21" s="20"/>
      <c r="EX21" s="20"/>
      <c r="EY21" s="217" t="str">
        <f>IFERROR(VLOOKUP("4P02-60-00-03",pareto,18,FALSE),"-")</f>
        <v>-</v>
      </c>
      <c r="EZ21" s="40" t="str">
        <f>IFERROR(VLOOKUP("4P03-59-00-03",pareto,18,FALSE),"-")</f>
        <v>-</v>
      </c>
      <c r="FA21" s="20"/>
      <c r="FB21" s="20"/>
      <c r="FC21" s="20"/>
      <c r="FD21" s="217" t="str">
        <f>IFERROR(VLOOKUP("4P03-60-00-03",pareto,18,FALSE),"-")</f>
        <v>-</v>
      </c>
      <c r="FE21" s="40" t="str">
        <f>IFERROR(VLOOKUP("4P04-59-00-03",pareto,18,FALSE),"-")</f>
        <v>-</v>
      </c>
      <c r="FF21" s="20"/>
      <c r="FG21" s="20"/>
      <c r="FH21" s="20"/>
      <c r="FI21" s="217" t="str">
        <f>IFERROR(VLOOKUP("4P04-60-00-03",pareto,18,FALSE),"-")</f>
        <v>-</v>
      </c>
      <c r="FJ21" s="40" t="str">
        <f>IFERROR(VLOOKUP("4P05-59-00-03",pareto,18,FALSE),"-")</f>
        <v>-</v>
      </c>
      <c r="FK21" s="20"/>
      <c r="FL21" s="20"/>
      <c r="FM21" s="20"/>
      <c r="FN21" s="217" t="str">
        <f>IFERROR(VLOOKUP("4P05-60-00-03",pareto,18,FALSE),"-")</f>
        <v>-</v>
      </c>
      <c r="FO21" s="40" t="str">
        <f>IFERROR(VLOOKUP("4P06-59-00-03",pareto,18,FALSE),"-")</f>
        <v>-</v>
      </c>
      <c r="FP21" s="20"/>
      <c r="FQ21" s="20"/>
      <c r="FR21" s="20"/>
      <c r="FS21" s="217" t="str">
        <f>IFERROR(VLOOKUP("4P06-60-00-03",pareto,18,FALSE),"-")</f>
        <v>-</v>
      </c>
      <c r="FT21" s="40" t="str">
        <f>IFERROR(VLOOKUP("4P07-59-00-03",pareto,18,FALSE),"-")</f>
        <v>-</v>
      </c>
      <c r="FU21" s="20"/>
      <c r="FV21" s="20"/>
      <c r="FW21" s="20"/>
      <c r="FX21" s="217" t="str">
        <f>IFERROR(VLOOKUP("4P07-60-00-03",pareto,18,FALSE),"-")</f>
        <v>-</v>
      </c>
      <c r="FY21" s="40" t="str">
        <f>IFERROR(VLOOKUP("4P08-59-00-03",pareto,18,FALSE),"-")</f>
        <v>-</v>
      </c>
      <c r="FZ21" s="20"/>
      <c r="GA21" s="20"/>
      <c r="GB21" s="20"/>
      <c r="GC21" s="217" t="str">
        <f>IFERROR(VLOOKUP("4P08-60-00-03",pareto,18,FALSE),"-")</f>
        <v>-</v>
      </c>
      <c r="GD21" s="40" t="str">
        <f>IFERROR(VLOOKUP("4P09-59-00-03",pareto,18,FALSE),"-")</f>
        <v>-</v>
      </c>
      <c r="GE21" s="20"/>
      <c r="GF21" s="20"/>
      <c r="GG21" s="226"/>
      <c r="GH21" s="224" t="str">
        <f>IFERROR(VLOOKUP("4P09-60-00-03",pareto,18,FALSE),"-")</f>
        <v>-</v>
      </c>
    </row>
    <row r="22" spans="3:190" ht="12" customHeight="1" thickTop="1" thickBot="1" x14ac:dyDescent="0.3">
      <c r="C22" s="270"/>
      <c r="D22" s="270"/>
      <c r="E22" s="270"/>
      <c r="F22" s="270"/>
      <c r="G22" s="270"/>
      <c r="H22" s="270"/>
      <c r="I22" s="270"/>
      <c r="J22" s="270"/>
      <c r="K22" s="270"/>
      <c r="L22" s="270"/>
      <c r="M22" s="270"/>
      <c r="N22" s="270"/>
      <c r="O22" s="270"/>
      <c r="P22" s="270"/>
      <c r="Q22" s="270"/>
      <c r="R22" s="9"/>
      <c r="S22" s="9"/>
      <c r="T22" s="9"/>
      <c r="U22" s="9"/>
      <c r="V22" s="9"/>
      <c r="W22" s="9"/>
      <c r="X22" s="9"/>
      <c r="Y22" s="9"/>
      <c r="Z22" s="9"/>
      <c r="AA22" s="271"/>
      <c r="AB22" s="271"/>
      <c r="AC22" s="271"/>
      <c r="AD22" s="271"/>
      <c r="AE22" s="271"/>
      <c r="AF22" s="271"/>
      <c r="AG22" s="271"/>
      <c r="AH22" s="271"/>
      <c r="AI22" s="271"/>
      <c r="AJ22" s="271"/>
      <c r="AK22" s="271"/>
      <c r="AL22" s="271"/>
      <c r="AM22" s="271"/>
      <c r="AN22" s="271"/>
      <c r="AO22" s="271"/>
      <c r="AP22" s="271"/>
      <c r="AQ22" s="271"/>
      <c r="AR22" s="271"/>
      <c r="AS22" s="271"/>
      <c r="AT22" s="271"/>
      <c r="AU22" s="271"/>
      <c r="AV22" s="271"/>
      <c r="AW22" s="271"/>
      <c r="AX22" s="271"/>
      <c r="AY22" s="271"/>
      <c r="AZ22" s="272"/>
      <c r="BA22" s="151" t="str">
        <f>IFERROR(VLOOKUP("2D01-23-00-01",pareto,18,FALSE),"-")</f>
        <v>-</v>
      </c>
      <c r="BB22" s="77"/>
      <c r="BC22" s="77"/>
      <c r="BD22" s="133" t="str">
        <f>IFERROR(VLOOKUP("2D01-22-04-03",pareto,18,FALSE),"-")</f>
        <v>-</v>
      </c>
      <c r="BE22" s="134" t="str">
        <f>IFERROR(VLOOKUP("2D01-22-04-06",pareto,18,FALSE),"-")</f>
        <v>-</v>
      </c>
      <c r="BF22" s="78"/>
      <c r="BG22" s="133" t="str">
        <f>IFERROR(VLOOKUP("2D02-21-04-03",pareto,18,FALSE),"-")</f>
        <v>-</v>
      </c>
      <c r="BH22" s="134" t="str">
        <f>IFERROR(VLOOKUP("2D02-21-04-06",pareto,18,FALSE),"-")</f>
        <v>-</v>
      </c>
      <c r="BI22" s="78"/>
      <c r="BJ22" s="78"/>
      <c r="BK22" s="78"/>
      <c r="BL22" s="78"/>
      <c r="BM22" s="133" t="str">
        <f>IFERROR(VLOOKUP("2D02-22-04-03",pareto,18,FALSE),"-")</f>
        <v>-</v>
      </c>
      <c r="BN22" s="145"/>
      <c r="BO22" s="78"/>
      <c r="BP22" s="133" t="str">
        <f>IFERROR(VLOOKUP("2D03-21-04-03",pareto,18,FALSE),"-")</f>
        <v>-</v>
      </c>
      <c r="BQ22" s="134" t="str">
        <f>IFERROR(VLOOKUP("2D03-21-04-06",pareto,18,FALSE),"-")</f>
        <v>-</v>
      </c>
      <c r="BR22" s="77"/>
      <c r="BS22" s="77"/>
      <c r="BT22" s="20"/>
      <c r="BU22" s="20"/>
      <c r="BV22" s="20"/>
      <c r="BW22" s="20"/>
      <c r="BX22" s="20"/>
      <c r="BY22" s="20"/>
      <c r="BZ22" s="20"/>
      <c r="CA22" s="20"/>
      <c r="CB22" s="20"/>
      <c r="CC22" s="20"/>
      <c r="CD22" s="20"/>
      <c r="CE22" s="20"/>
      <c r="CF22" s="20"/>
      <c r="CG22" s="20"/>
      <c r="CH22" s="20"/>
      <c r="CI22" s="20"/>
      <c r="CJ22" s="20"/>
      <c r="CK22" s="20"/>
      <c r="CL22" s="20"/>
      <c r="CM22" s="20"/>
      <c r="CN22" s="20"/>
      <c r="CO22" s="20"/>
      <c r="CP22" s="20"/>
      <c r="CQ22" s="20"/>
      <c r="CR22" s="20"/>
      <c r="CS22" s="21"/>
      <c r="CT22" s="19"/>
      <c r="CU22" s="20"/>
      <c r="CV22" s="20"/>
      <c r="CW22" s="20"/>
      <c r="CX22" s="20"/>
      <c r="CY22" s="20"/>
      <c r="CZ22" s="20"/>
      <c r="DA22" s="20"/>
      <c r="DB22" s="20"/>
      <c r="DC22" s="20"/>
      <c r="DD22" s="20"/>
      <c r="DE22" s="20"/>
      <c r="DF22" s="20"/>
      <c r="DG22" s="20"/>
      <c r="DH22" s="20"/>
      <c r="DI22" s="20"/>
      <c r="DJ22" s="20"/>
      <c r="DK22" s="20"/>
      <c r="DL22" s="20"/>
      <c r="DM22" s="20"/>
      <c r="DN22" s="20"/>
      <c r="DO22" s="200"/>
      <c r="DP22" s="201"/>
      <c r="DQ22" s="20"/>
      <c r="DR22" s="20"/>
      <c r="DS22" s="20"/>
      <c r="DT22" s="20"/>
      <c r="DU22" s="20"/>
      <c r="DV22" s="20"/>
      <c r="DW22" s="20"/>
      <c r="DX22" s="20"/>
      <c r="DY22" s="20"/>
      <c r="DZ22" s="20"/>
      <c r="EA22" s="20"/>
      <c r="EB22" s="20"/>
      <c r="EC22" s="20"/>
      <c r="ED22" s="20"/>
      <c r="EE22" s="20"/>
      <c r="EF22" s="20"/>
      <c r="EG22" s="20"/>
      <c r="EH22" s="20"/>
      <c r="EI22" s="20"/>
      <c r="EJ22" s="20"/>
      <c r="EK22" s="20"/>
      <c r="EL22" s="20"/>
      <c r="EM22" s="20"/>
      <c r="EN22" s="20"/>
      <c r="EO22" s="21"/>
      <c r="EP22" s="41" t="str">
        <f>IFERROR(VLOOKUP("4P01-59-00-02",pareto,18,FALSE),"-")</f>
        <v>-</v>
      </c>
      <c r="EQ22" s="20"/>
      <c r="ER22" s="20"/>
      <c r="ES22" s="20"/>
      <c r="ET22" s="218" t="str">
        <f>IFERROR(VLOOKUP("4P01-60-00-02",pareto,18,FALSE),"-")</f>
        <v>-</v>
      </c>
      <c r="EU22" s="41" t="str">
        <f>IFERROR(VLOOKUP("4P02-59-00-02",pareto,18,FALSE),"-")</f>
        <v>-</v>
      </c>
      <c r="EV22" s="20"/>
      <c r="EW22" s="20"/>
      <c r="EX22" s="20"/>
      <c r="EY22" s="218" t="str">
        <f>IFERROR(VLOOKUP("4P02-60-00-02",pareto,18,FALSE),"-")</f>
        <v>-</v>
      </c>
      <c r="EZ22" s="41" t="str">
        <f>IFERROR(VLOOKUP("4P03-59-00-02",pareto,18,FALSE),"-")</f>
        <v>-</v>
      </c>
      <c r="FA22" s="20"/>
      <c r="FB22" s="20"/>
      <c r="FC22" s="20"/>
      <c r="FD22" s="218" t="str">
        <f>IFERROR(VLOOKUP("4P03-60-00-02",pareto,18,FALSE),"-")</f>
        <v>-</v>
      </c>
      <c r="FE22" s="41" t="str">
        <f>IFERROR(VLOOKUP("4P04-59-00-02",pareto,18,FALSE),"-")</f>
        <v>-</v>
      </c>
      <c r="FF22" s="20"/>
      <c r="FG22" s="20"/>
      <c r="FH22" s="20"/>
      <c r="FI22" s="218" t="str">
        <f>IFERROR(VLOOKUP("4P04-60-00-02",pareto,18,FALSE),"-")</f>
        <v>-</v>
      </c>
      <c r="FJ22" s="41" t="str">
        <f>IFERROR(VLOOKUP("4P05-59-00-02",pareto,18,FALSE),"-")</f>
        <v>-</v>
      </c>
      <c r="FK22" s="20"/>
      <c r="FL22" s="20"/>
      <c r="FM22" s="20"/>
      <c r="FN22" s="218" t="str">
        <f>IFERROR(VLOOKUP("4P05-60-00-02",pareto,18,FALSE),"-")</f>
        <v>-</v>
      </c>
      <c r="FO22" s="41" t="str">
        <f>IFERROR(VLOOKUP("4P06-59-00-02",pareto,18,FALSE),"-")</f>
        <v>-</v>
      </c>
      <c r="FP22" s="20"/>
      <c r="FQ22" s="20"/>
      <c r="FR22" s="20"/>
      <c r="FS22" s="218" t="str">
        <f>IFERROR(VLOOKUP("4P06-60-00-02",pareto,18,FALSE),"-")</f>
        <v>-</v>
      </c>
      <c r="FT22" s="41" t="str">
        <f>IFERROR(VLOOKUP("4P07-59-00-02",pareto,18,FALSE),"-")</f>
        <v>-</v>
      </c>
      <c r="FU22" s="20"/>
      <c r="FV22" s="20"/>
      <c r="FW22" s="20"/>
      <c r="FX22" s="218" t="str">
        <f>IFERROR(VLOOKUP("4P07-60-00-02",pareto,18,FALSE),"-")</f>
        <v>-</v>
      </c>
      <c r="FY22" s="41" t="str">
        <f>IFERROR(VLOOKUP("4P08-59-00-02",pareto,18,FALSE),"-")</f>
        <v>-</v>
      </c>
      <c r="FZ22" s="20"/>
      <c r="GA22" s="20"/>
      <c r="GB22" s="20"/>
      <c r="GC22" s="218" t="str">
        <f>IFERROR(VLOOKUP("4P08-60-00-02",pareto,18,FALSE),"-")</f>
        <v>-</v>
      </c>
      <c r="GD22" s="41" t="str">
        <f>IFERROR(VLOOKUP("4P09-59-00-02",pareto,18,FALSE),"-")</f>
        <v>-</v>
      </c>
      <c r="GE22" s="20"/>
      <c r="GF22" s="20"/>
      <c r="GG22" s="226"/>
      <c r="GH22" s="227" t="str">
        <f>IFERROR(VLOOKUP("4P09-60-00-02",pareto,18,FALSE),"-")</f>
        <v>-</v>
      </c>
    </row>
    <row r="23" spans="3:190" ht="12" customHeight="1" thickTop="1" thickBot="1" x14ac:dyDescent="0.3">
      <c r="C23" s="270"/>
      <c r="D23" s="270"/>
      <c r="E23" s="270"/>
      <c r="F23" s="270"/>
      <c r="G23" s="270"/>
      <c r="H23" s="270"/>
      <c r="I23" s="270"/>
      <c r="J23" s="270"/>
      <c r="K23" s="270"/>
      <c r="L23" s="270"/>
      <c r="M23" s="270"/>
      <c r="N23" s="270"/>
      <c r="O23" s="270"/>
      <c r="P23" s="270"/>
      <c r="Q23" s="270"/>
      <c r="R23" s="9"/>
      <c r="S23" s="9"/>
      <c r="T23" s="9"/>
      <c r="U23" s="9"/>
      <c r="V23" s="9"/>
      <c r="W23" s="9"/>
      <c r="X23" s="9"/>
      <c r="Y23" s="9"/>
      <c r="Z23" s="9"/>
      <c r="AA23" s="271"/>
      <c r="AB23" s="271"/>
      <c r="AC23" s="271"/>
      <c r="AD23" s="271"/>
      <c r="AE23" s="271"/>
      <c r="AF23" s="271"/>
      <c r="AG23" s="271"/>
      <c r="AH23" s="271"/>
      <c r="AI23" s="271"/>
      <c r="AJ23" s="271"/>
      <c r="AK23" s="271"/>
      <c r="AL23" s="271"/>
      <c r="AM23" s="271"/>
      <c r="AN23" s="271"/>
      <c r="AO23" s="271"/>
      <c r="AP23" s="271"/>
      <c r="AQ23" s="271"/>
      <c r="AR23" s="271"/>
      <c r="AS23" s="271"/>
      <c r="AT23" s="271"/>
      <c r="AU23" s="271"/>
      <c r="AV23" s="271"/>
      <c r="AW23" s="271"/>
      <c r="AX23" s="271"/>
      <c r="AY23" s="271"/>
      <c r="AZ23" s="272"/>
      <c r="BA23" s="152" t="str">
        <f>IFERROR(VLOOKUP("2D01-21-00-03",pareto,18,FALSE),"-")</f>
        <v>-</v>
      </c>
      <c r="BB23" s="77"/>
      <c r="BC23" s="77"/>
      <c r="BD23" s="135" t="str">
        <f>IFERROR(VLOOKUP("2D01-22-04-02",pareto,18,FALSE),"-")</f>
        <v>-</v>
      </c>
      <c r="BE23" s="136" t="str">
        <f>IFERROR(VLOOKUP("2D01-22-04-05",pareto,18,FALSE),"-")</f>
        <v>-</v>
      </c>
      <c r="BF23" s="78"/>
      <c r="BG23" s="135" t="str">
        <f>IFERROR(VLOOKUP("2D02-21-04-02",pareto,18,FALSE),"-")</f>
        <v>-</v>
      </c>
      <c r="BH23" s="136" t="str">
        <f>IFERROR(VLOOKUP("2D02-21-04-05",pareto,18,FALSE),"-")</f>
        <v>-</v>
      </c>
      <c r="BI23" s="78"/>
      <c r="BJ23" s="78"/>
      <c r="BK23" s="78"/>
      <c r="BL23" s="78"/>
      <c r="BM23" s="135" t="str">
        <f>IFERROR(VLOOKUP("2D02-22-04-02",pareto,18,FALSE),"-")</f>
        <v>-</v>
      </c>
      <c r="BN23" s="146"/>
      <c r="BO23" s="78"/>
      <c r="BP23" s="135" t="str">
        <f>IFERROR(VLOOKUP("2D03-21-04-02",pareto,18,FALSE),"-")</f>
        <v>-</v>
      </c>
      <c r="BQ23" s="136" t="str">
        <f>IFERROR(VLOOKUP("2D03-21-04-05",pareto,18,FALSE),"-")</f>
        <v>-</v>
      </c>
      <c r="BR23" s="77"/>
      <c r="BS23" s="77"/>
      <c r="BT23" s="80"/>
      <c r="BU23" s="80"/>
      <c r="BV23" s="80"/>
      <c r="BW23" s="80"/>
      <c r="BX23" s="80"/>
      <c r="BY23" s="80"/>
      <c r="BZ23" s="80"/>
      <c r="CA23" s="80"/>
      <c r="CB23" s="80"/>
      <c r="CC23" s="80"/>
      <c r="CD23" s="80"/>
      <c r="CE23" s="80"/>
      <c r="CF23" s="80"/>
      <c r="CG23" s="80"/>
      <c r="CH23" s="80"/>
      <c r="CI23" s="80"/>
      <c r="CJ23" s="80"/>
      <c r="CK23" s="80"/>
      <c r="CL23" s="80"/>
      <c r="CM23" s="80"/>
      <c r="CN23" s="80"/>
      <c r="CO23" s="80"/>
      <c r="CP23" s="80"/>
      <c r="CQ23" s="80"/>
      <c r="CR23" s="20"/>
      <c r="CS23" s="21"/>
      <c r="CT23" s="103"/>
      <c r="CU23" s="169"/>
      <c r="CV23" s="170"/>
      <c r="CW23" s="103"/>
      <c r="CX23" s="169"/>
      <c r="CY23" s="170"/>
      <c r="CZ23" s="103"/>
      <c r="DA23" s="169"/>
      <c r="DB23" s="170"/>
      <c r="DC23" s="103"/>
      <c r="DD23" s="169"/>
      <c r="DE23" s="170"/>
      <c r="DF23" s="103"/>
      <c r="DG23" s="169"/>
      <c r="DH23" s="170"/>
      <c r="DI23" s="103"/>
      <c r="DJ23" s="169"/>
      <c r="DK23" s="170"/>
      <c r="DL23" s="20"/>
      <c r="DM23" s="20"/>
      <c r="DN23" s="20"/>
      <c r="DO23" s="196"/>
      <c r="DP23" s="197"/>
      <c r="DQ23" s="20"/>
      <c r="DR23" s="20"/>
      <c r="DS23" s="20"/>
      <c r="DT23" s="20"/>
      <c r="DU23" s="20"/>
      <c r="DV23" s="20"/>
      <c r="DW23" s="20"/>
      <c r="DX23" s="187"/>
      <c r="DY23" s="188"/>
      <c r="DZ23" s="189"/>
      <c r="EA23" s="187"/>
      <c r="EB23" s="188"/>
      <c r="EC23" s="189"/>
      <c r="ED23" s="187"/>
      <c r="EE23" s="188"/>
      <c r="EF23" s="189"/>
      <c r="EG23" s="187"/>
      <c r="EH23" s="188"/>
      <c r="EI23" s="189"/>
      <c r="EJ23" s="187"/>
      <c r="EK23" s="188"/>
      <c r="EL23" s="189"/>
      <c r="EM23" s="187"/>
      <c r="EN23" s="188"/>
      <c r="EO23" s="190"/>
      <c r="EP23" s="42" t="str">
        <f>IFERROR(VLOOKUP("4P01-59-00-01",pareto,18,FALSE),"-")</f>
        <v>-</v>
      </c>
      <c r="EQ23" s="20"/>
      <c r="ER23" s="20"/>
      <c r="ES23" s="20"/>
      <c r="ET23" s="219" t="str">
        <f>IFERROR(VLOOKUP("4P01-60-00-01",pareto,18,FALSE),"-")</f>
        <v>-</v>
      </c>
      <c r="EU23" s="42" t="str">
        <f>IFERROR(VLOOKUP("4P02-59-00-01",pareto,18,FALSE),"-")</f>
        <v>-</v>
      </c>
      <c r="EV23" s="20"/>
      <c r="EW23" s="20"/>
      <c r="EX23" s="20"/>
      <c r="EY23" s="219" t="str">
        <f>IFERROR(VLOOKUP("4P02-60-00-01",pareto,18,FALSE),"-")</f>
        <v>-</v>
      </c>
      <c r="EZ23" s="42" t="str">
        <f>IFERROR(VLOOKUP("4P03-59-00-01",pareto,18,FALSE),"-")</f>
        <v>-</v>
      </c>
      <c r="FA23" s="20"/>
      <c r="FB23" s="20"/>
      <c r="FC23" s="20"/>
      <c r="FD23" s="219" t="str">
        <f>IFERROR(VLOOKUP("4P03-60-00-01",pareto,18,FALSE),"-")</f>
        <v>-</v>
      </c>
      <c r="FE23" s="42" t="str">
        <f>IFERROR(VLOOKUP("4P04-59-00-01",pareto,18,FALSE),"-")</f>
        <v>-</v>
      </c>
      <c r="FF23" s="20"/>
      <c r="FG23" s="20"/>
      <c r="FH23" s="20"/>
      <c r="FI23" s="219" t="str">
        <f>IFERROR(VLOOKUP("4P04-60-00-01",pareto,18,FALSE),"-")</f>
        <v>-</v>
      </c>
      <c r="FJ23" s="42" t="str">
        <f>IFERROR(VLOOKUP("4P05-59-00-01",pareto,18,FALSE),"-")</f>
        <v>-</v>
      </c>
      <c r="FK23" s="20"/>
      <c r="FL23" s="20"/>
      <c r="FM23" s="20"/>
      <c r="FN23" s="219" t="str">
        <f>IFERROR(VLOOKUP("4P05-60-00-01",pareto,18,FALSE),"-")</f>
        <v>-</v>
      </c>
      <c r="FO23" s="42" t="str">
        <f>IFERROR(VLOOKUP("4P06-59-00-01",pareto,18,FALSE),"-")</f>
        <v>-</v>
      </c>
      <c r="FP23" s="20"/>
      <c r="FQ23" s="20"/>
      <c r="FR23" s="20"/>
      <c r="FS23" s="219" t="str">
        <f>IFERROR(VLOOKUP("4P06-60-00-01",pareto,18,FALSE),"-")</f>
        <v>-</v>
      </c>
      <c r="FT23" s="42" t="str">
        <f>IFERROR(VLOOKUP("4P07-59-00-01",pareto,18,FALSE),"-")</f>
        <v>-</v>
      </c>
      <c r="FU23" s="20"/>
      <c r="FV23" s="20"/>
      <c r="FW23" s="20"/>
      <c r="FX23" s="219" t="str">
        <f>IFERROR(VLOOKUP("4P07-60-00-01",pareto,18,FALSE),"-")</f>
        <v>-</v>
      </c>
      <c r="FY23" s="42" t="str">
        <f>IFERROR(VLOOKUP("4P08-59-00-01",pareto,18,FALSE),"-")</f>
        <v>-</v>
      </c>
      <c r="FZ23" s="20"/>
      <c r="GA23" s="20"/>
      <c r="GB23" s="20"/>
      <c r="GC23" s="219" t="str">
        <f>IFERROR(VLOOKUP("4P08-60-00-01",pareto,18,FALSE),"-")</f>
        <v>-</v>
      </c>
      <c r="GD23" s="42" t="str">
        <f>IFERROR(VLOOKUP("4P09-59-00-01",pareto,18,FALSE),"-")</f>
        <v>-</v>
      </c>
      <c r="GE23" s="20"/>
      <c r="GF23" s="20"/>
      <c r="GG23" s="226"/>
      <c r="GH23" s="228" t="str">
        <f>IFERROR(VLOOKUP("4P09-60-00-01",pareto,18,FALSE),"-")</f>
        <v>-</v>
      </c>
    </row>
    <row r="24" spans="3:190" ht="12" customHeight="1" thickTop="1" thickBot="1" x14ac:dyDescent="0.3">
      <c r="C24" s="270"/>
      <c r="D24" s="270"/>
      <c r="E24" s="270"/>
      <c r="F24" s="270"/>
      <c r="G24" s="270"/>
      <c r="H24" s="270"/>
      <c r="I24" s="270"/>
      <c r="J24" s="270"/>
      <c r="K24" s="270"/>
      <c r="L24" s="270"/>
      <c r="M24" s="270"/>
      <c r="N24" s="270"/>
      <c r="O24" s="270"/>
      <c r="P24" s="270"/>
      <c r="Q24" s="270"/>
      <c r="R24" s="9"/>
      <c r="S24" s="9"/>
      <c r="T24" s="9"/>
      <c r="U24" s="9"/>
      <c r="V24" s="9"/>
      <c r="W24" s="9"/>
      <c r="X24" s="9"/>
      <c r="Y24" s="9"/>
      <c r="Z24" s="9"/>
      <c r="AA24" s="271"/>
      <c r="AB24" s="271"/>
      <c r="AC24" s="271"/>
      <c r="AD24" s="271"/>
      <c r="AE24" s="271"/>
      <c r="AF24" s="271"/>
      <c r="AG24" s="271"/>
      <c r="AH24" s="271"/>
      <c r="AI24" s="271"/>
      <c r="AJ24" s="271"/>
      <c r="AK24" s="271"/>
      <c r="AL24" s="271"/>
      <c r="AM24" s="271"/>
      <c r="AN24" s="271"/>
      <c r="AO24" s="271"/>
      <c r="AP24" s="271"/>
      <c r="AQ24" s="271"/>
      <c r="AR24" s="271"/>
      <c r="AS24" s="271"/>
      <c r="AT24" s="271"/>
      <c r="AU24" s="271"/>
      <c r="AV24" s="271"/>
      <c r="AW24" s="271"/>
      <c r="AX24" s="271"/>
      <c r="AY24" s="271"/>
      <c r="AZ24" s="272"/>
      <c r="BA24" s="150" t="str">
        <f>IFERROR(VLOOKUP("2D01-21-00-02",pareto,18,FALSE),"-")</f>
        <v>-</v>
      </c>
      <c r="BB24" s="77"/>
      <c r="BC24" s="77"/>
      <c r="BD24" s="137" t="str">
        <f>IFERROR(VLOOKUP("2D01-22-04-01",pareto,18,FALSE),"-")</f>
        <v>-</v>
      </c>
      <c r="BE24" s="138" t="str">
        <f>IFERROR(VLOOKUP("2D01-22-04-04",pareto,18,FALSE),"-")</f>
        <v>-</v>
      </c>
      <c r="BF24" s="78"/>
      <c r="BG24" s="137" t="str">
        <f>IFERROR(VLOOKUP("2D02-21-04-01",pareto,18,FALSE),"-")</f>
        <v>-</v>
      </c>
      <c r="BH24" s="138" t="str">
        <f>IFERROR(VLOOKUP("2D02-21-04-04",pareto,18,FALSE),"-")</f>
        <v>-</v>
      </c>
      <c r="BI24" s="78"/>
      <c r="BJ24" s="78"/>
      <c r="BK24" s="78"/>
      <c r="BL24" s="78"/>
      <c r="BM24" s="137" t="str">
        <f>IFERROR(VLOOKUP("2D02-22-04-01",pareto,18,FALSE),"-")</f>
        <v>-</v>
      </c>
      <c r="BN24" s="138" t="str">
        <f>IFERROR(VLOOKUP("2D02-22-04-04",pareto,18,FALSE),"-")</f>
        <v>-</v>
      </c>
      <c r="BO24" s="78"/>
      <c r="BP24" s="137" t="str">
        <f>IFERROR(VLOOKUP("2D03-21-04-01",pareto,18,FALSE),"-")</f>
        <v>-</v>
      </c>
      <c r="BQ24" s="138" t="str">
        <f>IFERROR(VLOOKUP("2D03-21-04-04",pareto,18,FALSE),"-")</f>
        <v>-</v>
      </c>
      <c r="BR24" s="77"/>
      <c r="BS24" s="77">
        <v>1</v>
      </c>
      <c r="BT24" s="133" t="str">
        <f>IFERROR(VLOOKUP("2H01-02-00-01",pareto,18,FALSE),"-")</f>
        <v>A</v>
      </c>
      <c r="BU24" s="140" t="str">
        <f>IFERROR(VLOOKUP("2H01-02-00-02",pareto,18,FALSE),"-")</f>
        <v>B</v>
      </c>
      <c r="BV24" s="134" t="str">
        <f>IFERROR(VLOOKUP("2H01-02-00-03",pareto,18,FALSE),"-")</f>
        <v>C</v>
      </c>
      <c r="BW24" s="133" t="str">
        <f>IFERROR(VLOOKUP("2H01-04-00-01",pareto,18,FALSE),"-")</f>
        <v>D</v>
      </c>
      <c r="BX24" s="140" t="str">
        <f>IFERROR(VLOOKUP("2H01-04-00-02",pareto,18,FALSE),"-")</f>
        <v>E</v>
      </c>
      <c r="BY24" s="134" t="str">
        <f>IFERROR(VLOOKUP("2H01-04-00-03",pareto,18,FALSE),"-")</f>
        <v>A</v>
      </c>
      <c r="BZ24" s="133" t="str">
        <f>IFERROR(VLOOKUP("2H01-06-00-01",pareto,18,FALSE),"-")</f>
        <v>A</v>
      </c>
      <c r="CA24" s="140" t="str">
        <f>IFERROR(VLOOKUP("2H01-06-00-02",pareto,18,FALSE),"-")</f>
        <v>B</v>
      </c>
      <c r="CB24" s="134" t="str">
        <f>IFERROR(VLOOKUP("2H01-06-00-03",pareto,18,FALSE),"-")</f>
        <v>C</v>
      </c>
      <c r="CC24" s="133" t="str">
        <f>IFERROR(VLOOKUP("2H01-08-00-01",pareto,18,FALSE),"-")</f>
        <v>B</v>
      </c>
      <c r="CD24" s="140" t="str">
        <f>IFERROR(VLOOKUP("2H01-08-00-02",pareto,18,FALSE),"-")</f>
        <v>C</v>
      </c>
      <c r="CE24" s="134" t="str">
        <f>IFERROR(VLOOKUP("2H01-08-00-03",pareto,18,FALSE),"-")</f>
        <v>D</v>
      </c>
      <c r="CF24" s="133" t="str">
        <f>IFERROR(VLOOKUP("2H01-10-00-01",pareto,18,FALSE),"-")</f>
        <v>E</v>
      </c>
      <c r="CG24" s="140" t="str">
        <f>IFERROR(VLOOKUP("2H01-10-00-02",pareto,18,FALSE),"-")</f>
        <v>A</v>
      </c>
      <c r="CH24" s="134" t="str">
        <f>IFERROR(VLOOKUP("2H01-10-00-03",pareto,18,FALSE),"-")</f>
        <v>B</v>
      </c>
      <c r="CI24" s="133" t="str">
        <f>IFERROR(VLOOKUP("2H01-12-00-01",pareto,18,FALSE),"-")</f>
        <v>-</v>
      </c>
      <c r="CJ24" s="140" t="str">
        <f>IFERROR(VLOOKUP("2H01-12-00-02",pareto,18,FALSE),"-")</f>
        <v>-</v>
      </c>
      <c r="CK24" s="134" t="str">
        <f>IFERROR(VLOOKUP("2H01-12-00-03",pareto,18,FALSE),"-")</f>
        <v>-</v>
      </c>
      <c r="CL24" s="133" t="str">
        <f>IFERROR(VLOOKUP("2H01-14-00-01",pareto,18,FALSE),"-")</f>
        <v>-</v>
      </c>
      <c r="CM24" s="140" t="str">
        <f>IFERROR(VLOOKUP("2H01-14-00-02",pareto,18,FALSE),"-")</f>
        <v>-</v>
      </c>
      <c r="CN24" s="134" t="str">
        <f>IFERROR(VLOOKUP("2H01-14-00-03",pareto,18,FALSE),"-")</f>
        <v>-</v>
      </c>
      <c r="CO24" s="133" t="str">
        <f>IFERROR(VLOOKUP("2H01-16-00-01",pareto,18,FALSE),"-")</f>
        <v>-</v>
      </c>
      <c r="CP24" s="140" t="str">
        <f>IFERROR(VLOOKUP("2H01-16-00-02",pareto,18,FALSE),"-")</f>
        <v>-</v>
      </c>
      <c r="CQ24" s="134" t="str">
        <f>IFERROR(VLOOKUP("2H01-16-00-03",pareto,18,FALSE),"-")</f>
        <v>-</v>
      </c>
      <c r="CR24" s="20"/>
      <c r="CS24" s="21"/>
      <c r="CT24" s="107"/>
      <c r="CU24" s="171"/>
      <c r="CV24" s="172"/>
      <c r="CW24" s="107"/>
      <c r="CX24" s="171"/>
      <c r="CY24" s="172"/>
      <c r="CZ24" s="107"/>
      <c r="DA24" s="171"/>
      <c r="DB24" s="172"/>
      <c r="DC24" s="107"/>
      <c r="DD24" s="171"/>
      <c r="DE24" s="172"/>
      <c r="DF24" s="107"/>
      <c r="DG24" s="171"/>
      <c r="DH24" s="172"/>
      <c r="DI24" s="107"/>
      <c r="DJ24" s="171"/>
      <c r="DK24" s="172"/>
      <c r="DL24" s="20"/>
      <c r="DM24" s="20"/>
      <c r="DN24" s="20"/>
      <c r="DO24" s="198"/>
      <c r="DP24" s="199"/>
      <c r="DQ24" s="20"/>
      <c r="DR24" s="20"/>
      <c r="DS24" s="20"/>
      <c r="DT24" s="20"/>
      <c r="DU24" s="20"/>
      <c r="DV24" s="20"/>
      <c r="DW24" s="20"/>
      <c r="DX24" s="184"/>
      <c r="DY24" s="179"/>
      <c r="DZ24" s="180"/>
      <c r="EA24" s="184"/>
      <c r="EB24" s="179"/>
      <c r="EC24" s="180"/>
      <c r="ED24" s="184"/>
      <c r="EE24" s="179"/>
      <c r="EF24" s="180"/>
      <c r="EG24" s="184"/>
      <c r="EH24" s="179"/>
      <c r="EI24" s="180"/>
      <c r="EJ24" s="184"/>
      <c r="EK24" s="179"/>
      <c r="EL24" s="180"/>
      <c r="EM24" s="184"/>
      <c r="EN24" s="179"/>
      <c r="EO24" s="186"/>
      <c r="EP24" s="40" t="str">
        <f>IFERROR(VLOOKUP("4P01-57-00-03",pareto,18,FALSE),"-")</f>
        <v>-</v>
      </c>
      <c r="EQ24" s="20"/>
      <c r="ER24" s="20"/>
      <c r="ES24" s="20"/>
      <c r="ET24" s="217" t="str">
        <f>IFERROR(VLOOKUP("4P01-58-00-03",pareto,18,FALSE),"-")</f>
        <v>-</v>
      </c>
      <c r="EU24" s="40" t="str">
        <f>IFERROR(VLOOKUP("4P02-57-00-03",pareto,18,FALSE),"-")</f>
        <v>-</v>
      </c>
      <c r="EV24" s="20"/>
      <c r="EW24" s="20"/>
      <c r="EX24" s="20"/>
      <c r="EY24" s="217" t="str">
        <f>IFERROR(VLOOKUP("4P02-58-00-03",pareto,18,FALSE),"-")</f>
        <v>-</v>
      </c>
      <c r="EZ24" s="40" t="str">
        <f>IFERROR(VLOOKUP("4P03-57-00-03",pareto,18,FALSE),"-")</f>
        <v>-</v>
      </c>
      <c r="FA24" s="20"/>
      <c r="FB24" s="20"/>
      <c r="FC24" s="20"/>
      <c r="FD24" s="217" t="str">
        <f>IFERROR(VLOOKUP("4P03-58-00-03",pareto,18,FALSE),"-")</f>
        <v>-</v>
      </c>
      <c r="FE24" s="40" t="str">
        <f>IFERROR(VLOOKUP("4P04-57-00-03",pareto,18,FALSE),"-")</f>
        <v>-</v>
      </c>
      <c r="FF24" s="20"/>
      <c r="FG24" s="20"/>
      <c r="FH24" s="20"/>
      <c r="FI24" s="217" t="str">
        <f>IFERROR(VLOOKUP("4P04-58-00-03",pareto,18,FALSE),"-")</f>
        <v>-</v>
      </c>
      <c r="FJ24" s="40" t="str">
        <f>IFERROR(VLOOKUP("4P05-57-00-03",pareto,18,FALSE),"-")</f>
        <v>-</v>
      </c>
      <c r="FK24" s="20"/>
      <c r="FL24" s="20"/>
      <c r="FM24" s="20"/>
      <c r="FN24" s="217" t="str">
        <f>IFERROR(VLOOKUP("4P05-58-00-03",pareto,18,FALSE),"-")</f>
        <v>-</v>
      </c>
      <c r="FO24" s="40" t="str">
        <f>IFERROR(VLOOKUP("4P06-57-00-03",pareto,18,FALSE),"-")</f>
        <v>-</v>
      </c>
      <c r="FP24" s="20"/>
      <c r="FQ24" s="20"/>
      <c r="FR24" s="20"/>
      <c r="FS24" s="217" t="str">
        <f>IFERROR(VLOOKUP("4P06-58-00-03",pareto,18,FALSE),"-")</f>
        <v>-</v>
      </c>
      <c r="FT24" s="40" t="str">
        <f>IFERROR(VLOOKUP("4P07-57-00-03",pareto,18,FALSE),"-")</f>
        <v>-</v>
      </c>
      <c r="FU24" s="20"/>
      <c r="FV24" s="20"/>
      <c r="FW24" s="20"/>
      <c r="FX24" s="217" t="str">
        <f>IFERROR(VLOOKUP("4P07-58-00-03",pareto,18,FALSE),"-")</f>
        <v>-</v>
      </c>
      <c r="FY24" s="40" t="str">
        <f>IFERROR(VLOOKUP("4P08-57-00-03",pareto,18,FALSE),"-")</f>
        <v>-</v>
      </c>
      <c r="FZ24" s="20"/>
      <c r="GA24" s="20"/>
      <c r="GB24" s="20"/>
      <c r="GC24" s="217" t="str">
        <f>IFERROR(VLOOKUP("4P08-58-00-03",pareto,18,FALSE),"-")</f>
        <v>-</v>
      </c>
      <c r="GD24" s="40" t="str">
        <f>IFERROR(VLOOKUP("4P09-57-00-03",pareto,18,FALSE),"-")</f>
        <v>-</v>
      </c>
      <c r="GE24" s="20"/>
      <c r="GF24" s="20"/>
      <c r="GG24" s="20"/>
      <c r="GH24" s="224" t="str">
        <f>IFERROR(VLOOKUP("4P09-58-00-03",pareto,18,FALSE),"-")</f>
        <v>-</v>
      </c>
    </row>
    <row r="25" spans="3:190" ht="12" customHeight="1" thickTop="1" thickBot="1" x14ac:dyDescent="0.3">
      <c r="C25" s="270"/>
      <c r="D25" s="270"/>
      <c r="E25" s="270"/>
      <c r="F25" s="270"/>
      <c r="G25" s="270"/>
      <c r="H25" s="270"/>
      <c r="I25" s="270"/>
      <c r="J25" s="270"/>
      <c r="K25" s="270"/>
      <c r="L25" s="270"/>
      <c r="M25" s="270"/>
      <c r="N25" s="270"/>
      <c r="O25" s="270"/>
      <c r="P25" s="270"/>
      <c r="Q25" s="270"/>
      <c r="R25" s="9"/>
      <c r="S25" s="9"/>
      <c r="T25" s="9"/>
      <c r="U25" s="9"/>
      <c r="V25" s="9"/>
      <c r="W25" s="9"/>
      <c r="X25" s="9"/>
      <c r="Y25" s="9"/>
      <c r="Z25" s="9"/>
      <c r="AA25" s="271"/>
      <c r="AB25" s="271"/>
      <c r="AC25" s="271"/>
      <c r="AD25" s="271"/>
      <c r="AE25" s="271"/>
      <c r="AF25" s="271"/>
      <c r="AG25" s="271"/>
      <c r="AH25" s="271"/>
      <c r="AI25" s="271"/>
      <c r="AJ25" s="271"/>
      <c r="AK25" s="271"/>
      <c r="AL25" s="271"/>
      <c r="AM25" s="271"/>
      <c r="AN25" s="271"/>
      <c r="AO25" s="271"/>
      <c r="AP25" s="271"/>
      <c r="AQ25" s="271"/>
      <c r="AR25" s="271"/>
      <c r="AS25" s="271"/>
      <c r="AT25" s="271"/>
      <c r="AU25" s="271"/>
      <c r="AV25" s="271"/>
      <c r="AW25" s="271"/>
      <c r="AX25" s="271"/>
      <c r="AY25" s="271"/>
      <c r="AZ25" s="272"/>
      <c r="BA25" s="151" t="str">
        <f>IFERROR(VLOOKUP("2D01-21-00-01",pareto,18,FALSE),"-")</f>
        <v>-</v>
      </c>
      <c r="BB25" s="77"/>
      <c r="BC25" s="77"/>
      <c r="BD25" s="133" t="str">
        <f>IFERROR(VLOOKUP("2D01-20-04-03",pareto,18,FALSE),"-")</f>
        <v>-</v>
      </c>
      <c r="BE25" s="134" t="str">
        <f>IFERROR(VLOOKUP("2D01-20-04-06",pareto,18,FALSE),"-")</f>
        <v>-</v>
      </c>
      <c r="BF25" s="78"/>
      <c r="BG25" s="133" t="str">
        <f>IFERROR(VLOOKUP("2D02-19-04-03",pareto,18,FALSE),"-")</f>
        <v>-</v>
      </c>
      <c r="BH25" s="134" t="str">
        <f>IFERROR(VLOOKUP("2D02-19-04-06",pareto,18,FALSE),"-")</f>
        <v>-</v>
      </c>
      <c r="BI25" s="78"/>
      <c r="BJ25" s="78"/>
      <c r="BK25" s="78"/>
      <c r="BL25" s="78"/>
      <c r="BM25" s="133" t="str">
        <f>IFERROR(VLOOKUP("2D02-20-04-03",pareto,18,FALSE),"-")</f>
        <v>-</v>
      </c>
      <c r="BN25" s="145"/>
      <c r="BO25" s="78"/>
      <c r="BP25" s="133" t="str">
        <f>IFERROR(VLOOKUP("2D03-19-04-03",pareto,18,FALSE),"-")</f>
        <v>-</v>
      </c>
      <c r="BQ25" s="134" t="str">
        <f>IFERROR(VLOOKUP("2D03-19-04-06",pareto,18,FALSE),"-")</f>
        <v>-</v>
      </c>
      <c r="BR25" s="77"/>
      <c r="BS25" s="77">
        <v>2</v>
      </c>
      <c r="BT25" s="137" t="str">
        <f>IFERROR(VLOOKUP("2H02-01-00-01",pareto,18,FALSE),"-")</f>
        <v>-</v>
      </c>
      <c r="BU25" s="141" t="str">
        <f>IFERROR(VLOOKUP("2H02-01-00-02",pareto,18,FALSE),"-")</f>
        <v>-</v>
      </c>
      <c r="BV25" s="138" t="str">
        <f>IFERROR(VLOOKUP("2H02-01-00-03",pareto,18,FALSE),"-")</f>
        <v>-</v>
      </c>
      <c r="BW25" s="137" t="str">
        <f>IFERROR(VLOOKUP("2H02-03-00-01",pareto,18,FALSE),"-")</f>
        <v>-</v>
      </c>
      <c r="BX25" s="141" t="str">
        <f>IFERROR(VLOOKUP("2H02-03-00-02",pareto,18,FALSE),"-")</f>
        <v>-</v>
      </c>
      <c r="BY25" s="138" t="str">
        <f>IFERROR(VLOOKUP("2H02-03-00-03",pareto,18,FALSE),"-")</f>
        <v>-</v>
      </c>
      <c r="BZ25" s="137" t="str">
        <f>IFERROR(VLOOKUP("2H02-05-00-01",pareto,18,FALSE),"-")</f>
        <v>-</v>
      </c>
      <c r="CA25" s="141" t="str">
        <f>IFERROR(VLOOKUP("2H02-05-00-02",pareto,18,FALSE),"-")</f>
        <v>-</v>
      </c>
      <c r="CB25" s="138" t="str">
        <f>IFERROR(VLOOKUP("2H02-05-00-03",pareto,18,FALSE),"-")</f>
        <v>-</v>
      </c>
      <c r="CC25" s="137" t="str">
        <f>IFERROR(VLOOKUP("2H02-07-00-01",pareto,18,FALSE),"-")</f>
        <v>-</v>
      </c>
      <c r="CD25" s="141" t="str">
        <f>IFERROR(VLOOKUP("2H02-07-00-02",pareto,18,FALSE),"-")</f>
        <v>-</v>
      </c>
      <c r="CE25" s="138" t="str">
        <f>IFERROR(VLOOKUP("2H02-07-00-03",pareto,18,FALSE),"-")</f>
        <v>-</v>
      </c>
      <c r="CF25" s="137" t="str">
        <f>IFERROR(VLOOKUP("2H02-09-00-01",pareto,18,FALSE),"-")</f>
        <v>-</v>
      </c>
      <c r="CG25" s="141" t="str">
        <f>IFERROR(VLOOKUP("2H02-09-00-02",pareto,18,FALSE),"-")</f>
        <v>-</v>
      </c>
      <c r="CH25" s="138" t="str">
        <f>IFERROR(VLOOKUP("2H02-09-00-03",pareto,18,FALSE),"-")</f>
        <v>-</v>
      </c>
      <c r="CI25" s="137" t="str">
        <f>IFERROR(VLOOKUP("2H02-11-00-01",pareto,18,FALSE),"-")</f>
        <v>-</v>
      </c>
      <c r="CJ25" s="141" t="str">
        <f>IFERROR(VLOOKUP("2H02-11-00-02",pareto,18,FALSE),"-")</f>
        <v>-</v>
      </c>
      <c r="CK25" s="138" t="str">
        <f>IFERROR(VLOOKUP("2H02-11-00-03",pareto,18,FALSE),"-")</f>
        <v>-</v>
      </c>
      <c r="CL25" s="137" t="str">
        <f>IFERROR(VLOOKUP("2H02-13-00-01",pareto,18,FALSE),"-")</f>
        <v>-</v>
      </c>
      <c r="CM25" s="141" t="str">
        <f>IFERROR(VLOOKUP("2H02-13-00-02",pareto,18,FALSE),"-")</f>
        <v>-</v>
      </c>
      <c r="CN25" s="138" t="str">
        <f>IFERROR(VLOOKUP("2H02-13-00-03",pareto,18,FALSE),"-")</f>
        <v>-</v>
      </c>
      <c r="CO25" s="137" t="str">
        <f>IFERROR(VLOOKUP("2H02-15-00-01",pareto,18,FALSE),"-")</f>
        <v>-</v>
      </c>
      <c r="CP25" s="141" t="str">
        <f>IFERROR(VLOOKUP("2H02-15-00-02",pareto,18,FALSE),"-")</f>
        <v>-</v>
      </c>
      <c r="CQ25" s="138" t="str">
        <f>IFERROR(VLOOKUP("2H02-15-00-03",pareto,18,FALSE),"-")</f>
        <v>-</v>
      </c>
      <c r="CR25" s="20"/>
      <c r="CS25" s="21"/>
      <c r="CT25" s="19"/>
      <c r="CU25" s="20"/>
      <c r="CV25" s="20"/>
      <c r="CW25" s="20"/>
      <c r="CX25" s="20"/>
      <c r="CY25" s="20"/>
      <c r="CZ25" s="20"/>
      <c r="DA25" s="20"/>
      <c r="DB25" s="20"/>
      <c r="DC25" s="20"/>
      <c r="DD25" s="20"/>
      <c r="DE25" s="20"/>
      <c r="DF25" s="20"/>
      <c r="DG25" s="20"/>
      <c r="DH25" s="20"/>
      <c r="DI25" s="20"/>
      <c r="DJ25" s="20"/>
      <c r="DK25" s="20"/>
      <c r="DL25" s="20"/>
      <c r="DM25" s="20"/>
      <c r="DN25" s="20"/>
      <c r="DO25" s="200"/>
      <c r="DP25" s="201"/>
      <c r="DQ25" s="20"/>
      <c r="DR25" s="20"/>
      <c r="DS25" s="20"/>
      <c r="DT25" s="20"/>
      <c r="DU25" s="20"/>
      <c r="DV25" s="20"/>
      <c r="DW25" s="20"/>
      <c r="DX25" s="20"/>
      <c r="DY25" s="20"/>
      <c r="DZ25" s="20"/>
      <c r="EA25" s="20"/>
      <c r="EB25" s="20"/>
      <c r="EC25" s="20"/>
      <c r="ED25" s="20"/>
      <c r="EE25" s="20"/>
      <c r="EF25" s="20"/>
      <c r="EG25" s="20"/>
      <c r="EH25" s="20"/>
      <c r="EI25" s="20"/>
      <c r="EJ25" s="20"/>
      <c r="EK25" s="20"/>
      <c r="EL25" s="20"/>
      <c r="EM25" s="20"/>
      <c r="EN25" s="20"/>
      <c r="EO25" s="21"/>
      <c r="EP25" s="43" t="str">
        <f>IFERROR(VLOOKUP("4P01-57-00-02",pareto,18,FALSE),"-")</f>
        <v>-</v>
      </c>
      <c r="EQ25" s="20"/>
      <c r="ER25" s="20"/>
      <c r="ES25" s="20"/>
      <c r="ET25" s="218" t="str">
        <f>IFERROR(VLOOKUP("4P01-58-00-02",pareto,18,FALSE),"-")</f>
        <v>-</v>
      </c>
      <c r="EU25" s="41" t="str">
        <f>IFERROR(VLOOKUP("4P02-57-00-02",pareto,18,FALSE),"-")</f>
        <v>-</v>
      </c>
      <c r="EV25" s="20"/>
      <c r="EW25" s="20"/>
      <c r="EX25" s="20"/>
      <c r="EY25" s="218" t="str">
        <f>IFERROR(VLOOKUP("4P02-58-00-02",pareto,18,FALSE),"-")</f>
        <v>-</v>
      </c>
      <c r="EZ25" s="41" t="str">
        <f>IFERROR(VLOOKUP("4P03-57-00-02",pareto,18,FALSE),"-")</f>
        <v>-</v>
      </c>
      <c r="FA25" s="20"/>
      <c r="FB25" s="20"/>
      <c r="FC25" s="20"/>
      <c r="FD25" s="218" t="str">
        <f>IFERROR(VLOOKUP("4P03-58-00-02",pareto,18,FALSE),"-")</f>
        <v>-</v>
      </c>
      <c r="FE25" s="41" t="str">
        <f>IFERROR(VLOOKUP("4P04-57-00-02",pareto,18,FALSE),"-")</f>
        <v>-</v>
      </c>
      <c r="FF25" s="20"/>
      <c r="FG25" s="20"/>
      <c r="FH25" s="20"/>
      <c r="FI25" s="218" t="str">
        <f>IFERROR(VLOOKUP("4P04-58-00-02",pareto,18,FALSE),"-")</f>
        <v>-</v>
      </c>
      <c r="FJ25" s="41" t="str">
        <f>IFERROR(VLOOKUP("4P05-57-00-02",pareto,18,FALSE),"-")</f>
        <v>-</v>
      </c>
      <c r="FK25" s="20"/>
      <c r="FL25" s="20"/>
      <c r="FM25" s="20"/>
      <c r="FN25" s="218" t="str">
        <f>IFERROR(VLOOKUP("4P05-58-00-02",pareto,18,FALSE),"-")</f>
        <v>-</v>
      </c>
      <c r="FO25" s="41" t="str">
        <f>IFERROR(VLOOKUP("4P06-57-00-02",pareto,18,FALSE),"-")</f>
        <v>-</v>
      </c>
      <c r="FP25" s="20"/>
      <c r="FQ25" s="20"/>
      <c r="FR25" s="20"/>
      <c r="FS25" s="218" t="str">
        <f>IFERROR(VLOOKUP("4P06-58-00-02",pareto,18,FALSE),"-")</f>
        <v>-</v>
      </c>
      <c r="FT25" s="41" t="str">
        <f>IFERROR(VLOOKUP("4P07-57-00-02",pareto,18,FALSE),"-")</f>
        <v>-</v>
      </c>
      <c r="FU25" s="20"/>
      <c r="FV25" s="20"/>
      <c r="FW25" s="20"/>
      <c r="FX25" s="218" t="str">
        <f>IFERROR(VLOOKUP("4P07-58-00-02",pareto,18,FALSE),"-")</f>
        <v>-</v>
      </c>
      <c r="FY25" s="41" t="str">
        <f>IFERROR(VLOOKUP("4P08-57-00-02",pareto,18,FALSE),"-")</f>
        <v>-</v>
      </c>
      <c r="FZ25" s="20"/>
      <c r="GA25" s="20"/>
      <c r="GB25" s="20"/>
      <c r="GC25" s="218" t="str">
        <f>IFERROR(VLOOKUP("4P08-58-00-02",pareto,18,FALSE),"-")</f>
        <v>-</v>
      </c>
      <c r="GD25" s="41" t="str">
        <f>IFERROR(VLOOKUP("4P09-57-00-02",pareto,18,FALSE),"-")</f>
        <v>-</v>
      </c>
      <c r="GE25" s="20"/>
      <c r="GF25" s="20"/>
      <c r="GG25" s="20"/>
      <c r="GH25" s="227" t="str">
        <f>IFERROR(VLOOKUP("4P09-58-00-02",pareto,18,FALSE),"-")</f>
        <v>-</v>
      </c>
    </row>
    <row r="26" spans="3:190" ht="12" customHeight="1" thickTop="1" thickBot="1" x14ac:dyDescent="0.3">
      <c r="C26" s="270"/>
      <c r="D26" s="270"/>
      <c r="E26" s="270"/>
      <c r="F26" s="270"/>
      <c r="G26" s="270"/>
      <c r="H26" s="270"/>
      <c r="I26" s="270"/>
      <c r="J26" s="270"/>
      <c r="K26" s="270"/>
      <c r="L26" s="270"/>
      <c r="M26" s="270"/>
      <c r="N26" s="270"/>
      <c r="O26" s="270"/>
      <c r="P26" s="270"/>
      <c r="Q26" s="270"/>
      <c r="R26" s="9"/>
      <c r="S26" s="9"/>
      <c r="T26" s="9"/>
      <c r="U26" s="9"/>
      <c r="V26" s="9"/>
      <c r="W26" s="9"/>
      <c r="X26" s="9"/>
      <c r="Y26" s="9"/>
      <c r="Z26" s="9"/>
      <c r="AA26" s="271"/>
      <c r="AB26" s="271"/>
      <c r="AC26" s="271"/>
      <c r="AD26" s="271"/>
      <c r="AE26" s="271"/>
      <c r="AF26" s="271"/>
      <c r="AG26" s="271"/>
      <c r="AH26" s="271"/>
      <c r="AI26" s="271"/>
      <c r="AJ26" s="271"/>
      <c r="AK26" s="271"/>
      <c r="AL26" s="271"/>
      <c r="AM26" s="271"/>
      <c r="AN26" s="271"/>
      <c r="AO26" s="271"/>
      <c r="AP26" s="271"/>
      <c r="AQ26" s="271"/>
      <c r="AR26" s="271"/>
      <c r="AS26" s="271"/>
      <c r="AT26" s="271"/>
      <c r="AU26" s="271"/>
      <c r="AV26" s="271"/>
      <c r="AW26" s="271"/>
      <c r="AX26" s="271"/>
      <c r="AY26" s="271"/>
      <c r="AZ26" s="272"/>
      <c r="BA26" s="152" t="str">
        <f>IFERROR(VLOOKUP("2D01-19-00-03",pareto,18,FALSE),"-")</f>
        <v>-</v>
      </c>
      <c r="BB26" s="77"/>
      <c r="BC26" s="77"/>
      <c r="BD26" s="135" t="str">
        <f>IFERROR(VLOOKUP("2D01-20-04-02",pareto,18,FALSE),"-")</f>
        <v>-</v>
      </c>
      <c r="BE26" s="136" t="str">
        <f>IFERROR(VLOOKUP("2D01-20-04-05",pareto,18,FALSE),"-")</f>
        <v>-</v>
      </c>
      <c r="BF26" s="78"/>
      <c r="BG26" s="135" t="str">
        <f>IFERROR(VLOOKUP("2D02-19-04-02",pareto,18,FALSE),"-")</f>
        <v>-</v>
      </c>
      <c r="BH26" s="136" t="str">
        <f>IFERROR(VLOOKUP("2D02-19-04-05",pareto,18,FALSE),"-")</f>
        <v>-</v>
      </c>
      <c r="BI26" s="78"/>
      <c r="BJ26" s="78"/>
      <c r="BK26" s="78"/>
      <c r="BL26" s="78"/>
      <c r="BM26" s="135" t="str">
        <f>IFERROR(VLOOKUP("2D02-20-04-02",pareto,18,FALSE),"-")</f>
        <v>-</v>
      </c>
      <c r="BN26" s="136" t="str">
        <f>IFERROR(VLOOKUP("2D02-20-04-05",pareto,18,FALSE),"-")</f>
        <v>-</v>
      </c>
      <c r="BO26" s="78"/>
      <c r="BP26" s="135" t="str">
        <f>IFERROR(VLOOKUP("2D03-19-04-02",pareto,18,FALSE),"-")</f>
        <v>-</v>
      </c>
      <c r="BQ26" s="136" t="str">
        <f>IFERROR(VLOOKUP("2D03-19-04-05",pareto,18,FALSE),"-")</f>
        <v>-</v>
      </c>
      <c r="BR26" s="77"/>
      <c r="BS26" s="77"/>
      <c r="BT26" s="20"/>
      <c r="BU26" s="20"/>
      <c r="BV26" s="20"/>
      <c r="BW26" s="20"/>
      <c r="BX26" s="20"/>
      <c r="BY26" s="20"/>
      <c r="BZ26" s="20"/>
      <c r="CA26" s="20"/>
      <c r="CB26" s="20"/>
      <c r="CC26" s="20"/>
      <c r="CD26" s="20"/>
      <c r="CE26" s="20"/>
      <c r="CF26" s="20"/>
      <c r="CG26" s="20"/>
      <c r="CH26" s="20"/>
      <c r="CI26" s="20"/>
      <c r="CJ26" s="20"/>
      <c r="CK26" s="20"/>
      <c r="CL26" s="20"/>
      <c r="CM26" s="20"/>
      <c r="CN26" s="20"/>
      <c r="CO26" s="20"/>
      <c r="CP26" s="20"/>
      <c r="CQ26" s="20"/>
      <c r="CR26" s="20"/>
      <c r="CS26" s="21"/>
      <c r="CT26" s="19"/>
      <c r="CU26" s="20"/>
      <c r="CV26" s="20"/>
      <c r="CW26" s="20"/>
      <c r="CX26" s="20"/>
      <c r="CY26" s="20"/>
      <c r="CZ26" s="20"/>
      <c r="DA26" s="20"/>
      <c r="DB26" s="20"/>
      <c r="DC26" s="20"/>
      <c r="DD26" s="20"/>
      <c r="DE26" s="20"/>
      <c r="DF26" s="20"/>
      <c r="DG26" s="20"/>
      <c r="DH26" s="20"/>
      <c r="DI26" s="20"/>
      <c r="DJ26" s="20"/>
      <c r="DK26" s="20"/>
      <c r="DL26" s="20"/>
      <c r="DM26" s="20"/>
      <c r="DN26" s="20"/>
      <c r="DO26" s="196"/>
      <c r="DP26" s="197"/>
      <c r="DQ26" s="20"/>
      <c r="DR26" s="20"/>
      <c r="DS26" s="20"/>
      <c r="DT26" s="20"/>
      <c r="DU26" s="20"/>
      <c r="DV26" s="20"/>
      <c r="DW26" s="20"/>
      <c r="DX26" s="20"/>
      <c r="DY26" s="20"/>
      <c r="DZ26" s="20"/>
      <c r="EA26" s="20"/>
      <c r="EB26" s="20"/>
      <c r="EC26" s="20"/>
      <c r="ED26" s="20"/>
      <c r="EE26" s="20"/>
      <c r="EF26" s="20"/>
      <c r="EG26" s="20"/>
      <c r="EH26" s="20"/>
      <c r="EI26" s="20"/>
      <c r="EJ26" s="20"/>
      <c r="EK26" s="20"/>
      <c r="EL26" s="20"/>
      <c r="EM26" s="20"/>
      <c r="EN26" s="20"/>
      <c r="EO26" s="21"/>
      <c r="EP26" s="42" t="str">
        <f>IFERROR(VLOOKUP("4P01-57-00-01",pareto,18,FALSE),"-")</f>
        <v>-</v>
      </c>
      <c r="EQ26" s="20"/>
      <c r="ER26" s="20"/>
      <c r="ES26" s="20"/>
      <c r="ET26" s="219" t="str">
        <f>IFERROR(VLOOKUP("4P01-58-00-01",pareto,18,FALSE),"-")</f>
        <v>-</v>
      </c>
      <c r="EU26" s="42" t="str">
        <f>IFERROR(VLOOKUP("4P02-57-00-01",pareto,18,FALSE),"-")</f>
        <v>-</v>
      </c>
      <c r="EV26" s="20"/>
      <c r="EW26" s="20"/>
      <c r="EX26" s="20"/>
      <c r="EY26" s="219" t="str">
        <f>IFERROR(VLOOKUP("4P02-58-00-01",pareto,18,FALSE),"-")</f>
        <v>-</v>
      </c>
      <c r="EZ26" s="42" t="str">
        <f>IFERROR(VLOOKUP("4P03-57-00-01",pareto,18,FALSE),"-")</f>
        <v>-</v>
      </c>
      <c r="FA26" s="20"/>
      <c r="FB26" s="20"/>
      <c r="FC26" s="20"/>
      <c r="FD26" s="219" t="str">
        <f>IFERROR(VLOOKUP("4P03-58-00-01",pareto,18,FALSE),"-")</f>
        <v>-</v>
      </c>
      <c r="FE26" s="42" t="str">
        <f>IFERROR(VLOOKUP("4P04-57-00-01",pareto,18,FALSE),"-")</f>
        <v>-</v>
      </c>
      <c r="FF26" s="20"/>
      <c r="FG26" s="20"/>
      <c r="FH26" s="20"/>
      <c r="FI26" s="219" t="str">
        <f>IFERROR(VLOOKUP("4P04-58-00-01",pareto,18,FALSE),"-")</f>
        <v>-</v>
      </c>
      <c r="FJ26" s="42" t="str">
        <f>IFERROR(VLOOKUP("4P05-57-00-01",pareto,18,FALSE),"-")</f>
        <v>-</v>
      </c>
      <c r="FK26" s="20"/>
      <c r="FL26" s="20"/>
      <c r="FM26" s="20"/>
      <c r="FN26" s="219" t="str">
        <f>IFERROR(VLOOKUP("4P05-58-00-01",pareto,18,FALSE),"-")</f>
        <v>-</v>
      </c>
      <c r="FO26" s="42" t="str">
        <f>IFERROR(VLOOKUP("4P06-57-00-01",pareto,18,FALSE),"-")</f>
        <v>-</v>
      </c>
      <c r="FP26" s="20"/>
      <c r="FQ26" s="20"/>
      <c r="FR26" s="20"/>
      <c r="FS26" s="219" t="str">
        <f>IFERROR(VLOOKUP("4P06-58-00-01",pareto,18,FALSE),"-")</f>
        <v>-</v>
      </c>
      <c r="FT26" s="42" t="str">
        <f>IFERROR(VLOOKUP("4P07-57-00-01",pareto,18,FALSE),"-")</f>
        <v>-</v>
      </c>
      <c r="FU26" s="20"/>
      <c r="FV26" s="20"/>
      <c r="FW26" s="20"/>
      <c r="FX26" s="219" t="str">
        <f>IFERROR(VLOOKUP("4P07-58-00-01",pareto,18,FALSE),"-")</f>
        <v>-</v>
      </c>
      <c r="FY26" s="42" t="str">
        <f>IFERROR(VLOOKUP("4P08-57-00-01",pareto,18,FALSE),"-")</f>
        <v>-</v>
      </c>
      <c r="FZ26" s="20"/>
      <c r="GA26" s="20"/>
      <c r="GB26" s="20"/>
      <c r="GC26" s="219" t="str">
        <f>IFERROR(VLOOKUP("4P08-58-00-01",pareto,18,FALSE),"-")</f>
        <v>-</v>
      </c>
      <c r="GD26" s="42" t="str">
        <f>IFERROR(VLOOKUP("4P09-57-00-01",pareto,18,FALSE),"-")</f>
        <v>-</v>
      </c>
      <c r="GE26" s="20"/>
      <c r="GF26" s="20"/>
      <c r="GG26" s="20"/>
      <c r="GH26" s="228" t="str">
        <f>IFERROR(VLOOKUP("4P09-58-00-01",pareto,18,FALSE),"-")</f>
        <v>-</v>
      </c>
    </row>
    <row r="27" spans="3:190" ht="12" customHeight="1" thickTop="1" thickBot="1" x14ac:dyDescent="0.3">
      <c r="C27" s="270"/>
      <c r="D27" s="270"/>
      <c r="E27" s="270"/>
      <c r="F27" s="270"/>
      <c r="G27" s="270"/>
      <c r="H27" s="270"/>
      <c r="I27" s="270"/>
      <c r="J27" s="270"/>
      <c r="K27" s="270"/>
      <c r="L27" s="270"/>
      <c r="M27" s="270"/>
      <c r="N27" s="270"/>
      <c r="O27" s="270"/>
      <c r="P27" s="270"/>
      <c r="Q27" s="270"/>
      <c r="R27" s="9"/>
      <c r="S27" s="9"/>
      <c r="T27" s="9"/>
      <c r="U27" s="9"/>
      <c r="V27" s="9"/>
      <c r="W27" s="9"/>
      <c r="X27" s="9"/>
      <c r="Y27" s="9"/>
      <c r="Z27" s="9"/>
      <c r="AA27" s="271"/>
      <c r="AB27" s="271"/>
      <c r="AC27" s="271"/>
      <c r="AD27" s="271"/>
      <c r="AE27" s="271"/>
      <c r="AF27" s="271"/>
      <c r="AG27" s="271"/>
      <c r="AH27" s="271"/>
      <c r="AI27" s="271"/>
      <c r="AJ27" s="271"/>
      <c r="AK27" s="271"/>
      <c r="AL27" s="271"/>
      <c r="AM27" s="271"/>
      <c r="AN27" s="271"/>
      <c r="AO27" s="271"/>
      <c r="AP27" s="271"/>
      <c r="AQ27" s="271"/>
      <c r="AR27" s="271"/>
      <c r="AS27" s="271"/>
      <c r="AT27" s="271"/>
      <c r="AU27" s="271"/>
      <c r="AV27" s="271"/>
      <c r="AW27" s="271"/>
      <c r="AX27" s="271"/>
      <c r="AY27" s="271"/>
      <c r="AZ27" s="272"/>
      <c r="BA27" s="150" t="str">
        <f>IFERROR(VLOOKUP("2D01-19-00-02",pareto,18,FALSE),"-")</f>
        <v>-</v>
      </c>
      <c r="BB27" s="77"/>
      <c r="BC27" s="77"/>
      <c r="BD27" s="137" t="str">
        <f>IFERROR(VLOOKUP("2D01-20-04-01",pareto,18,FALSE),"-")</f>
        <v>-</v>
      </c>
      <c r="BE27" s="138" t="str">
        <f>IFERROR(VLOOKUP("2D01-20-04-04",pareto,18,FALSE),"-")</f>
        <v>-</v>
      </c>
      <c r="BF27" s="78"/>
      <c r="BG27" s="137" t="str">
        <f>IFERROR(VLOOKUP("2D02-19-04-01",pareto,18,FALSE),"-")</f>
        <v>-</v>
      </c>
      <c r="BH27" s="138" t="str">
        <f>IFERROR(VLOOKUP("2D02-19-04-04",pareto,18,FALSE),"-")</f>
        <v>-</v>
      </c>
      <c r="BI27" s="78"/>
      <c r="BJ27" s="78"/>
      <c r="BK27" s="78"/>
      <c r="BL27" s="78"/>
      <c r="BM27" s="137" t="str">
        <f>IFERROR(VLOOKUP("2D02-20-04-01",pareto,18,FALSE),"-")</f>
        <v>-</v>
      </c>
      <c r="BN27" s="138" t="str">
        <f>IFERROR(VLOOKUP("2D02-20-04-04",pareto,18,FALSE),"-")</f>
        <v>-</v>
      </c>
      <c r="BO27" s="78"/>
      <c r="BP27" s="137" t="str">
        <f>IFERROR(VLOOKUP("2D03-19-04-01",pareto,18,FALSE),"-")</f>
        <v>-</v>
      </c>
      <c r="BQ27" s="138" t="str">
        <f>IFERROR(VLOOKUP("2D03-19-04-04",pareto,18,FALSE),"-")</f>
        <v>-</v>
      </c>
      <c r="BR27" s="77"/>
      <c r="BS27" s="77"/>
      <c r="BT27" s="20"/>
      <c r="BU27" s="20"/>
      <c r="BV27" s="20"/>
      <c r="BW27" s="20"/>
      <c r="BX27" s="20"/>
      <c r="BY27" s="20"/>
      <c r="BZ27" s="20"/>
      <c r="CA27" s="20"/>
      <c r="CB27" s="20"/>
      <c r="CC27" s="20"/>
      <c r="CD27" s="20"/>
      <c r="CE27" s="20"/>
      <c r="CF27" s="20"/>
      <c r="CG27" s="20"/>
      <c r="CH27" s="20"/>
      <c r="CI27" s="20"/>
      <c r="CJ27" s="20"/>
      <c r="CK27" s="20"/>
      <c r="CL27" s="20"/>
      <c r="CM27" s="20"/>
      <c r="CN27" s="20"/>
      <c r="CO27" s="20"/>
      <c r="CP27" s="20"/>
      <c r="CQ27" s="20"/>
      <c r="CR27" s="20"/>
      <c r="CS27" s="21"/>
      <c r="CT27" s="19"/>
      <c r="CU27" s="20"/>
      <c r="CV27" s="20"/>
      <c r="CW27" s="20"/>
      <c r="CX27" s="20"/>
      <c r="CY27" s="20"/>
      <c r="CZ27" s="20"/>
      <c r="DA27" s="20"/>
      <c r="DB27" s="20"/>
      <c r="DC27" s="20"/>
      <c r="DD27" s="20"/>
      <c r="DE27" s="20"/>
      <c r="DF27" s="20"/>
      <c r="DG27" s="20"/>
      <c r="DH27" s="20"/>
      <c r="DI27" s="20"/>
      <c r="DJ27" s="20"/>
      <c r="DK27" s="20"/>
      <c r="DL27" s="20"/>
      <c r="DM27" s="20"/>
      <c r="DN27" s="20"/>
      <c r="DO27" s="202"/>
      <c r="DP27" s="20"/>
      <c r="DQ27" s="20"/>
      <c r="DR27" s="20"/>
      <c r="DS27" s="20"/>
      <c r="DT27" s="20"/>
      <c r="DU27" s="20"/>
      <c r="DV27" s="20"/>
      <c r="DW27" s="20"/>
      <c r="DX27" s="20"/>
      <c r="DY27" s="20"/>
      <c r="DZ27" s="20"/>
      <c r="EA27" s="20"/>
      <c r="EB27" s="20"/>
      <c r="EC27" s="20"/>
      <c r="ED27" s="20"/>
      <c r="EE27" s="20"/>
      <c r="EF27" s="20"/>
      <c r="EG27" s="20"/>
      <c r="EH27" s="20"/>
      <c r="EI27" s="20"/>
      <c r="EJ27" s="20"/>
      <c r="EK27" s="20"/>
      <c r="EL27" s="20"/>
      <c r="EM27" s="20"/>
      <c r="EN27" s="20"/>
      <c r="EO27" s="21"/>
      <c r="EP27" s="40" t="str">
        <f>IFERROR(VLOOKUP("4P01-55-00-03",pareto,18,FALSE),"-")</f>
        <v>-</v>
      </c>
      <c r="EQ27" s="20"/>
      <c r="ER27" s="20"/>
      <c r="ES27" s="20"/>
      <c r="ET27" s="217" t="str">
        <f>IFERROR(VLOOKUP("4P01-56-00-03",pareto,18,FALSE),"-")</f>
        <v>-</v>
      </c>
      <c r="EU27" s="40" t="str">
        <f>IFERROR(VLOOKUP("4P02-55-00-03",pareto,18,FALSE),"-")</f>
        <v>-</v>
      </c>
      <c r="EV27" s="20"/>
      <c r="EW27" s="20"/>
      <c r="EX27" s="20"/>
      <c r="EY27" s="217" t="str">
        <f>IFERROR(VLOOKUP("4P02-56-00-03",pareto,18,FALSE),"-")</f>
        <v>-</v>
      </c>
      <c r="EZ27" s="40" t="str">
        <f>IFERROR(VLOOKUP("4P03-55-00-03",pareto,18,FALSE),"-")</f>
        <v>-</v>
      </c>
      <c r="FA27" s="20"/>
      <c r="FB27" s="20"/>
      <c r="FC27" s="20"/>
      <c r="FD27" s="217" t="str">
        <f>IFERROR(VLOOKUP("4P03-56-00-03",pareto,18,FALSE),"-")</f>
        <v>-</v>
      </c>
      <c r="FE27" s="40" t="str">
        <f>IFERROR(VLOOKUP("4P04-55-00-03",pareto,18,FALSE),"-")</f>
        <v>-</v>
      </c>
      <c r="FF27" s="20"/>
      <c r="FG27" s="20"/>
      <c r="FH27" s="20"/>
      <c r="FI27" s="217" t="str">
        <f>IFERROR(VLOOKUP("4P04-56-00-03",pareto,18,FALSE),"-")</f>
        <v>-</v>
      </c>
      <c r="FJ27" s="40" t="str">
        <f>IFERROR(VLOOKUP("4P05-55-00-03",pareto,18,FALSE),"-")</f>
        <v>-</v>
      </c>
      <c r="FK27" s="20"/>
      <c r="FL27" s="20"/>
      <c r="FM27" s="20"/>
      <c r="FN27" s="217" t="str">
        <f>IFERROR(VLOOKUP("4P05-56-00-03",pareto,18,FALSE),"-")</f>
        <v>-</v>
      </c>
      <c r="FO27" s="40" t="str">
        <f>IFERROR(VLOOKUP("4P06-55-00-03",pareto,18,FALSE),"-")</f>
        <v>-</v>
      </c>
      <c r="FP27" s="20"/>
      <c r="FQ27" s="20"/>
      <c r="FR27" s="20"/>
      <c r="FS27" s="217" t="str">
        <f>IFERROR(VLOOKUP("4P06-56-00-03",pareto,18,FALSE),"-")</f>
        <v>-</v>
      </c>
      <c r="FT27" s="40" t="str">
        <f>IFERROR(VLOOKUP("4P07-55-00-03",pareto,18,FALSE),"-")</f>
        <v>-</v>
      </c>
      <c r="FU27" s="20"/>
      <c r="FV27" s="20"/>
      <c r="FW27" s="20"/>
      <c r="FX27" s="217" t="str">
        <f>IFERROR(VLOOKUP("4P07-56-00-03",pareto,18,FALSE),"-")</f>
        <v>-</v>
      </c>
      <c r="FY27" s="40" t="str">
        <f>IFERROR(VLOOKUP("4P08-55-00-03",pareto,18,FALSE),"-")</f>
        <v>-</v>
      </c>
      <c r="FZ27" s="20"/>
      <c r="GA27" s="20"/>
      <c r="GB27" s="20"/>
      <c r="GC27" s="217" t="str">
        <f>IFERROR(VLOOKUP("4P08-56-00-03",pareto,18,FALSE),"-")</f>
        <v>-</v>
      </c>
      <c r="GD27" s="40" t="str">
        <f>IFERROR(VLOOKUP("4P09-55-00-03",pareto,18,FALSE),"-")</f>
        <v>-</v>
      </c>
      <c r="GE27" s="20"/>
      <c r="GF27" s="20"/>
      <c r="GG27" s="20"/>
      <c r="GH27" s="224" t="str">
        <f>IFERROR(VLOOKUP("4P09-56-00-03",pareto,18,FALSE),"-")</f>
        <v>-</v>
      </c>
    </row>
    <row r="28" spans="3:190" ht="12" customHeight="1" thickTop="1" thickBot="1" x14ac:dyDescent="0.3">
      <c r="C28" s="270"/>
      <c r="D28" s="270"/>
      <c r="E28" s="270"/>
      <c r="F28" s="270"/>
      <c r="G28" s="270"/>
      <c r="H28" s="270"/>
      <c r="I28" s="270"/>
      <c r="J28" s="270"/>
      <c r="K28" s="270"/>
      <c r="L28" s="270"/>
      <c r="M28" s="270"/>
      <c r="N28" s="270"/>
      <c r="O28" s="270"/>
      <c r="P28" s="270"/>
      <c r="Q28" s="270"/>
      <c r="R28" s="9"/>
      <c r="S28" s="9"/>
      <c r="T28" s="9"/>
      <c r="U28" s="9"/>
      <c r="V28" s="9"/>
      <c r="W28" s="9"/>
      <c r="X28" s="9"/>
      <c r="Y28" s="9"/>
      <c r="Z28" s="9"/>
      <c r="AA28" s="271"/>
      <c r="AB28" s="271"/>
      <c r="AC28" s="271"/>
      <c r="AD28" s="271"/>
      <c r="AE28" s="271"/>
      <c r="AF28" s="271"/>
      <c r="AG28" s="271"/>
      <c r="AH28" s="271"/>
      <c r="AI28" s="271"/>
      <c r="AJ28" s="271"/>
      <c r="AK28" s="271"/>
      <c r="AL28" s="271"/>
      <c r="AM28" s="271"/>
      <c r="AN28" s="271"/>
      <c r="AO28" s="271"/>
      <c r="AP28" s="271"/>
      <c r="AQ28" s="271"/>
      <c r="AR28" s="271"/>
      <c r="AS28" s="271"/>
      <c r="AT28" s="271"/>
      <c r="AU28" s="271"/>
      <c r="AV28" s="271"/>
      <c r="AW28" s="271"/>
      <c r="AX28" s="271"/>
      <c r="AY28" s="271"/>
      <c r="AZ28" s="272"/>
      <c r="BA28" s="151" t="str">
        <f>IFERROR(VLOOKUP("2D01-19-00-01",pareto,18,FALSE),"-")</f>
        <v>-</v>
      </c>
      <c r="BB28" s="77"/>
      <c r="BC28" s="77"/>
      <c r="BD28" s="133" t="str">
        <f>IFERROR(VLOOKUP("2D01-18-04-03",pareto,18,FALSE),"-")</f>
        <v>-</v>
      </c>
      <c r="BE28" s="134" t="str">
        <f>IFERROR(VLOOKUP("2D01-18-04-06",pareto,18,FALSE),"-")</f>
        <v>-</v>
      </c>
      <c r="BF28" s="78"/>
      <c r="BG28" s="133" t="str">
        <f>IFERROR(VLOOKUP("2D02-17-04-03",pareto,18,FALSE),"-")</f>
        <v>-</v>
      </c>
      <c r="BH28" s="134" t="str">
        <f>IFERROR(VLOOKUP("2D02-17-04-06",pareto,18,FALSE),"-")</f>
        <v>-</v>
      </c>
      <c r="BI28" s="78"/>
      <c r="BJ28" s="78"/>
      <c r="BK28" s="78"/>
      <c r="BL28" s="78"/>
      <c r="BM28" s="133" t="str">
        <f>IFERROR(VLOOKUP("2D02-18-04-03",pareto,18,FALSE),"-")</f>
        <v>-</v>
      </c>
      <c r="BN28" s="134" t="str">
        <f>IFERROR(VLOOKUP("2D02-18-04-06",pareto,18,FALSE),"-")</f>
        <v>-</v>
      </c>
      <c r="BO28" s="78"/>
      <c r="BP28" s="133" t="str">
        <f>IFERROR(VLOOKUP("2D03-17-04-03",pareto,18,FALSE),"-")</f>
        <v>-</v>
      </c>
      <c r="BQ28" s="134" t="str">
        <f>IFERROR(VLOOKUP("2D03-17-04-06",pareto,18,FALSE),"-")</f>
        <v>-</v>
      </c>
      <c r="BR28" s="77"/>
      <c r="BS28" s="77"/>
      <c r="BT28" s="20"/>
      <c r="BU28" s="20"/>
      <c r="BV28" s="20"/>
      <c r="BW28" s="20"/>
      <c r="BX28" s="20"/>
      <c r="BY28" s="20"/>
      <c r="BZ28" s="20"/>
      <c r="CA28" s="20"/>
      <c r="CB28" s="20"/>
      <c r="CC28" s="20"/>
      <c r="CD28" s="20"/>
      <c r="CE28" s="20"/>
      <c r="CF28" s="20"/>
      <c r="CG28" s="20"/>
      <c r="CH28" s="20"/>
      <c r="CI28" s="20"/>
      <c r="CJ28" s="20"/>
      <c r="CK28" s="20"/>
      <c r="CL28" s="20"/>
      <c r="CM28" s="20"/>
      <c r="CN28" s="20"/>
      <c r="CO28" s="20"/>
      <c r="CP28" s="20"/>
      <c r="CQ28" s="20"/>
      <c r="CR28" s="20"/>
      <c r="CS28" s="21"/>
      <c r="CT28" s="19"/>
      <c r="CU28" s="20"/>
      <c r="CV28" s="20"/>
      <c r="CW28" s="20"/>
      <c r="CX28" s="20"/>
      <c r="CY28" s="20"/>
      <c r="CZ28" s="20"/>
      <c r="DA28" s="20"/>
      <c r="DB28" s="20"/>
      <c r="DC28" s="20"/>
      <c r="DD28" s="20"/>
      <c r="DE28" s="20"/>
      <c r="DF28" s="20"/>
      <c r="DG28" s="20"/>
      <c r="DH28" s="20"/>
      <c r="DI28" s="20"/>
      <c r="DJ28" s="20"/>
      <c r="DK28" s="20"/>
      <c r="DL28" s="20"/>
      <c r="DM28" s="20"/>
      <c r="DN28" s="20"/>
      <c r="DO28" s="203"/>
      <c r="DP28" s="20"/>
      <c r="DQ28" s="20"/>
      <c r="DR28" s="20"/>
      <c r="DS28" s="20"/>
      <c r="DT28" s="20"/>
      <c r="DU28" s="20"/>
      <c r="DV28" s="20"/>
      <c r="DW28" s="20"/>
      <c r="DX28" s="20"/>
      <c r="DY28" s="20"/>
      <c r="DZ28" s="20"/>
      <c r="EA28" s="20"/>
      <c r="EB28" s="20"/>
      <c r="EC28" s="20"/>
      <c r="ED28" s="20"/>
      <c r="EE28" s="20"/>
      <c r="EF28" s="20"/>
      <c r="EG28" s="20"/>
      <c r="EH28" s="20"/>
      <c r="EI28" s="20"/>
      <c r="EJ28" s="20"/>
      <c r="EK28" s="20"/>
      <c r="EL28" s="20"/>
      <c r="EM28" s="20"/>
      <c r="EN28" s="20"/>
      <c r="EO28" s="21"/>
      <c r="EP28" s="43" t="str">
        <f>IFERROR(VLOOKUP("4P01-55-00-02",pareto,18,FALSE),"-")</f>
        <v>-</v>
      </c>
      <c r="EQ28" s="20"/>
      <c r="ER28" s="20"/>
      <c r="ES28" s="20"/>
      <c r="ET28" s="218" t="str">
        <f>IFERROR(VLOOKUP("4P01-56-00-02",pareto,18,FALSE),"-")</f>
        <v>-</v>
      </c>
      <c r="EU28" s="41" t="str">
        <f>IFERROR(VLOOKUP("4P02-55-00-02",pareto,18,FALSE),"-")</f>
        <v>-</v>
      </c>
      <c r="EV28" s="20"/>
      <c r="EW28" s="20"/>
      <c r="EX28" s="20"/>
      <c r="EY28" s="218" t="str">
        <f>IFERROR(VLOOKUP("4P02-56-00-02",pareto,18,FALSE),"-")</f>
        <v>-</v>
      </c>
      <c r="EZ28" s="41" t="str">
        <f>IFERROR(VLOOKUP("4P03-55-00-02",pareto,18,FALSE),"-")</f>
        <v>-</v>
      </c>
      <c r="FA28" s="20"/>
      <c r="FB28" s="20"/>
      <c r="FC28" s="20"/>
      <c r="FD28" s="218" t="str">
        <f>IFERROR(VLOOKUP("4P03-56-00-02",pareto,18,FALSE),"-")</f>
        <v>-</v>
      </c>
      <c r="FE28" s="41" t="str">
        <f>IFERROR(VLOOKUP("4P04-55-00-02",pareto,18,FALSE),"-")</f>
        <v>-</v>
      </c>
      <c r="FF28" s="20"/>
      <c r="FG28" s="20"/>
      <c r="FH28" s="20"/>
      <c r="FI28" s="218" t="str">
        <f>IFERROR(VLOOKUP("4P04-56-00-02",pareto,18,FALSE),"-")</f>
        <v>-</v>
      </c>
      <c r="FJ28" s="41" t="str">
        <f>IFERROR(VLOOKUP("4P05-55-00-02",pareto,18,FALSE),"-")</f>
        <v>-</v>
      </c>
      <c r="FK28" s="20"/>
      <c r="FL28" s="20"/>
      <c r="FM28" s="20"/>
      <c r="FN28" s="218" t="str">
        <f>IFERROR(VLOOKUP("4P05-56-00-02",pareto,18,FALSE),"-")</f>
        <v>-</v>
      </c>
      <c r="FO28" s="41" t="str">
        <f>IFERROR(VLOOKUP("4P06-55-00-02",pareto,18,FALSE),"-")</f>
        <v>-</v>
      </c>
      <c r="FP28" s="20"/>
      <c r="FQ28" s="20"/>
      <c r="FR28" s="20"/>
      <c r="FS28" s="218" t="str">
        <f>IFERROR(VLOOKUP("4P06-56-00-02",pareto,18,FALSE),"-")</f>
        <v>-</v>
      </c>
      <c r="FT28" s="41" t="str">
        <f>IFERROR(VLOOKUP("4P07-55-00-02",pareto,18,FALSE),"-")</f>
        <v>-</v>
      </c>
      <c r="FU28" s="20"/>
      <c r="FV28" s="20"/>
      <c r="FW28" s="20"/>
      <c r="FX28" s="218" t="str">
        <f>IFERROR(VLOOKUP("4P07-56-00-02",pareto,18,FALSE),"-")</f>
        <v>-</v>
      </c>
      <c r="FY28" s="41" t="str">
        <f>IFERROR(VLOOKUP("4P08-55-00-02",pareto,18,FALSE),"-")</f>
        <v>-</v>
      </c>
      <c r="FZ28" s="20"/>
      <c r="GA28" s="20"/>
      <c r="GB28" s="20"/>
      <c r="GC28" s="218" t="str">
        <f>IFERROR(VLOOKUP("4P08-56-00-02",pareto,18,FALSE),"-")</f>
        <v>-</v>
      </c>
      <c r="GD28" s="41" t="str">
        <f>IFERROR(VLOOKUP("4P09-55-00-02",pareto,18,FALSE),"-")</f>
        <v>-</v>
      </c>
      <c r="GE28" s="20"/>
      <c r="GF28" s="20"/>
      <c r="GG28" s="20"/>
      <c r="GH28" s="227" t="str">
        <f>IFERROR(VLOOKUP("4P09-56-00-02",pareto,18,FALSE),"-")</f>
        <v>-</v>
      </c>
    </row>
    <row r="29" spans="3:190" ht="12" customHeight="1" thickTop="1" thickBot="1" x14ac:dyDescent="0.3">
      <c r="C29" s="270"/>
      <c r="D29" s="270"/>
      <c r="E29" s="270"/>
      <c r="F29" s="270"/>
      <c r="G29" s="270"/>
      <c r="H29" s="270"/>
      <c r="I29" s="270"/>
      <c r="J29" s="270"/>
      <c r="K29" s="270"/>
      <c r="L29" s="270"/>
      <c r="M29" s="270"/>
      <c r="N29" s="270"/>
      <c r="O29" s="270"/>
      <c r="P29" s="270"/>
      <c r="Q29" s="270"/>
      <c r="R29" s="9"/>
      <c r="S29" s="9"/>
      <c r="T29" s="9"/>
      <c r="U29" s="9"/>
      <c r="V29" s="9"/>
      <c r="W29" s="9"/>
      <c r="X29" s="9"/>
      <c r="Y29" s="9"/>
      <c r="Z29" s="9"/>
      <c r="AA29" s="271"/>
      <c r="AB29" s="271"/>
      <c r="AC29" s="271"/>
      <c r="AD29" s="271"/>
      <c r="AE29" s="271"/>
      <c r="AF29" s="271"/>
      <c r="AG29" s="271"/>
      <c r="AH29" s="271"/>
      <c r="AI29" s="271"/>
      <c r="AJ29" s="271"/>
      <c r="AK29" s="271"/>
      <c r="AL29" s="271"/>
      <c r="AM29" s="271"/>
      <c r="AN29" s="271"/>
      <c r="AO29" s="271"/>
      <c r="AP29" s="271"/>
      <c r="AQ29" s="271"/>
      <c r="AR29" s="271"/>
      <c r="AS29" s="271"/>
      <c r="AT29" s="271"/>
      <c r="AU29" s="271"/>
      <c r="AV29" s="271"/>
      <c r="AW29" s="271"/>
      <c r="AX29" s="271"/>
      <c r="AY29" s="271"/>
      <c r="AZ29" s="272"/>
      <c r="BA29" s="152" t="str">
        <f>IFERROR(VLOOKUP("2D01-17-00-03",pareto,18,FALSE),"-")</f>
        <v>-</v>
      </c>
      <c r="BB29" s="77"/>
      <c r="BC29" s="77"/>
      <c r="BD29" s="135" t="str">
        <f>IFERROR(VLOOKUP("2D01-18-04-02",pareto,18,FALSE),"-")</f>
        <v>-</v>
      </c>
      <c r="BE29" s="136" t="str">
        <f>IFERROR(VLOOKUP("2D01-18-04-05",pareto,18,FALSE),"-")</f>
        <v>-</v>
      </c>
      <c r="BF29" s="78"/>
      <c r="BG29" s="135" t="str">
        <f>IFERROR(VLOOKUP("2D02-17-04-02",pareto,18,FALSE),"-")</f>
        <v>-</v>
      </c>
      <c r="BH29" s="136" t="str">
        <f>IFERROR(VLOOKUP("2D02-17-04-05",pareto,18,FALSE),"-")</f>
        <v>-</v>
      </c>
      <c r="BI29" s="78"/>
      <c r="BJ29" s="78"/>
      <c r="BK29" s="78"/>
      <c r="BL29" s="78"/>
      <c r="BM29" s="135" t="str">
        <f>IFERROR(VLOOKUP("2D02-18-04-02",pareto,18,FALSE),"-")</f>
        <v>-</v>
      </c>
      <c r="BN29" s="136" t="str">
        <f>IFERROR(VLOOKUP("2D02-18-04-05",pareto,18,FALSE),"-")</f>
        <v>-</v>
      </c>
      <c r="BO29" s="78"/>
      <c r="BP29" s="135" t="str">
        <f>IFERROR(VLOOKUP("2D03-17-04-02",pareto,18,FALSE),"-")</f>
        <v>-</v>
      </c>
      <c r="BQ29" s="136" t="str">
        <f>IFERROR(VLOOKUP("2D03-17-04-05",pareto,18,FALSE),"-")</f>
        <v>-</v>
      </c>
      <c r="BR29" s="77"/>
      <c r="BS29" s="77">
        <v>2</v>
      </c>
      <c r="BT29" s="133" t="str">
        <f>IFERROR(VLOOKUP("2H02-02-00-01",pareto,18,FALSE),"-")</f>
        <v>C</v>
      </c>
      <c r="BU29" s="140" t="str">
        <f>IFERROR(VLOOKUP("2H02-02-00-02",pareto,18,FALSE),"-")</f>
        <v>D</v>
      </c>
      <c r="BV29" s="134" t="str">
        <f>IFERROR(VLOOKUP("2H02-02-00-03",pareto,18,FALSE),"-")</f>
        <v>E</v>
      </c>
      <c r="BW29" s="133" t="str">
        <f>IFERROR(VLOOKUP("2H02-04-00-01",pareto,18,FALSE),"-")</f>
        <v>A</v>
      </c>
      <c r="BX29" s="140" t="str">
        <f>IFERROR(VLOOKUP("2H02-04-00-02",pareto,18,FALSE),"-")</f>
        <v>B</v>
      </c>
      <c r="BY29" s="134" t="str">
        <f>IFERROR(VLOOKUP("2H02-04-00-03",pareto,18,FALSE),"-")</f>
        <v>C</v>
      </c>
      <c r="BZ29" s="133" t="str">
        <f>IFERROR(VLOOKUP("2H02-06-00-01",pareto,18,FALSE),"-")</f>
        <v>-</v>
      </c>
      <c r="CA29" s="140" t="str">
        <f>IFERROR(VLOOKUP("2H02-06-00-02",pareto,18,FALSE),"-")</f>
        <v>-</v>
      </c>
      <c r="CB29" s="134" t="str">
        <f>IFERROR(VLOOKUP("2H02-06-00-03",pareto,18,FALSE),"-")</f>
        <v>-</v>
      </c>
      <c r="CC29" s="142"/>
      <c r="CD29" s="143"/>
      <c r="CE29" s="134" t="str">
        <f>IFERROR(VLOOKUP("2H02-08-00-03",pareto,18,FALSE),"-")</f>
        <v>A</v>
      </c>
      <c r="CF29" s="133" t="str">
        <f>IFERROR(VLOOKUP("2H02-10-00-01",pareto,18,FALSE),"-")</f>
        <v>B</v>
      </c>
      <c r="CG29" s="140" t="str">
        <f>IFERROR(VLOOKUP("2H02-10-00-02",pareto,18,FALSE),"-")</f>
        <v>C</v>
      </c>
      <c r="CH29" s="134" t="str">
        <f>IFERROR(VLOOKUP("2H02-10-00-03",pareto,18,FALSE),"-")</f>
        <v>D</v>
      </c>
      <c r="CI29" s="133" t="str">
        <f>IFERROR(VLOOKUP("2H02-12-00-01",pareto,18,FALSE),"-")</f>
        <v>-</v>
      </c>
      <c r="CJ29" s="140" t="str">
        <f>IFERROR(VLOOKUP("2H02-12-00-02",pareto,18,FALSE),"-")</f>
        <v>-</v>
      </c>
      <c r="CK29" s="134" t="str">
        <f>IFERROR(VLOOKUP("2H02-12-00-03",pareto,18,FALSE),"-")</f>
        <v>-</v>
      </c>
      <c r="CL29" s="20"/>
      <c r="CM29" s="20"/>
      <c r="CN29" s="20"/>
      <c r="CO29" s="20"/>
      <c r="CP29" s="20"/>
      <c r="CQ29" s="20"/>
      <c r="CR29" s="20"/>
      <c r="CS29" s="21"/>
      <c r="CT29" s="103"/>
      <c r="CU29" s="169"/>
      <c r="CV29" s="170"/>
      <c r="CW29" s="103"/>
      <c r="CX29" s="169"/>
      <c r="CY29" s="170"/>
      <c r="CZ29" s="103"/>
      <c r="DA29" s="169"/>
      <c r="DB29" s="170"/>
      <c r="DC29" s="103"/>
      <c r="DD29" s="169"/>
      <c r="DE29" s="170"/>
      <c r="DF29" s="103"/>
      <c r="DG29" s="169"/>
      <c r="DH29" s="170"/>
      <c r="DI29" s="103"/>
      <c r="DJ29" s="169"/>
      <c r="DK29" s="170"/>
      <c r="DL29" s="20"/>
      <c r="DM29" s="20"/>
      <c r="DN29" s="20"/>
      <c r="DO29" s="204"/>
      <c r="DP29" s="20"/>
      <c r="DQ29" s="20"/>
      <c r="DR29" s="20"/>
      <c r="DS29" s="20"/>
      <c r="DT29" s="20"/>
      <c r="DU29" s="20"/>
      <c r="DV29" s="20"/>
      <c r="DW29" s="20"/>
      <c r="DX29" s="187"/>
      <c r="DY29" s="188"/>
      <c r="DZ29" s="189"/>
      <c r="EA29" s="187"/>
      <c r="EB29" s="188"/>
      <c r="EC29" s="189"/>
      <c r="ED29" s="187"/>
      <c r="EE29" s="188"/>
      <c r="EF29" s="189"/>
      <c r="EG29" s="187"/>
      <c r="EH29" s="188"/>
      <c r="EI29" s="189"/>
      <c r="EJ29" s="187"/>
      <c r="EK29" s="188"/>
      <c r="EL29" s="189"/>
      <c r="EM29" s="187"/>
      <c r="EN29" s="188"/>
      <c r="EO29" s="190"/>
      <c r="EP29" s="42" t="str">
        <f>IFERROR(VLOOKUP("4P01-55-00-01",pareto,18,FALSE),"-")</f>
        <v>-</v>
      </c>
      <c r="EQ29" s="20"/>
      <c r="ER29" s="20"/>
      <c r="ES29" s="20"/>
      <c r="ET29" s="219" t="str">
        <f>IFERROR(VLOOKUP("4P01-56-00-01",pareto,18,FALSE),"-")</f>
        <v>-</v>
      </c>
      <c r="EU29" s="42" t="str">
        <f>IFERROR(VLOOKUP("4P02-55-00-01",pareto,18,FALSE),"-")</f>
        <v>-</v>
      </c>
      <c r="EV29" s="20"/>
      <c r="EW29" s="20"/>
      <c r="EX29" s="20"/>
      <c r="EY29" s="219" t="str">
        <f>IFERROR(VLOOKUP("4P02-56-00-01",pareto,18,FALSE),"-")</f>
        <v>-</v>
      </c>
      <c r="EZ29" s="42" t="str">
        <f>IFERROR(VLOOKUP("4P03-55-00-01",pareto,18,FALSE),"-")</f>
        <v>-</v>
      </c>
      <c r="FA29" s="20"/>
      <c r="FB29" s="20"/>
      <c r="FC29" s="20"/>
      <c r="FD29" s="219" t="str">
        <f>IFERROR(VLOOKUP("4P03-56-00-01",pareto,18,FALSE),"-")</f>
        <v>-</v>
      </c>
      <c r="FE29" s="42" t="str">
        <f>IFERROR(VLOOKUP("4P04-55-00-01",pareto,18,FALSE),"-")</f>
        <v>-</v>
      </c>
      <c r="FF29" s="20"/>
      <c r="FG29" s="20"/>
      <c r="FH29" s="20"/>
      <c r="FI29" s="219" t="str">
        <f>IFERROR(VLOOKUP("4P04-56-00-01",pareto,18,FALSE),"-")</f>
        <v>-</v>
      </c>
      <c r="FJ29" s="42" t="str">
        <f>IFERROR(VLOOKUP("4P05-55-00-01",pareto,18,FALSE),"-")</f>
        <v>-</v>
      </c>
      <c r="FK29" s="20"/>
      <c r="FL29" s="20"/>
      <c r="FM29" s="20"/>
      <c r="FN29" s="219" t="str">
        <f>IFERROR(VLOOKUP("4P05-56-00-01",pareto,18,FALSE),"-")</f>
        <v>-</v>
      </c>
      <c r="FO29" s="42" t="str">
        <f>IFERROR(VLOOKUP("4P06-55-00-01",pareto,18,FALSE),"-")</f>
        <v>-</v>
      </c>
      <c r="FP29" s="20"/>
      <c r="FQ29" s="20"/>
      <c r="FR29" s="20"/>
      <c r="FS29" s="219" t="str">
        <f>IFERROR(VLOOKUP("4P06-56-00-01",pareto,18,FALSE),"-")</f>
        <v>-</v>
      </c>
      <c r="FT29" s="42" t="str">
        <f>IFERROR(VLOOKUP("4P07-55-00-01",pareto,18,FALSE),"-")</f>
        <v>-</v>
      </c>
      <c r="FU29" s="20"/>
      <c r="FV29" s="20"/>
      <c r="FW29" s="20"/>
      <c r="FX29" s="219" t="str">
        <f>IFERROR(VLOOKUP("4P07-56-00-01",pareto,18,FALSE),"-")</f>
        <v>-</v>
      </c>
      <c r="FY29" s="42" t="str">
        <f>IFERROR(VLOOKUP("4P08-55-00-01",pareto,18,FALSE),"-")</f>
        <v>-</v>
      </c>
      <c r="FZ29" s="20"/>
      <c r="GA29" s="20"/>
      <c r="GB29" s="20"/>
      <c r="GC29" s="219" t="str">
        <f>IFERROR(VLOOKUP("4P08-56-00-01",pareto,18,FALSE),"-")</f>
        <v>-</v>
      </c>
      <c r="GD29" s="42" t="str">
        <f>IFERROR(VLOOKUP("4P09-55-00-01",pareto,18,FALSE),"-")</f>
        <v>-</v>
      </c>
      <c r="GE29" s="20"/>
      <c r="GF29" s="20"/>
      <c r="GG29" s="20"/>
      <c r="GH29" s="228" t="str">
        <f>IFERROR(VLOOKUP("4P09-56-00-01",pareto,18,FALSE),"-")</f>
        <v>-</v>
      </c>
    </row>
    <row r="30" spans="3:190" ht="12" customHeight="1" thickTop="1" thickBot="1" x14ac:dyDescent="0.3">
      <c r="C30" s="270"/>
      <c r="D30" s="270"/>
      <c r="E30" s="270"/>
      <c r="F30" s="270"/>
      <c r="G30" s="270"/>
      <c r="H30" s="270"/>
      <c r="I30" s="270"/>
      <c r="J30" s="270"/>
      <c r="K30" s="270"/>
      <c r="L30" s="270"/>
      <c r="M30" s="270"/>
      <c r="N30" s="270"/>
      <c r="O30" s="270"/>
      <c r="P30" s="270"/>
      <c r="Q30" s="270"/>
      <c r="R30" s="9"/>
      <c r="S30" s="9"/>
      <c r="T30" s="9"/>
      <c r="U30" s="9"/>
      <c r="V30" s="9"/>
      <c r="W30" s="9"/>
      <c r="X30" s="9"/>
      <c r="Y30" s="9"/>
      <c r="Z30" s="9"/>
      <c r="AA30" s="271"/>
      <c r="AB30" s="271"/>
      <c r="AC30" s="271"/>
      <c r="AD30" s="271"/>
      <c r="AE30" s="271"/>
      <c r="AF30" s="271"/>
      <c r="AG30" s="271"/>
      <c r="AH30" s="271"/>
      <c r="AI30" s="271"/>
      <c r="AJ30" s="271"/>
      <c r="AK30" s="271"/>
      <c r="AL30" s="271"/>
      <c r="AM30" s="271"/>
      <c r="AN30" s="271"/>
      <c r="AO30" s="271"/>
      <c r="AP30" s="271"/>
      <c r="AQ30" s="271"/>
      <c r="AR30" s="271"/>
      <c r="AS30" s="271"/>
      <c r="AT30" s="271"/>
      <c r="AU30" s="271"/>
      <c r="AV30" s="271"/>
      <c r="AW30" s="271"/>
      <c r="AX30" s="271"/>
      <c r="AY30" s="271"/>
      <c r="AZ30" s="272"/>
      <c r="BA30" s="150" t="str">
        <f>IFERROR(VLOOKUP("2D01-17-00-02",pareto,18,FALSE),"-")</f>
        <v>-</v>
      </c>
      <c r="BB30" s="77"/>
      <c r="BC30" s="77"/>
      <c r="BD30" s="137" t="str">
        <f>IFERROR(VLOOKUP("2D01-18-04-01",pareto,18,FALSE),"-")</f>
        <v>-</v>
      </c>
      <c r="BE30" s="138" t="str">
        <f>IFERROR(VLOOKUP("2D01-18-04-04",pareto,18,FALSE),"-")</f>
        <v>-</v>
      </c>
      <c r="BF30" s="78"/>
      <c r="BG30" s="137" t="str">
        <f>IFERROR(VLOOKUP("2D02-17-04-01",pareto,18,FALSE),"-")</f>
        <v>-</v>
      </c>
      <c r="BH30" s="138" t="str">
        <f>IFERROR(VLOOKUP("2D02-17-04-04",pareto,18,FALSE),"-")</f>
        <v>-</v>
      </c>
      <c r="BI30" s="78"/>
      <c r="BJ30" s="78"/>
      <c r="BK30" s="78"/>
      <c r="BL30" s="78"/>
      <c r="BM30" s="137" t="str">
        <f>IFERROR(VLOOKUP("2D02-18-04-01",pareto,18,FALSE),"-")</f>
        <v>-</v>
      </c>
      <c r="BN30" s="138" t="str">
        <f>IFERROR(VLOOKUP("2D02-18-04-04",pareto,18,FALSE),"-")</f>
        <v>-</v>
      </c>
      <c r="BO30" s="78"/>
      <c r="BP30" s="137" t="str">
        <f>IFERROR(VLOOKUP("2D03-17-04-01",pareto,18,FALSE),"-")</f>
        <v>-</v>
      </c>
      <c r="BQ30" s="138" t="str">
        <f>IFERROR(VLOOKUP("2D03-17-04-04",pareto,18,FALSE),"-")</f>
        <v>-</v>
      </c>
      <c r="BR30" s="77"/>
      <c r="BS30" s="77">
        <v>3</v>
      </c>
      <c r="BT30" s="137" t="str">
        <f>IFERROR(VLOOKUP("2H03-01-00-01",pareto,18,FALSE),"-")</f>
        <v>-</v>
      </c>
      <c r="BU30" s="141" t="str">
        <f>IFERROR(VLOOKUP("2H03-01-00-02",pareto,18,FALSE),"-")</f>
        <v>-</v>
      </c>
      <c r="BV30" s="138" t="str">
        <f>IFERROR(VLOOKUP("2H03-01-00-03",pareto,18,FALSE),"-")</f>
        <v>-</v>
      </c>
      <c r="BW30" s="137" t="str">
        <f>IFERROR(VLOOKUP("2H03-03-00-01",pareto,18,FALSE),"-")</f>
        <v>-</v>
      </c>
      <c r="BX30" s="141" t="str">
        <f>IFERROR(VLOOKUP("2H03-03-00-02",pareto,18,FALSE),"-")</f>
        <v>-</v>
      </c>
      <c r="BY30" s="138" t="str">
        <f>IFERROR(VLOOKUP("2H03-03-00-03",pareto,18,FALSE),"-")</f>
        <v>-</v>
      </c>
      <c r="BZ30" s="137" t="str">
        <f>IFERROR(VLOOKUP("2H03-05-00-01",pareto,18,FALSE),"-")</f>
        <v>-</v>
      </c>
      <c r="CA30" s="141" t="str">
        <f>IFERROR(VLOOKUP("2H03-05-00-02",pareto,18,FALSE),"-")</f>
        <v>-</v>
      </c>
      <c r="CB30" s="138" t="str">
        <f>IFERROR(VLOOKUP("2H03-05-00-03",pareto,18,FALSE),"-")</f>
        <v>-</v>
      </c>
      <c r="CC30" s="137" t="str">
        <f>IFERROR(VLOOKUP("2H03-07-00-01",pareto,18,FALSE),"-")</f>
        <v>-</v>
      </c>
      <c r="CD30" s="141" t="str">
        <f>IFERROR(VLOOKUP("2H03-07-00-02",pareto,18,FALSE),"-")</f>
        <v>-</v>
      </c>
      <c r="CE30" s="138" t="str">
        <f>IFERROR(VLOOKUP("2H03-07-00-03",pareto,18,FALSE),"-")</f>
        <v>-</v>
      </c>
      <c r="CF30" s="137" t="str">
        <f>IFERROR(VLOOKUP("2H03-09-00-01",pareto,18,FALSE),"-")</f>
        <v>-</v>
      </c>
      <c r="CG30" s="141" t="str">
        <f>IFERROR(VLOOKUP("2H03-09-00-02",pareto,18,FALSE),"-")</f>
        <v>-</v>
      </c>
      <c r="CH30" s="138" t="str">
        <f>IFERROR(VLOOKUP("2H03-09-00-03",pareto,18,FALSE),"-")</f>
        <v>-</v>
      </c>
      <c r="CI30" s="137" t="str">
        <f>IFERROR(VLOOKUP("2H03-11-00-01",pareto,18,FALSE),"-")</f>
        <v>-</v>
      </c>
      <c r="CJ30" s="141" t="str">
        <f>IFERROR(VLOOKUP("2H03-11-00-02",pareto,18,FALSE),"-")</f>
        <v>-</v>
      </c>
      <c r="CK30" s="138" t="str">
        <f>IFERROR(VLOOKUP("2H03-11-00-03",pareto,18,FALSE),"-")</f>
        <v>-</v>
      </c>
      <c r="CL30" s="20"/>
      <c r="CM30" s="20"/>
      <c r="CN30" s="20"/>
      <c r="CO30" s="20"/>
      <c r="CP30" s="20"/>
      <c r="CQ30" s="20"/>
      <c r="CR30" s="20"/>
      <c r="CS30" s="21"/>
      <c r="CT30" s="107"/>
      <c r="CU30" s="171"/>
      <c r="CV30" s="172"/>
      <c r="CW30" s="107"/>
      <c r="CX30" s="171"/>
      <c r="CY30" s="172"/>
      <c r="CZ30" s="107"/>
      <c r="DA30" s="171"/>
      <c r="DB30" s="172"/>
      <c r="DC30" s="107"/>
      <c r="DD30" s="171"/>
      <c r="DE30" s="172"/>
      <c r="DF30" s="107"/>
      <c r="DG30" s="171"/>
      <c r="DH30" s="172"/>
      <c r="DI30" s="107"/>
      <c r="DJ30" s="171"/>
      <c r="DK30" s="172"/>
      <c r="DL30" s="20"/>
      <c r="DM30" s="20"/>
      <c r="DN30" s="20"/>
      <c r="DO30" s="198"/>
      <c r="DP30" s="199"/>
      <c r="DQ30" s="20"/>
      <c r="DR30" s="20"/>
      <c r="DS30" s="20"/>
      <c r="DT30" s="20"/>
      <c r="DU30" s="20"/>
      <c r="DV30" s="20"/>
      <c r="DW30" s="20"/>
      <c r="DX30" s="184"/>
      <c r="DY30" s="179"/>
      <c r="DZ30" s="180"/>
      <c r="EA30" s="184"/>
      <c r="EB30" s="179"/>
      <c r="EC30" s="180"/>
      <c r="ED30" s="184"/>
      <c r="EE30" s="179"/>
      <c r="EF30" s="180"/>
      <c r="EG30" s="184"/>
      <c r="EH30" s="179"/>
      <c r="EI30" s="180"/>
      <c r="EJ30" s="184"/>
      <c r="EK30" s="179"/>
      <c r="EL30" s="180"/>
      <c r="EM30" s="184"/>
      <c r="EN30" s="179"/>
      <c r="EO30" s="186"/>
      <c r="EP30" s="44" t="str">
        <f>IFERROR(VLOOKUP("4P01-53-00-03",pareto,18,FALSE),"-")</f>
        <v>-</v>
      </c>
      <c r="EQ30" s="20"/>
      <c r="ER30" s="20"/>
      <c r="ES30" s="20"/>
      <c r="ET30" s="217" t="str">
        <f>IFERROR(VLOOKUP("4P01-54-00-03",pareto,18,FALSE),"-")</f>
        <v>-</v>
      </c>
      <c r="EU30" s="40" t="str">
        <f>IFERROR(VLOOKUP("4P02-53-00-03",pareto,18,FALSE),"-")</f>
        <v>-</v>
      </c>
      <c r="EV30" s="20"/>
      <c r="EW30" s="20"/>
      <c r="EX30" s="20"/>
      <c r="EY30" s="217" t="str">
        <f>IFERROR(VLOOKUP("4P02-54-00-03",pareto,18,FALSE),"-")</f>
        <v>-</v>
      </c>
      <c r="EZ30" s="40" t="str">
        <f>IFERROR(VLOOKUP("4P03-53-00-03",pareto,18,FALSE),"-")</f>
        <v>-</v>
      </c>
      <c r="FA30" s="20"/>
      <c r="FB30" s="20"/>
      <c r="FC30" s="20"/>
      <c r="FD30" s="221"/>
      <c r="FE30" s="40" t="str">
        <f>IFERROR(VLOOKUP("4P04-53-00-03",pareto,18,FALSE),"-")</f>
        <v>-</v>
      </c>
      <c r="FF30" s="20"/>
      <c r="FG30" s="20"/>
      <c r="FH30" s="20"/>
      <c r="FI30" s="217" t="str">
        <f>IFERROR(VLOOKUP("4P04-54-00-03",pareto,18,FALSE),"-")</f>
        <v>-</v>
      </c>
      <c r="FJ30" s="40" t="str">
        <f>IFERROR(VLOOKUP("4P05-53-00-03",pareto,18,FALSE),"-")</f>
        <v>-</v>
      </c>
      <c r="FK30" s="20"/>
      <c r="FL30" s="20"/>
      <c r="FM30" s="20"/>
      <c r="FN30" s="217" t="str">
        <f>IFERROR(VLOOKUP("4P05-54-00-03",pareto,18,FALSE),"-")</f>
        <v>-</v>
      </c>
      <c r="FO30" s="40" t="str">
        <f>IFERROR(VLOOKUP("4P06-53-00-03",pareto,18,FALSE),"-")</f>
        <v>-</v>
      </c>
      <c r="FP30" s="20"/>
      <c r="FQ30" s="20"/>
      <c r="FR30" s="20"/>
      <c r="FS30" s="217" t="str">
        <f>IFERROR(VLOOKUP("4P06-54-00-03",pareto,18,FALSE),"-")</f>
        <v>-</v>
      </c>
      <c r="FT30" s="66"/>
      <c r="FU30" s="20"/>
      <c r="FV30" s="20"/>
      <c r="FW30" s="20"/>
      <c r="FX30" s="217" t="str">
        <f>IFERROR(VLOOKUP("4P07-54-00-03",pareto,18,FALSE),"-")</f>
        <v>-</v>
      </c>
      <c r="FY30" s="40" t="str">
        <f>IFERROR(VLOOKUP("4P08-53-00-03",pareto,18,FALSE),"-")</f>
        <v>-</v>
      </c>
      <c r="FZ30" s="20"/>
      <c r="GA30" s="20"/>
      <c r="GB30" s="20"/>
      <c r="GC30" s="217" t="str">
        <f>IFERROR(VLOOKUP("4P08-54-00-03",pareto,18,FALSE),"-")</f>
        <v>-</v>
      </c>
      <c r="GD30" s="40" t="str">
        <f>IFERROR(VLOOKUP("4P09-53-00-03",pareto,18,FALSE),"-")</f>
        <v>-</v>
      </c>
      <c r="GE30" s="20"/>
      <c r="GF30" s="20"/>
      <c r="GG30" s="20"/>
      <c r="GH30" s="224" t="str">
        <f>IFERROR(VLOOKUP("4P09-54-00-03",pareto,18,FALSE),"-")</f>
        <v>-</v>
      </c>
    </row>
    <row r="31" spans="3:190" ht="12" customHeight="1" thickTop="1" thickBot="1" x14ac:dyDescent="0.3">
      <c r="C31" s="270"/>
      <c r="D31" s="270"/>
      <c r="E31" s="270"/>
      <c r="F31" s="270"/>
      <c r="G31" s="270"/>
      <c r="H31" s="270"/>
      <c r="I31" s="270"/>
      <c r="J31" s="270"/>
      <c r="K31" s="270"/>
      <c r="L31" s="270"/>
      <c r="M31" s="270"/>
      <c r="N31" s="270"/>
      <c r="O31" s="270"/>
      <c r="P31" s="270"/>
      <c r="Q31" s="270"/>
      <c r="R31" s="9"/>
      <c r="S31" s="9"/>
      <c r="T31" s="9"/>
      <c r="U31" s="9"/>
      <c r="V31" s="9"/>
      <c r="W31" s="9"/>
      <c r="X31" s="9"/>
      <c r="Y31" s="9"/>
      <c r="Z31" s="9"/>
      <c r="AA31" s="271"/>
      <c r="AB31" s="271"/>
      <c r="AC31" s="271"/>
      <c r="AD31" s="271"/>
      <c r="AE31" s="271"/>
      <c r="AF31" s="271"/>
      <c r="AG31" s="271"/>
      <c r="AH31" s="271"/>
      <c r="AI31" s="271"/>
      <c r="AJ31" s="271"/>
      <c r="AK31" s="271"/>
      <c r="AL31" s="271"/>
      <c r="AM31" s="271"/>
      <c r="AN31" s="271"/>
      <c r="AO31" s="271"/>
      <c r="AP31" s="271"/>
      <c r="AQ31" s="271"/>
      <c r="AR31" s="271"/>
      <c r="AS31" s="271"/>
      <c r="AT31" s="271"/>
      <c r="AU31" s="271"/>
      <c r="AV31" s="271"/>
      <c r="AW31" s="271"/>
      <c r="AX31" s="271"/>
      <c r="AY31" s="271"/>
      <c r="AZ31" s="272"/>
      <c r="BA31" s="151" t="str">
        <f>IFERROR(VLOOKUP("2D01-17-00-01",pareto,18,FALSE),"-")</f>
        <v>-</v>
      </c>
      <c r="BB31" s="77"/>
      <c r="BC31" s="77"/>
      <c r="BD31" s="133" t="str">
        <f>IFERROR(VLOOKUP("2D01-16-04-03",pareto,18,FALSE),"-")</f>
        <v>-</v>
      </c>
      <c r="BE31" s="134" t="str">
        <f>IFERROR(VLOOKUP("2D01-16-04-06",pareto,18,FALSE),"-")</f>
        <v>-</v>
      </c>
      <c r="BF31" s="78"/>
      <c r="BG31" s="133" t="str">
        <f>IFERROR(VLOOKUP("2D02-15-04-03",pareto,18,FALSE),"-")</f>
        <v>-</v>
      </c>
      <c r="BH31" s="134" t="str">
        <f>IFERROR(VLOOKUP("2D02-15-04-06",pareto,18,FALSE),"-")</f>
        <v>-</v>
      </c>
      <c r="BI31" s="78"/>
      <c r="BJ31" s="78"/>
      <c r="BK31" s="78"/>
      <c r="BL31" s="78"/>
      <c r="BM31" s="133" t="str">
        <f>IFERROR(VLOOKUP("2D02-16-04-03",pareto,18,FALSE),"-")</f>
        <v>-</v>
      </c>
      <c r="BN31" s="134" t="str">
        <f>IFERROR(VLOOKUP("2D02-16-04-06",pareto,18,FALSE),"-")</f>
        <v>-</v>
      </c>
      <c r="BO31" s="78"/>
      <c r="BP31" s="133" t="str">
        <f>IFERROR(VLOOKUP("2D03-15-04-03",pareto,18,FALSE),"-")</f>
        <v>-</v>
      </c>
      <c r="BQ31" s="134" t="str">
        <f>IFERROR(VLOOKUP("2D03-15-04-06",pareto,18,FALSE),"-")</f>
        <v>-</v>
      </c>
      <c r="BR31" s="77"/>
      <c r="BS31" s="77"/>
      <c r="BT31" s="20"/>
      <c r="BU31" s="20"/>
      <c r="BV31" s="20"/>
      <c r="BW31" s="20"/>
      <c r="BX31" s="20"/>
      <c r="BY31" s="20"/>
      <c r="BZ31" s="20"/>
      <c r="CA31" s="20"/>
      <c r="CB31" s="20"/>
      <c r="CC31" s="20"/>
      <c r="CD31" s="20"/>
      <c r="CE31" s="20"/>
      <c r="CF31" s="20"/>
      <c r="CG31" s="20"/>
      <c r="CH31" s="20"/>
      <c r="CI31" s="20"/>
      <c r="CJ31" s="20"/>
      <c r="CK31" s="20"/>
      <c r="CL31" s="20"/>
      <c r="CM31" s="20"/>
      <c r="CN31" s="20"/>
      <c r="CO31" s="20"/>
      <c r="CP31" s="20"/>
      <c r="CQ31" s="20"/>
      <c r="CR31" s="20"/>
      <c r="CS31" s="21"/>
      <c r="CT31" s="19"/>
      <c r="CU31" s="20"/>
      <c r="CV31" s="20"/>
      <c r="CW31" s="20"/>
      <c r="CX31" s="20"/>
      <c r="CY31" s="20"/>
      <c r="CZ31" s="20"/>
      <c r="DA31" s="20"/>
      <c r="DB31" s="20"/>
      <c r="DC31" s="20"/>
      <c r="DD31" s="20"/>
      <c r="DE31" s="20"/>
      <c r="DF31" s="20"/>
      <c r="DG31" s="20"/>
      <c r="DH31" s="20"/>
      <c r="DI31" s="20"/>
      <c r="DJ31" s="20"/>
      <c r="DK31" s="20"/>
      <c r="DL31" s="20"/>
      <c r="DM31" s="20"/>
      <c r="DN31" s="20"/>
      <c r="DO31" s="200"/>
      <c r="DP31" s="201"/>
      <c r="DQ31" s="20"/>
      <c r="DR31" s="20"/>
      <c r="DS31" s="20"/>
      <c r="DT31" s="20"/>
      <c r="DU31" s="20"/>
      <c r="DV31" s="20"/>
      <c r="DW31" s="20"/>
      <c r="DX31" s="20"/>
      <c r="DY31" s="20"/>
      <c r="DZ31" s="20"/>
      <c r="EA31" s="20"/>
      <c r="EB31" s="20"/>
      <c r="EC31" s="20"/>
      <c r="ED31" s="20"/>
      <c r="EE31" s="20"/>
      <c r="EF31" s="20"/>
      <c r="EG31" s="20"/>
      <c r="EH31" s="20"/>
      <c r="EI31" s="20"/>
      <c r="EJ31" s="20"/>
      <c r="EK31" s="20"/>
      <c r="EL31" s="20"/>
      <c r="EM31" s="20"/>
      <c r="EN31" s="20"/>
      <c r="EO31" s="21"/>
      <c r="EP31" s="45" t="str">
        <f>IFERROR(VLOOKUP("4P01-53-00-02",pareto,18,FALSE),"-")</f>
        <v>-</v>
      </c>
      <c r="EQ31" s="20"/>
      <c r="ER31" s="20"/>
      <c r="ES31" s="20"/>
      <c r="ET31" s="218" t="str">
        <f>IFERROR(VLOOKUP("4P01-54-00-02",pareto,18,FALSE),"-")</f>
        <v>-</v>
      </c>
      <c r="EU31" s="41" t="str">
        <f>IFERROR(VLOOKUP("4P02-53-00-02",pareto,18,FALSE),"-")</f>
        <v>-</v>
      </c>
      <c r="EV31" s="20"/>
      <c r="EW31" s="20"/>
      <c r="EX31" s="20"/>
      <c r="EY31" s="218" t="str">
        <f>IFERROR(VLOOKUP("4P02-54-00-02",pareto,18,FALSE),"-")</f>
        <v>-</v>
      </c>
      <c r="EZ31" s="41" t="str">
        <f>IFERROR(VLOOKUP("4P03-53-00-02",pareto,18,FALSE),"-")</f>
        <v>-</v>
      </c>
      <c r="FA31" s="20"/>
      <c r="FB31" s="20"/>
      <c r="FC31" s="20"/>
      <c r="FD31" s="218" t="str">
        <f>IFERROR(VLOOKUP("4P03-54-00-02",pareto,18,FALSE),"-")</f>
        <v>-</v>
      </c>
      <c r="FE31" s="41" t="str">
        <f>IFERROR(VLOOKUP("4P04-53-00-02",pareto,18,FALSE),"-")</f>
        <v>-</v>
      </c>
      <c r="FF31" s="20"/>
      <c r="FG31" s="20"/>
      <c r="FH31" s="20"/>
      <c r="FI31" s="218" t="str">
        <f>IFERROR(VLOOKUP("4P04-54-00-02",pareto,18,FALSE),"-")</f>
        <v>-</v>
      </c>
      <c r="FJ31" s="41" t="str">
        <f>IFERROR(VLOOKUP("4P05-53-00-02",pareto,18,FALSE),"-")</f>
        <v>-</v>
      </c>
      <c r="FK31" s="20"/>
      <c r="FL31" s="20"/>
      <c r="FM31" s="20"/>
      <c r="FN31" s="218" t="str">
        <f>IFERROR(VLOOKUP("4P05-54-00-02",pareto,18,FALSE),"-")</f>
        <v>-</v>
      </c>
      <c r="FO31" s="41" t="str">
        <f>IFERROR(VLOOKUP("4P06-53-00-02",pareto,18,FALSE),"-")</f>
        <v>-</v>
      </c>
      <c r="FP31" s="20"/>
      <c r="FQ31" s="20"/>
      <c r="FR31" s="20"/>
      <c r="FS31" s="218" t="str">
        <f>IFERROR(VLOOKUP("4P06-54-00-02",pareto,18,FALSE),"-")</f>
        <v>-</v>
      </c>
      <c r="FT31" s="41" t="str">
        <f>IFERROR(VLOOKUP("4P07-53-00-02",pareto,18,FALSE),"-")</f>
        <v>-</v>
      </c>
      <c r="FU31" s="20"/>
      <c r="FV31" s="20"/>
      <c r="FW31" s="20"/>
      <c r="FX31" s="218" t="str">
        <f>IFERROR(VLOOKUP("4P07-54-00-02",pareto,18,FALSE),"-")</f>
        <v>-</v>
      </c>
      <c r="FY31" s="41" t="str">
        <f>IFERROR(VLOOKUP("4P08-53-00-02",pareto,18,FALSE),"-")</f>
        <v>-</v>
      </c>
      <c r="FZ31" s="20"/>
      <c r="GA31" s="20"/>
      <c r="GB31" s="20"/>
      <c r="GC31" s="218" t="str">
        <f>IFERROR(VLOOKUP("4P08-54-00-02",pareto,18,FALSE),"-")</f>
        <v>-</v>
      </c>
      <c r="GD31" s="41" t="str">
        <f>IFERROR(VLOOKUP("4P09-53-00-02",pareto,18,FALSE),"-")</f>
        <v>-</v>
      </c>
      <c r="GE31" s="20"/>
      <c r="GF31" s="20"/>
      <c r="GG31" s="20"/>
      <c r="GH31" s="227" t="str">
        <f>IFERROR(VLOOKUP("4P09-54-00-02",pareto,18,FALSE),"-")</f>
        <v>-</v>
      </c>
    </row>
    <row r="32" spans="3:190" ht="12" customHeight="1" thickTop="1" thickBot="1" x14ac:dyDescent="0.3">
      <c r="C32" s="270"/>
      <c r="D32" s="270"/>
      <c r="E32" s="270"/>
      <c r="F32" s="270"/>
      <c r="G32" s="270"/>
      <c r="H32" s="270"/>
      <c r="I32" s="270"/>
      <c r="J32" s="270"/>
      <c r="K32" s="270"/>
      <c r="L32" s="270"/>
      <c r="M32" s="270"/>
      <c r="N32" s="270"/>
      <c r="O32" s="270"/>
      <c r="P32" s="270"/>
      <c r="Q32" s="270"/>
      <c r="R32" s="9"/>
      <c r="S32" s="9"/>
      <c r="T32" s="9"/>
      <c r="U32" s="9"/>
      <c r="V32" s="9"/>
      <c r="W32" s="9"/>
      <c r="X32" s="9"/>
      <c r="Y32" s="9"/>
      <c r="Z32" s="9"/>
      <c r="AA32" s="271"/>
      <c r="AB32" s="271"/>
      <c r="AC32" s="271"/>
      <c r="AD32" s="271"/>
      <c r="AE32" s="271"/>
      <c r="AF32" s="271"/>
      <c r="AG32" s="271"/>
      <c r="AH32" s="271"/>
      <c r="AI32" s="271"/>
      <c r="AJ32" s="271"/>
      <c r="AK32" s="271"/>
      <c r="AL32" s="271"/>
      <c r="AM32" s="271"/>
      <c r="AN32" s="271"/>
      <c r="AO32" s="271"/>
      <c r="AP32" s="271"/>
      <c r="AQ32" s="271"/>
      <c r="AR32" s="271"/>
      <c r="AS32" s="271"/>
      <c r="AT32" s="271"/>
      <c r="AU32" s="271"/>
      <c r="AV32" s="271"/>
      <c r="AW32" s="271"/>
      <c r="AX32" s="271"/>
      <c r="AY32" s="271"/>
      <c r="AZ32" s="272"/>
      <c r="BA32" s="152" t="str">
        <f>IFERROR(VLOOKUP("2D01-15-00-03",pareto,18,FALSE),"-")</f>
        <v>-</v>
      </c>
      <c r="BB32" s="77"/>
      <c r="BC32" s="77"/>
      <c r="BD32" s="135" t="str">
        <f>IFERROR(VLOOKUP("2D01-16-04-02",pareto,18,FALSE),"-")</f>
        <v>-</v>
      </c>
      <c r="BE32" s="136" t="str">
        <f>IFERROR(VLOOKUP("2D01-16-04-05",pareto,18,FALSE),"-")</f>
        <v>-</v>
      </c>
      <c r="BF32" s="78"/>
      <c r="BG32" s="135" t="str">
        <f>IFERROR(VLOOKUP("2D02-15-04-02",pareto,18,FALSE),"-")</f>
        <v>-</v>
      </c>
      <c r="BH32" s="136" t="str">
        <f>IFERROR(VLOOKUP("2D02-15-04-05",pareto,18,FALSE),"-")</f>
        <v>-</v>
      </c>
      <c r="BI32" s="84"/>
      <c r="BJ32" s="84"/>
      <c r="BK32" s="78"/>
      <c r="BL32" s="78"/>
      <c r="BM32" s="135" t="str">
        <f>IFERROR(VLOOKUP("2D02-16-04-02",pareto,18,FALSE),"-")</f>
        <v>-</v>
      </c>
      <c r="BN32" s="136" t="str">
        <f>IFERROR(VLOOKUP("2D02-16-04-05",pareto,18,FALSE),"-")</f>
        <v>-</v>
      </c>
      <c r="BO32" s="78"/>
      <c r="BP32" s="135" t="str">
        <f>IFERROR(VLOOKUP("2D03-15-04-02",pareto,18,FALSE),"-")</f>
        <v>-</v>
      </c>
      <c r="BQ32" s="136" t="str">
        <f>IFERROR(VLOOKUP("2D03-15-04-05",pareto,18,FALSE),"-")</f>
        <v>-</v>
      </c>
      <c r="BR32" s="77"/>
      <c r="BS32" s="77"/>
      <c r="BT32" s="20"/>
      <c r="BU32" s="20"/>
      <c r="BV32" s="20"/>
      <c r="BW32" s="20"/>
      <c r="BX32" s="20"/>
      <c r="BY32" s="20"/>
      <c r="BZ32" s="20"/>
      <c r="CA32" s="20"/>
      <c r="CB32" s="20"/>
      <c r="CC32" s="20"/>
      <c r="CD32" s="20"/>
      <c r="CE32" s="20"/>
      <c r="CF32" s="20"/>
      <c r="CG32" s="20"/>
      <c r="CH32" s="20"/>
      <c r="CI32" s="20"/>
      <c r="CJ32" s="20"/>
      <c r="CK32" s="20"/>
      <c r="CL32" s="20"/>
      <c r="CM32" s="20"/>
      <c r="CN32" s="20"/>
      <c r="CO32" s="20"/>
      <c r="CP32" s="20"/>
      <c r="CQ32" s="20"/>
      <c r="CR32" s="20"/>
      <c r="CS32" s="21"/>
      <c r="CT32" s="19"/>
      <c r="CU32" s="20"/>
      <c r="CV32" s="20"/>
      <c r="CW32" s="20"/>
      <c r="CX32" s="20"/>
      <c r="CY32" s="20"/>
      <c r="CZ32" s="20"/>
      <c r="DA32" s="20"/>
      <c r="DB32" s="20"/>
      <c r="DC32" s="20"/>
      <c r="DD32" s="20"/>
      <c r="DE32" s="20"/>
      <c r="DF32" s="20"/>
      <c r="DG32" s="20"/>
      <c r="DH32" s="20"/>
      <c r="DI32" s="20"/>
      <c r="DJ32" s="20"/>
      <c r="DK32" s="20"/>
      <c r="DL32" s="20"/>
      <c r="DM32" s="20"/>
      <c r="DN32" s="20"/>
      <c r="DO32" s="196"/>
      <c r="DP32" s="197"/>
      <c r="DQ32" s="20"/>
      <c r="DR32" s="20"/>
      <c r="DS32" s="20"/>
      <c r="DT32" s="20"/>
      <c r="DU32" s="20"/>
      <c r="DV32" s="20"/>
      <c r="DW32" s="20"/>
      <c r="DX32" s="20"/>
      <c r="DY32" s="20"/>
      <c r="DZ32" s="20"/>
      <c r="EA32" s="20"/>
      <c r="EB32" s="20"/>
      <c r="EC32" s="20"/>
      <c r="ED32" s="20"/>
      <c r="EE32" s="20"/>
      <c r="EF32" s="20"/>
      <c r="EG32" s="20"/>
      <c r="EH32" s="20"/>
      <c r="EI32" s="20"/>
      <c r="EJ32" s="20"/>
      <c r="EK32" s="20"/>
      <c r="EL32" s="20"/>
      <c r="EM32" s="20"/>
      <c r="EN32" s="20"/>
      <c r="EO32" s="21"/>
      <c r="EP32" s="42" t="str">
        <f>IFERROR(VLOOKUP("4P01-53-00-01",pareto,18,FALSE),"-")</f>
        <v>-</v>
      </c>
      <c r="EQ32" s="20"/>
      <c r="ER32" s="20"/>
      <c r="ES32" s="20"/>
      <c r="ET32" s="219" t="str">
        <f>IFERROR(VLOOKUP("4P01-54-00-01",pareto,18,FALSE),"-")</f>
        <v>-</v>
      </c>
      <c r="EU32" s="42" t="str">
        <f>IFERROR(VLOOKUP("4P02-53-00-01",pareto,18,FALSE),"-")</f>
        <v>-</v>
      </c>
      <c r="EV32" s="20"/>
      <c r="EW32" s="20"/>
      <c r="EX32" s="20"/>
      <c r="EY32" s="219" t="str">
        <f>IFERROR(VLOOKUP("4P02-54-00-01",pareto,18,FALSE),"-")</f>
        <v>-</v>
      </c>
      <c r="EZ32" s="42" t="str">
        <f>IFERROR(VLOOKUP("4P03-53-00-01",pareto,18,FALSE),"-")</f>
        <v>-</v>
      </c>
      <c r="FA32" s="20"/>
      <c r="FB32" s="20"/>
      <c r="FC32" s="20"/>
      <c r="FD32" s="219" t="str">
        <f>IFERROR(VLOOKUP("4P03-54-00-01",pareto,18,FALSE),"-")</f>
        <v>-</v>
      </c>
      <c r="FE32" s="42" t="str">
        <f>IFERROR(VLOOKUP("4P04-53-00-01",pareto,18,FALSE),"-")</f>
        <v>-</v>
      </c>
      <c r="FF32" s="20"/>
      <c r="FG32" s="20"/>
      <c r="FH32" s="20"/>
      <c r="FI32" s="219" t="str">
        <f>IFERROR(VLOOKUP("4P04-54-00-01",pareto,18,FALSE),"-")</f>
        <v>-</v>
      </c>
      <c r="FJ32" s="42" t="str">
        <f>IFERROR(VLOOKUP("4P05-53-00-01",pareto,18,FALSE),"-")</f>
        <v>-</v>
      </c>
      <c r="FK32" s="20"/>
      <c r="FL32" s="20"/>
      <c r="FM32" s="20"/>
      <c r="FN32" s="219" t="str">
        <f>IFERROR(VLOOKUP("4P05-54-00-01",pareto,18,FALSE),"-")</f>
        <v>-</v>
      </c>
      <c r="FO32" s="42" t="str">
        <f>IFERROR(VLOOKUP("4P06-53-00-01",pareto,18,FALSE),"-")</f>
        <v>-</v>
      </c>
      <c r="FP32" s="20"/>
      <c r="FQ32" s="20"/>
      <c r="FR32" s="20"/>
      <c r="FS32" s="219" t="str">
        <f>IFERROR(VLOOKUP("4P06-54-00-01",pareto,18,FALSE),"-")</f>
        <v>-</v>
      </c>
      <c r="FT32" s="42" t="str">
        <f>IFERROR(VLOOKUP("4P07-53-00-01",pareto,18,FALSE),"-")</f>
        <v>-</v>
      </c>
      <c r="FU32" s="20"/>
      <c r="FV32" s="20"/>
      <c r="FW32" s="20"/>
      <c r="FX32" s="219" t="str">
        <f>IFERROR(VLOOKUP("4P07-54-00-01",pareto,18,FALSE),"-")</f>
        <v>-</v>
      </c>
      <c r="FY32" s="42" t="str">
        <f>IFERROR(VLOOKUP("4P08-53-00-01",pareto,18,FALSE),"-")</f>
        <v>-</v>
      </c>
      <c r="FZ32" s="20"/>
      <c r="GA32" s="20"/>
      <c r="GB32" s="20"/>
      <c r="GC32" s="219" t="str">
        <f>IFERROR(VLOOKUP("4P08-54-00-01",pareto,18,FALSE),"-")</f>
        <v>-</v>
      </c>
      <c r="GD32" s="42" t="str">
        <f>IFERROR(VLOOKUP("4P09-53-00-01",pareto,18,FALSE),"-")</f>
        <v>-</v>
      </c>
      <c r="GE32" s="20"/>
      <c r="GF32" s="20"/>
      <c r="GG32" s="20"/>
      <c r="GH32" s="228" t="str">
        <f>IFERROR(VLOOKUP("4P09-54-00-01",pareto,18,FALSE),"-")</f>
        <v>-</v>
      </c>
    </row>
    <row r="33" spans="3:190" ht="12" customHeight="1" thickTop="1" thickBot="1" x14ac:dyDescent="0.3">
      <c r="C33" s="270"/>
      <c r="D33" s="270"/>
      <c r="E33" s="270"/>
      <c r="F33" s="270"/>
      <c r="G33" s="270"/>
      <c r="H33" s="270"/>
      <c r="I33" s="270"/>
      <c r="J33" s="270"/>
      <c r="K33" s="270"/>
      <c r="L33" s="270"/>
      <c r="M33" s="270"/>
      <c r="N33" s="270"/>
      <c r="O33" s="270"/>
      <c r="P33" s="270"/>
      <c r="Q33" s="270"/>
      <c r="R33" s="9"/>
      <c r="S33" s="9"/>
      <c r="T33" s="9"/>
      <c r="U33" s="9"/>
      <c r="V33" s="9"/>
      <c r="W33" s="9"/>
      <c r="X33" s="9"/>
      <c r="Y33" s="9"/>
      <c r="Z33" s="9"/>
      <c r="AA33" s="271"/>
      <c r="AB33" s="271"/>
      <c r="AC33" s="271"/>
      <c r="AD33" s="271"/>
      <c r="AE33" s="271"/>
      <c r="AF33" s="271"/>
      <c r="AG33" s="271"/>
      <c r="AH33" s="271"/>
      <c r="AI33" s="271"/>
      <c r="AJ33" s="271"/>
      <c r="AK33" s="271"/>
      <c r="AL33" s="271"/>
      <c r="AM33" s="271"/>
      <c r="AN33" s="271"/>
      <c r="AO33" s="271"/>
      <c r="AP33" s="271"/>
      <c r="AQ33" s="271"/>
      <c r="AR33" s="271"/>
      <c r="AS33" s="271"/>
      <c r="AT33" s="271"/>
      <c r="AU33" s="271"/>
      <c r="AV33" s="271"/>
      <c r="AW33" s="271"/>
      <c r="AX33" s="271"/>
      <c r="AY33" s="271"/>
      <c r="AZ33" s="272"/>
      <c r="BA33" s="150" t="str">
        <f>IFERROR(VLOOKUP("2D01-15-00-02",pareto,18,FALSE),"-")</f>
        <v>-</v>
      </c>
      <c r="BB33" s="77"/>
      <c r="BC33" s="77"/>
      <c r="BD33" s="137" t="str">
        <f>IFERROR(VLOOKUP("2D01-16-04-01",pareto,18,FALSE),"-")</f>
        <v>-</v>
      </c>
      <c r="BE33" s="138" t="str">
        <f>IFERROR(VLOOKUP("2D01-16-04-04",pareto,18,FALSE),"-")</f>
        <v>-</v>
      </c>
      <c r="BF33" s="78"/>
      <c r="BG33" s="137" t="str">
        <f>IFERROR(VLOOKUP("2D02-15-04-01",pareto,18,FALSE),"-")</f>
        <v>-</v>
      </c>
      <c r="BH33" s="138" t="str">
        <f>IFERROR(VLOOKUP("2D02-15-04-04",pareto,18,FALSE),"-")</f>
        <v>-</v>
      </c>
      <c r="BI33" s="78"/>
      <c r="BJ33" s="78"/>
      <c r="BK33" s="78"/>
      <c r="BL33" s="78"/>
      <c r="BM33" s="137" t="str">
        <f>IFERROR(VLOOKUP("2D02-16-04-01",pareto,18,FALSE),"-")</f>
        <v>-</v>
      </c>
      <c r="BN33" s="138" t="str">
        <f>IFERROR(VLOOKUP("2D02-16-04-04",pareto,18,FALSE),"-")</f>
        <v>-</v>
      </c>
      <c r="BO33" s="78"/>
      <c r="BP33" s="137" t="str">
        <f>IFERROR(VLOOKUP("2D03-15-04-01",pareto,18,FALSE),"-")</f>
        <v>-</v>
      </c>
      <c r="BQ33" s="138" t="str">
        <f>IFERROR(VLOOKUP("2D03-15-04-04",pareto,18,FALSE),"-")</f>
        <v>-</v>
      </c>
      <c r="BR33" s="77"/>
      <c r="BS33" s="77"/>
      <c r="BT33" s="20"/>
      <c r="BU33" s="20"/>
      <c r="BV33" s="20"/>
      <c r="BW33" s="20"/>
      <c r="BX33" s="20"/>
      <c r="BY33" s="20"/>
      <c r="BZ33" s="20"/>
      <c r="CA33" s="20"/>
      <c r="CB33" s="20"/>
      <c r="CC33" s="20"/>
      <c r="CD33" s="20"/>
      <c r="CE33" s="20"/>
      <c r="CF33" s="20"/>
      <c r="CG33" s="20"/>
      <c r="CH33" s="20"/>
      <c r="CI33" s="20"/>
      <c r="CJ33" s="20"/>
      <c r="CK33" s="20"/>
      <c r="CL33" s="20"/>
      <c r="CM33" s="20"/>
      <c r="CN33" s="20"/>
      <c r="CO33" s="20"/>
      <c r="CP33" s="20"/>
      <c r="CQ33" s="20"/>
      <c r="CR33" s="20"/>
      <c r="CS33" s="21"/>
      <c r="CT33" s="19"/>
      <c r="CU33" s="20"/>
      <c r="CV33" s="20"/>
      <c r="CW33" s="20"/>
      <c r="CX33" s="20"/>
      <c r="CY33" s="20"/>
      <c r="CZ33" s="20"/>
      <c r="DA33" s="20"/>
      <c r="DB33" s="20"/>
      <c r="DC33" s="20"/>
      <c r="DD33" s="20"/>
      <c r="DE33" s="20"/>
      <c r="DF33" s="20"/>
      <c r="DG33" s="20"/>
      <c r="DH33" s="20"/>
      <c r="DI33" s="20"/>
      <c r="DJ33" s="20"/>
      <c r="DK33" s="20"/>
      <c r="DL33" s="20"/>
      <c r="DM33" s="20"/>
      <c r="DN33" s="20"/>
      <c r="DO33" s="198"/>
      <c r="DP33" s="199"/>
      <c r="DQ33" s="20"/>
      <c r="DR33" s="20"/>
      <c r="DS33" s="20"/>
      <c r="DT33" s="20"/>
      <c r="DU33" s="20"/>
      <c r="DV33" s="20"/>
      <c r="DW33" s="20"/>
      <c r="DX33" s="20"/>
      <c r="DY33" s="20"/>
      <c r="DZ33" s="20"/>
      <c r="EA33" s="20"/>
      <c r="EB33" s="20"/>
      <c r="EC33" s="20"/>
      <c r="ED33" s="20"/>
      <c r="EE33" s="20"/>
      <c r="EF33" s="20"/>
      <c r="EG33" s="20"/>
      <c r="EH33" s="20"/>
      <c r="EI33" s="20"/>
      <c r="EJ33" s="20"/>
      <c r="EK33" s="20"/>
      <c r="EL33" s="20"/>
      <c r="EM33" s="20"/>
      <c r="EN33" s="20"/>
      <c r="EO33" s="21"/>
      <c r="EP33" s="40" t="str">
        <f>IFERROR(VLOOKUP("4P01-51-00-03",pareto,18,FALSE),"-")</f>
        <v>-</v>
      </c>
      <c r="EQ33" s="20"/>
      <c r="ER33" s="20"/>
      <c r="ES33" s="20"/>
      <c r="ET33" s="217" t="str">
        <f>IFERROR(VLOOKUP("4P01-52-00-03",pareto,18,FALSE),"-")</f>
        <v>-</v>
      </c>
      <c r="EU33" s="40" t="str">
        <f>IFERROR(VLOOKUP("4P02-51-00-03",pareto,18,FALSE),"-")</f>
        <v>-</v>
      </c>
      <c r="EV33" s="20"/>
      <c r="EW33" s="20"/>
      <c r="EX33" s="20"/>
      <c r="EY33" s="217" t="str">
        <f>IFERROR(VLOOKUP("4P02-52-00-03",pareto,18,FALSE),"-")</f>
        <v>-</v>
      </c>
      <c r="EZ33" s="40" t="str">
        <f>IFERROR(VLOOKUP("4P03-51-00-03",pareto,18,FALSE),"-")</f>
        <v>-</v>
      </c>
      <c r="FA33" s="20"/>
      <c r="FB33" s="20"/>
      <c r="FC33" s="20"/>
      <c r="FD33" s="217" t="str">
        <f>IFERROR(VLOOKUP("4P03-52-00-03",pareto,18,FALSE),"-")</f>
        <v>-</v>
      </c>
      <c r="FE33" s="40" t="str">
        <f>IFERROR(VLOOKUP("4P04-51-00-03",pareto,18,FALSE),"-")</f>
        <v>-</v>
      </c>
      <c r="FF33" s="20"/>
      <c r="FG33" s="20"/>
      <c r="FH33" s="20"/>
      <c r="FI33" s="217" t="str">
        <f>IFERROR(VLOOKUP("4P04-52-00-03",pareto,18,FALSE),"-")</f>
        <v>-</v>
      </c>
      <c r="FJ33" s="40" t="str">
        <f>IFERROR(VLOOKUP("4P05-51-00-03",pareto,18,FALSE),"-")</f>
        <v>-</v>
      </c>
      <c r="FK33" s="20"/>
      <c r="FL33" s="20"/>
      <c r="FM33" s="20"/>
      <c r="FN33" s="217" t="str">
        <f>IFERROR(VLOOKUP("4P05-52-00-03",pareto,18,FALSE),"-")</f>
        <v>-</v>
      </c>
      <c r="FO33" s="40" t="str">
        <f>IFERROR(VLOOKUP("4P06-51-00-03",pareto,18,FALSE),"-")</f>
        <v>-</v>
      </c>
      <c r="FP33" s="20"/>
      <c r="FQ33" s="20"/>
      <c r="FR33" s="20"/>
      <c r="FS33" s="217" t="str">
        <f>IFERROR(VLOOKUP("4P06-52-00-03",pareto,18,FALSE),"-")</f>
        <v>-</v>
      </c>
      <c r="FT33" s="40" t="str">
        <f>IFERROR(VLOOKUP("4P07-51-00-03",pareto,18,FALSE),"-")</f>
        <v>-</v>
      </c>
      <c r="FU33" s="20"/>
      <c r="FV33" s="20"/>
      <c r="FW33" s="20"/>
      <c r="FX33" s="217" t="str">
        <f>IFERROR(VLOOKUP("4P07-52-00-03",pareto,18,FALSE),"-")</f>
        <v>-</v>
      </c>
      <c r="FY33" s="40" t="str">
        <f>IFERROR(VLOOKUP("4P08-51-00-03",pareto,18,FALSE),"-")</f>
        <v>-</v>
      </c>
      <c r="FZ33" s="20"/>
      <c r="GA33" s="20"/>
      <c r="GB33" s="20"/>
      <c r="GC33" s="217" t="str">
        <f>IFERROR(VLOOKUP("4P08-52-00-03",pareto,18,FALSE),"-")</f>
        <v>-</v>
      </c>
      <c r="GD33" s="40" t="str">
        <f>IFERROR(VLOOKUP("4P09-51-00-03",pareto,18,FALSE),"-")</f>
        <v>-</v>
      </c>
      <c r="GE33" s="20"/>
      <c r="GF33" s="20"/>
      <c r="GG33" s="226"/>
      <c r="GH33" s="217" t="str">
        <f>IFERROR(VLOOKUP("4P09-52-00-03",pareto,18,FALSE),"-")</f>
        <v>-</v>
      </c>
    </row>
    <row r="34" spans="3:190" ht="12" customHeight="1" thickTop="1" thickBot="1" x14ac:dyDescent="0.3">
      <c r="C34" s="270"/>
      <c r="D34" s="270"/>
      <c r="E34" s="270"/>
      <c r="F34" s="270"/>
      <c r="G34" s="270"/>
      <c r="H34" s="270"/>
      <c r="I34" s="270"/>
      <c r="J34" s="270"/>
      <c r="K34" s="270"/>
      <c r="L34" s="270"/>
      <c r="M34" s="270"/>
      <c r="N34" s="270"/>
      <c r="O34" s="270"/>
      <c r="P34" s="270"/>
      <c r="Q34" s="270"/>
      <c r="R34" s="9"/>
      <c r="S34" s="9"/>
      <c r="T34" s="9"/>
      <c r="U34" s="9"/>
      <c r="V34" s="9"/>
      <c r="W34" s="9"/>
      <c r="X34" s="9"/>
      <c r="Y34" s="9"/>
      <c r="Z34" s="9"/>
      <c r="AA34" s="271"/>
      <c r="AB34" s="271"/>
      <c r="AC34" s="271"/>
      <c r="AD34" s="271"/>
      <c r="AE34" s="271"/>
      <c r="AF34" s="271"/>
      <c r="AG34" s="271"/>
      <c r="AH34" s="271"/>
      <c r="AI34" s="271"/>
      <c r="AJ34" s="271"/>
      <c r="AK34" s="271"/>
      <c r="AL34" s="271"/>
      <c r="AM34" s="271"/>
      <c r="AN34" s="271"/>
      <c r="AO34" s="271"/>
      <c r="AP34" s="271"/>
      <c r="AQ34" s="271"/>
      <c r="AR34" s="271"/>
      <c r="AS34" s="271"/>
      <c r="AT34" s="271"/>
      <c r="AU34" s="271"/>
      <c r="AV34" s="271"/>
      <c r="AW34" s="271"/>
      <c r="AX34" s="271"/>
      <c r="AY34" s="271"/>
      <c r="AZ34" s="272"/>
      <c r="BA34" s="151" t="str">
        <f>IFERROR(VLOOKUP("2D01-15-00-01",pareto,18,FALSE),"-")</f>
        <v>-</v>
      </c>
      <c r="BB34" s="77"/>
      <c r="BC34" s="77"/>
      <c r="BD34" s="133" t="str">
        <f>IFERROR(VLOOKUP("2D01-14-04-03",pareto,18,FALSE),"-")</f>
        <v>-</v>
      </c>
      <c r="BE34" s="134" t="str">
        <f>IFERROR(VLOOKUP("2D01-14-04-06",pareto,18,FALSE),"-")</f>
        <v>-</v>
      </c>
      <c r="BF34" s="78"/>
      <c r="BG34" s="133" t="str">
        <f>IFERROR(VLOOKUP("2D02-13-04-03",pareto,18,FALSE),"-")</f>
        <v>-</v>
      </c>
      <c r="BH34" s="134" t="str">
        <f>IFERROR(VLOOKUP("2D02-13-04-06",pareto,18,FALSE),"-")</f>
        <v>-</v>
      </c>
      <c r="BI34" s="78"/>
      <c r="BJ34" s="78"/>
      <c r="BK34" s="78"/>
      <c r="BL34" s="78"/>
      <c r="BM34" s="133" t="str">
        <f>IFERROR(VLOOKUP("2D02-14-04-03",pareto,18,FALSE),"-")</f>
        <v>-</v>
      </c>
      <c r="BN34" s="134" t="str">
        <f>IFERROR(VLOOKUP("2D02-14-04-06",pareto,18,FALSE),"-")</f>
        <v>-</v>
      </c>
      <c r="BO34" s="78"/>
      <c r="BP34" s="133" t="str">
        <f>IFERROR(VLOOKUP("2D03-13-04-03",pareto,18,FALSE),"-")</f>
        <v>-</v>
      </c>
      <c r="BQ34" s="134" t="str">
        <f>IFERROR(VLOOKUP("2D03-13-04-06",pareto,18,FALSE),"-")</f>
        <v>-</v>
      </c>
      <c r="BR34" s="77"/>
      <c r="BS34" s="77">
        <v>3</v>
      </c>
      <c r="BT34" s="133" t="str">
        <f>IFERROR(VLOOKUP("2H03-02-00-01",pareto,18,FALSE),"-")</f>
        <v>-</v>
      </c>
      <c r="BU34" s="140" t="str">
        <f>IFERROR(VLOOKUP("2H03-02-00-02",pareto,18,FALSE),"-")</f>
        <v>-</v>
      </c>
      <c r="BV34" s="134" t="str">
        <f>IFERROR(VLOOKUP("2H03-02-00-03",pareto,18,FALSE),"-")</f>
        <v>-</v>
      </c>
      <c r="BW34" s="133" t="str">
        <f>IFERROR(VLOOKUP("2H03-04-00-01",pareto,18,FALSE),"-")</f>
        <v>-</v>
      </c>
      <c r="BX34" s="140" t="str">
        <f>IFERROR(VLOOKUP("2H03-04-00-02",pareto,18,FALSE),"-")</f>
        <v>-</v>
      </c>
      <c r="BY34" s="134" t="str">
        <f>IFERROR(VLOOKUP("2H03-04-00-03",pareto,18,FALSE),"-")</f>
        <v>-</v>
      </c>
      <c r="BZ34" s="133" t="str">
        <f>IFERROR(VLOOKUP("2H03-06-00-01",pareto,18,FALSE),"-")</f>
        <v>-</v>
      </c>
      <c r="CA34" s="140" t="str">
        <f>IFERROR(VLOOKUP("2H03-06-00-02",pareto,18,FALSE),"-")</f>
        <v>-</v>
      </c>
      <c r="CB34" s="134" t="str">
        <f>IFERROR(VLOOKUP("2H03-06-00-03",pareto,18,FALSE),"-")</f>
        <v>-</v>
      </c>
      <c r="CC34" s="133" t="str">
        <f>IFERROR(VLOOKUP("2H03-08-00-01",pareto,18,FALSE),"-")</f>
        <v>-</v>
      </c>
      <c r="CD34" s="140" t="str">
        <f>IFERROR(VLOOKUP("2H03-08-00-02",pareto,18,FALSE),"-")</f>
        <v>-</v>
      </c>
      <c r="CE34" s="134" t="str">
        <f>IFERROR(VLOOKUP("2H03-08-00-03",pareto,18,FALSE),"-")</f>
        <v>-</v>
      </c>
      <c r="CF34" s="133" t="str">
        <f>IFERROR(VLOOKUP("2H03-10-00-01",pareto,18,FALSE),"-")</f>
        <v>-</v>
      </c>
      <c r="CG34" s="140" t="str">
        <f>IFERROR(VLOOKUP("2H03-10-00-02",pareto,18,FALSE),"-")</f>
        <v>-</v>
      </c>
      <c r="CH34" s="134" t="str">
        <f>IFERROR(VLOOKUP("2H03-10-00-03",pareto,18,FALSE),"-")</f>
        <v>-</v>
      </c>
      <c r="CI34" s="133" t="str">
        <f>IFERROR(VLOOKUP("2H03-12-00-01",pareto,18,FALSE),"-")</f>
        <v>-</v>
      </c>
      <c r="CJ34" s="140" t="str">
        <f>IFERROR(VLOOKUP("2H03-12-00-02",pareto,18,FALSE),"-")</f>
        <v>-</v>
      </c>
      <c r="CK34" s="134" t="str">
        <f>IFERROR(VLOOKUP("2H03-12-00-03",pareto,18,FALSE),"-")</f>
        <v>-</v>
      </c>
      <c r="CL34" s="133" t="str">
        <f>IFERROR(VLOOKUP("2H03-14-00-01",pareto,18,FALSE),"-")</f>
        <v>-</v>
      </c>
      <c r="CM34" s="140" t="str">
        <f>IFERROR(VLOOKUP("2H03-14-00-02",pareto,18,FALSE),"-")</f>
        <v>-</v>
      </c>
      <c r="CN34" s="134" t="str">
        <f>IFERROR(VLOOKUP("2H03-14-00-03",pareto,18,FALSE),"-")</f>
        <v>-</v>
      </c>
      <c r="CO34" s="133" t="str">
        <f>IFERROR(VLOOKUP("2H03-16-00-01",pareto,18,FALSE),"-")</f>
        <v>-</v>
      </c>
      <c r="CP34" s="140" t="str">
        <f>IFERROR(VLOOKUP("2H03-16-00-02",pareto,18,FALSE),"-")</f>
        <v>-</v>
      </c>
      <c r="CQ34" s="134" t="str">
        <f>IFERROR(VLOOKUP("2H03-16-00-03",pareto,18,FALSE),"-")</f>
        <v>-</v>
      </c>
      <c r="CR34" s="20"/>
      <c r="CS34" s="21"/>
      <c r="CT34" s="103"/>
      <c r="CU34" s="169"/>
      <c r="CV34" s="170"/>
      <c r="CW34" s="103"/>
      <c r="CX34" s="169"/>
      <c r="CY34" s="170"/>
      <c r="CZ34" s="103"/>
      <c r="DA34" s="169"/>
      <c r="DB34" s="170"/>
      <c r="DC34" s="103"/>
      <c r="DD34" s="169"/>
      <c r="DE34" s="170"/>
      <c r="DF34" s="103"/>
      <c r="DG34" s="169"/>
      <c r="DH34" s="170"/>
      <c r="DI34" s="103"/>
      <c r="DJ34" s="169"/>
      <c r="DK34" s="170"/>
      <c r="DL34" s="20"/>
      <c r="DM34" s="20"/>
      <c r="DN34" s="20"/>
      <c r="DO34" s="85" t="s">
        <v>103</v>
      </c>
      <c r="DP34" s="201"/>
      <c r="DQ34" s="20"/>
      <c r="DR34" s="20"/>
      <c r="DS34" s="20"/>
      <c r="DT34" s="20"/>
      <c r="DU34" s="20"/>
      <c r="DV34" s="20"/>
      <c r="DW34" s="20"/>
      <c r="DX34" s="187"/>
      <c r="DY34" s="188"/>
      <c r="DZ34" s="189"/>
      <c r="EA34" s="187"/>
      <c r="EB34" s="188"/>
      <c r="EC34" s="189"/>
      <c r="ED34" s="187"/>
      <c r="EE34" s="188"/>
      <c r="EF34" s="189"/>
      <c r="EG34" s="187"/>
      <c r="EH34" s="188"/>
      <c r="EI34" s="189"/>
      <c r="EJ34" s="187"/>
      <c r="EK34" s="188"/>
      <c r="EL34" s="189"/>
      <c r="EM34" s="187"/>
      <c r="EN34" s="188"/>
      <c r="EO34" s="190"/>
      <c r="EP34" s="43" t="str">
        <f>IFERROR(VLOOKUP("4P01-51-00-02",pareto,18,FALSE),"-")</f>
        <v>-</v>
      </c>
      <c r="EQ34" s="20"/>
      <c r="ER34" s="20"/>
      <c r="ES34" s="20"/>
      <c r="ET34" s="218" t="str">
        <f>IFERROR(VLOOKUP("4P01-52-00-02",pareto,18,FALSE),"-")</f>
        <v>-</v>
      </c>
      <c r="EU34" s="41" t="str">
        <f>IFERROR(VLOOKUP("4P02-51-00-02",pareto,18,FALSE),"-")</f>
        <v>-</v>
      </c>
      <c r="EV34" s="20"/>
      <c r="EW34" s="20"/>
      <c r="EX34" s="20"/>
      <c r="EY34" s="218" t="str">
        <f>IFERROR(VLOOKUP("4P02-52-00-02",pareto,18,FALSE),"-")</f>
        <v>-</v>
      </c>
      <c r="EZ34" s="41" t="str">
        <f>IFERROR(VLOOKUP("4P03-51-00-02",pareto,18,FALSE),"-")</f>
        <v>-</v>
      </c>
      <c r="FA34" s="20"/>
      <c r="FB34" s="20"/>
      <c r="FC34" s="20"/>
      <c r="FD34" s="218" t="str">
        <f>IFERROR(VLOOKUP("4P03-52-00-02",pareto,18,FALSE),"-")</f>
        <v>-</v>
      </c>
      <c r="FE34" s="41" t="str">
        <f>IFERROR(VLOOKUP("4P04-51-00-02",pareto,18,FALSE),"-")</f>
        <v>-</v>
      </c>
      <c r="FF34" s="20"/>
      <c r="FG34" s="20"/>
      <c r="FH34" s="20"/>
      <c r="FI34" s="218" t="str">
        <f>IFERROR(VLOOKUP("4P04-52-00-02",pareto,18,FALSE),"-")</f>
        <v>-</v>
      </c>
      <c r="FJ34" s="41" t="str">
        <f>IFERROR(VLOOKUP("4P05-51-00-02",pareto,18,FALSE),"-")</f>
        <v>-</v>
      </c>
      <c r="FK34" s="20"/>
      <c r="FL34" s="20"/>
      <c r="FM34" s="20"/>
      <c r="FN34" s="218" t="str">
        <f>IFERROR(VLOOKUP("4P05-52-00-02",pareto,18,FALSE),"-")</f>
        <v>-</v>
      </c>
      <c r="FO34" s="41" t="str">
        <f>IFERROR(VLOOKUP("4P06-51-00-02",pareto,18,FALSE),"-")</f>
        <v>-</v>
      </c>
      <c r="FP34" s="20"/>
      <c r="FQ34" s="20"/>
      <c r="FR34" s="20"/>
      <c r="FS34" s="218" t="str">
        <f>IFERROR(VLOOKUP("4P06-52-00-02",pareto,18,FALSE),"-")</f>
        <v>-</v>
      </c>
      <c r="FT34" s="41" t="str">
        <f>IFERROR(VLOOKUP("4P07-51-00-02",pareto,18,FALSE),"-")</f>
        <v>-</v>
      </c>
      <c r="FU34" s="20"/>
      <c r="FV34" s="20"/>
      <c r="FW34" s="20"/>
      <c r="FX34" s="218" t="str">
        <f>IFERROR(VLOOKUP("4P07-52-00-02",pareto,18,FALSE),"-")</f>
        <v>-</v>
      </c>
      <c r="FY34" s="41" t="str">
        <f>IFERROR(VLOOKUP("4P08-51-00-02",pareto,18,FALSE),"-")</f>
        <v>-</v>
      </c>
      <c r="FZ34" s="20"/>
      <c r="GA34" s="20"/>
      <c r="GB34" s="20"/>
      <c r="GC34" s="218" t="str">
        <f>IFERROR(VLOOKUP("4P08-52-00-02",pareto,18,FALSE),"-")</f>
        <v>-</v>
      </c>
      <c r="GD34" s="41" t="str">
        <f>IFERROR(VLOOKUP("4P09-51-00-02",pareto,18,FALSE),"-")</f>
        <v>-</v>
      </c>
      <c r="GE34" s="20"/>
      <c r="GF34" s="20"/>
      <c r="GG34" s="226"/>
      <c r="GH34" s="218" t="str">
        <f>IFERROR(VLOOKUP("4P09-52-00-02",pareto,18,FALSE),"-")</f>
        <v>-</v>
      </c>
    </row>
    <row r="35" spans="3:190" ht="12" customHeight="1" thickTop="1" thickBot="1" x14ac:dyDescent="0.3">
      <c r="C35" s="270"/>
      <c r="D35" s="270"/>
      <c r="E35" s="270"/>
      <c r="F35" s="270"/>
      <c r="G35" s="270"/>
      <c r="H35" s="270"/>
      <c r="I35" s="270"/>
      <c r="J35" s="270"/>
      <c r="K35" s="270"/>
      <c r="L35" s="270"/>
      <c r="M35" s="270"/>
      <c r="N35" s="270"/>
      <c r="O35" s="270"/>
      <c r="P35" s="270"/>
      <c r="Q35" s="270"/>
      <c r="R35" s="9"/>
      <c r="S35" s="9"/>
      <c r="T35" s="9"/>
      <c r="U35" s="9"/>
      <c r="V35" s="9"/>
      <c r="W35" s="9"/>
      <c r="X35" s="9"/>
      <c r="Y35" s="9"/>
      <c r="Z35" s="9"/>
      <c r="AA35" s="271"/>
      <c r="AB35" s="271"/>
      <c r="AC35" s="271"/>
      <c r="AD35" s="271"/>
      <c r="AE35" s="271"/>
      <c r="AF35" s="271"/>
      <c r="AG35" s="271"/>
      <c r="AH35" s="271"/>
      <c r="AI35" s="271"/>
      <c r="AJ35" s="271"/>
      <c r="AK35" s="271"/>
      <c r="AL35" s="271"/>
      <c r="AM35" s="271"/>
      <c r="AN35" s="271"/>
      <c r="AO35" s="271"/>
      <c r="AP35" s="271"/>
      <c r="AQ35" s="271"/>
      <c r="AR35" s="271"/>
      <c r="AS35" s="271"/>
      <c r="AT35" s="271"/>
      <c r="AU35" s="271"/>
      <c r="AV35" s="271"/>
      <c r="AW35" s="271"/>
      <c r="AX35" s="271"/>
      <c r="AY35" s="271"/>
      <c r="AZ35" s="272"/>
      <c r="BA35" s="152" t="str">
        <f>IFERROR(VLOOKUP("2D01-13-00-03",pareto,18,FALSE),"-")</f>
        <v>-</v>
      </c>
      <c r="BB35" s="77"/>
      <c r="BC35" s="77"/>
      <c r="BD35" s="135" t="str">
        <f>IFERROR(VLOOKUP("2D01-14-04-02",pareto,18,FALSE),"-")</f>
        <v>-</v>
      </c>
      <c r="BE35" s="136" t="str">
        <f>IFERROR(VLOOKUP("2D01-14-04-05",pareto,18,FALSE),"-")</f>
        <v>-</v>
      </c>
      <c r="BF35" s="78"/>
      <c r="BG35" s="135" t="str">
        <f>IFERROR(VLOOKUP("2D02-13-04-02",pareto,18,FALSE),"-")</f>
        <v>-</v>
      </c>
      <c r="BH35" s="136" t="str">
        <f>IFERROR(VLOOKUP("2D02-13-04-05",pareto,18,FALSE),"-")</f>
        <v>-</v>
      </c>
      <c r="BI35" s="78"/>
      <c r="BJ35" s="78"/>
      <c r="BK35" s="78"/>
      <c r="BL35" s="78"/>
      <c r="BM35" s="135" t="str">
        <f>IFERROR(VLOOKUP("2D02-14-04-02",pareto,18,FALSE),"-")</f>
        <v>-</v>
      </c>
      <c r="BN35" s="136" t="str">
        <f>IFERROR(VLOOKUP("2D02-14-04-05",pareto,18,FALSE),"-")</f>
        <v>-</v>
      </c>
      <c r="BO35" s="78"/>
      <c r="BP35" s="135" t="str">
        <f>IFERROR(VLOOKUP("2D03-13-04-02",pareto,18,FALSE),"-")</f>
        <v>-</v>
      </c>
      <c r="BQ35" s="136" t="str">
        <f>IFERROR(VLOOKUP("2D03-13-04-05",pareto,18,FALSE),"-")</f>
        <v>-</v>
      </c>
      <c r="BR35" s="77"/>
      <c r="BS35" s="77">
        <v>4</v>
      </c>
      <c r="BT35" s="137" t="str">
        <f>IFERROR(VLOOKUP("2H04-01-00-01",pareto,18,FALSE),"-")</f>
        <v>-</v>
      </c>
      <c r="BU35" s="141" t="str">
        <f>IFERROR(VLOOKUP("2H04-01-00-02",pareto,18,FALSE),"-")</f>
        <v>-</v>
      </c>
      <c r="BV35" s="138" t="str">
        <f>IFERROR(VLOOKUP("2H04-01-00-03",pareto,18,FALSE),"-")</f>
        <v>-</v>
      </c>
      <c r="BW35" s="137" t="str">
        <f>IFERROR(VLOOKUP("2H04-03-00-01",pareto,18,FALSE),"-")</f>
        <v>-</v>
      </c>
      <c r="BX35" s="141" t="str">
        <f>IFERROR(VLOOKUP("2H04-03-00-02",pareto,18,FALSE),"-")</f>
        <v>-</v>
      </c>
      <c r="BY35" s="138" t="str">
        <f>IFERROR(VLOOKUP("2H04-03-00-03",pareto,18,FALSE),"-")</f>
        <v>-</v>
      </c>
      <c r="BZ35" s="137" t="str">
        <f>IFERROR(VLOOKUP("2H04-05-00-01",pareto,18,FALSE),"-")</f>
        <v>-</v>
      </c>
      <c r="CA35" s="141" t="str">
        <f>IFERROR(VLOOKUP("2H04-05-00-02",pareto,18,FALSE),"-")</f>
        <v>-</v>
      </c>
      <c r="CB35" s="138" t="str">
        <f>IFERROR(VLOOKUP("2H04-05-00-03",pareto,18,FALSE),"-")</f>
        <v>-</v>
      </c>
      <c r="CC35" s="137" t="str">
        <f>IFERROR(VLOOKUP("2H04-07-00-01",pareto,18,FALSE),"-")</f>
        <v>-</v>
      </c>
      <c r="CD35" s="141" t="str">
        <f>IFERROR(VLOOKUP("2H04-07-00-02",pareto,18,FALSE),"-")</f>
        <v>-</v>
      </c>
      <c r="CE35" s="138" t="str">
        <f>IFERROR(VLOOKUP("2H04-07-00-03",pareto,18,FALSE),"-")</f>
        <v>-</v>
      </c>
      <c r="CF35" s="137" t="str">
        <f>IFERROR(VLOOKUP("2H04-09-00-01",pareto,18,FALSE),"-")</f>
        <v>-</v>
      </c>
      <c r="CG35" s="141" t="str">
        <f>IFERROR(VLOOKUP("2H04-09-00-02",pareto,18,FALSE),"-")</f>
        <v>-</v>
      </c>
      <c r="CH35" s="138" t="str">
        <f>IFERROR(VLOOKUP("2H04-09-00-03",pareto,18,FALSE),"-")</f>
        <v>-</v>
      </c>
      <c r="CI35" s="137" t="str">
        <f>IFERROR(VLOOKUP("2H04-11-00-01",pareto,18,FALSE),"-")</f>
        <v>-</v>
      </c>
      <c r="CJ35" s="141" t="str">
        <f>IFERROR(VLOOKUP("2H04-11-00-02",pareto,18,FALSE),"-")</f>
        <v>-</v>
      </c>
      <c r="CK35" s="138" t="str">
        <f>IFERROR(VLOOKUP("2H04-11-00-03",pareto,18,FALSE),"-")</f>
        <v>-</v>
      </c>
      <c r="CL35" s="137" t="str">
        <f>IFERROR(VLOOKUP("2H04-13-00-01",pareto,18,FALSE),"-")</f>
        <v>-</v>
      </c>
      <c r="CM35" s="141" t="str">
        <f>IFERROR(VLOOKUP("2H04-13-00-02",pareto,18,FALSE),"-")</f>
        <v>-</v>
      </c>
      <c r="CN35" s="138" t="str">
        <f>IFERROR(VLOOKUP("2H04-13-00-03",pareto,18,FALSE),"-")</f>
        <v>-</v>
      </c>
      <c r="CO35" s="137" t="str">
        <f>IFERROR(VLOOKUP("2H04-15-00-01",pareto,18,FALSE),"-")</f>
        <v>-</v>
      </c>
      <c r="CP35" s="141" t="str">
        <f>IFERROR(VLOOKUP("2H04-15-00-02",pareto,18,FALSE),"-")</f>
        <v>-</v>
      </c>
      <c r="CQ35" s="138" t="str">
        <f>IFERROR(VLOOKUP("2H04-15-00-03",pareto,18,FALSE),"-")</f>
        <v>-</v>
      </c>
      <c r="CR35" s="20"/>
      <c r="CS35" s="21"/>
      <c r="CT35" s="107"/>
      <c r="CU35" s="171"/>
      <c r="CV35" s="172"/>
      <c r="CW35" s="107"/>
      <c r="CX35" s="171"/>
      <c r="CY35" s="172"/>
      <c r="CZ35" s="107"/>
      <c r="DA35" s="171"/>
      <c r="DB35" s="172"/>
      <c r="DC35" s="107"/>
      <c r="DD35" s="171"/>
      <c r="DE35" s="172"/>
      <c r="DF35" s="107"/>
      <c r="DG35" s="171"/>
      <c r="DH35" s="172"/>
      <c r="DI35" s="107"/>
      <c r="DJ35" s="171"/>
      <c r="DK35" s="172"/>
      <c r="DL35" s="20"/>
      <c r="DM35" s="20"/>
      <c r="DN35" s="20"/>
      <c r="DO35" s="86" t="s">
        <v>103</v>
      </c>
      <c r="DP35" s="197"/>
      <c r="DQ35" s="20"/>
      <c r="DR35" s="20"/>
      <c r="DS35" s="20"/>
      <c r="DT35" s="20"/>
      <c r="DU35" s="20"/>
      <c r="DV35" s="20"/>
      <c r="DW35" s="20"/>
      <c r="DX35" s="184"/>
      <c r="DY35" s="179"/>
      <c r="DZ35" s="180"/>
      <c r="EA35" s="184"/>
      <c r="EB35" s="179"/>
      <c r="EC35" s="180"/>
      <c r="ED35" s="184"/>
      <c r="EE35" s="179"/>
      <c r="EF35" s="180"/>
      <c r="EG35" s="184"/>
      <c r="EH35" s="179"/>
      <c r="EI35" s="180"/>
      <c r="EJ35" s="184"/>
      <c r="EK35" s="179"/>
      <c r="EL35" s="180"/>
      <c r="EM35" s="184"/>
      <c r="EN35" s="179"/>
      <c r="EO35" s="186"/>
      <c r="EP35" s="42" t="str">
        <f>IFERROR(VLOOKUP("4P01-51-00-01",pareto,18,FALSE),"-")</f>
        <v>-</v>
      </c>
      <c r="EQ35" s="20"/>
      <c r="ER35" s="20"/>
      <c r="ES35" s="20"/>
      <c r="ET35" s="219" t="str">
        <f>IFERROR(VLOOKUP("4P01-52-00-01",pareto,18,FALSE),"-")</f>
        <v>-</v>
      </c>
      <c r="EU35" s="42" t="str">
        <f>IFERROR(VLOOKUP("4P02-51-00-01",pareto,18,FALSE),"-")</f>
        <v>-</v>
      </c>
      <c r="EV35" s="20"/>
      <c r="EW35" s="20"/>
      <c r="EX35" s="20"/>
      <c r="EY35" s="219" t="str">
        <f>IFERROR(VLOOKUP("4P02-52-00-01",pareto,18,FALSE),"-")</f>
        <v>-</v>
      </c>
      <c r="EZ35" s="42" t="str">
        <f>IFERROR(VLOOKUP("4P03-51-00-01",pareto,18,FALSE),"-")</f>
        <v>-</v>
      </c>
      <c r="FA35" s="20"/>
      <c r="FB35" s="20"/>
      <c r="FC35" s="20"/>
      <c r="FD35" s="219" t="str">
        <f>IFERROR(VLOOKUP("4P03-52-00-01",pareto,18,FALSE),"-")</f>
        <v>-</v>
      </c>
      <c r="FE35" s="42" t="str">
        <f>IFERROR(VLOOKUP("4P04-51-00-01",pareto,18,FALSE),"-")</f>
        <v>-</v>
      </c>
      <c r="FF35" s="20"/>
      <c r="FG35" s="20"/>
      <c r="FH35" s="20"/>
      <c r="FI35" s="219" t="str">
        <f>IFERROR(VLOOKUP("4P04-52-00-01",pareto,18,FALSE),"-")</f>
        <v>-</v>
      </c>
      <c r="FJ35" s="42" t="str">
        <f>IFERROR(VLOOKUP("4P05-51-00-01",pareto,18,FALSE),"-")</f>
        <v>-</v>
      </c>
      <c r="FK35" s="20"/>
      <c r="FL35" s="20"/>
      <c r="FM35" s="20"/>
      <c r="FN35" s="219" t="str">
        <f>IFERROR(VLOOKUP("4P05-52-00-01",pareto,18,FALSE),"-")</f>
        <v>-</v>
      </c>
      <c r="FO35" s="42" t="str">
        <f>IFERROR(VLOOKUP("4P06-51-00-01",pareto,18,FALSE),"-")</f>
        <v>-</v>
      </c>
      <c r="FP35" s="20"/>
      <c r="FQ35" s="20"/>
      <c r="FR35" s="20"/>
      <c r="FS35" s="219" t="str">
        <f>IFERROR(VLOOKUP("4P06-52-00-01",pareto,18,FALSE),"-")</f>
        <v>-</v>
      </c>
      <c r="FT35" s="42" t="str">
        <f>IFERROR(VLOOKUP("4P07-51-00-01",pareto,18,FALSE),"-")</f>
        <v>-</v>
      </c>
      <c r="FU35" s="20"/>
      <c r="FV35" s="20"/>
      <c r="FW35" s="20"/>
      <c r="FX35" s="219" t="str">
        <f>IFERROR(VLOOKUP("4P07-52-00-01",pareto,18,FALSE),"-")</f>
        <v>-</v>
      </c>
      <c r="FY35" s="42" t="str">
        <f>IFERROR(VLOOKUP("4P08-51-00-01",pareto,18,FALSE),"-")</f>
        <v>-</v>
      </c>
      <c r="FZ35" s="20"/>
      <c r="GA35" s="20"/>
      <c r="GB35" s="20"/>
      <c r="GC35" s="219" t="str">
        <f>IFERROR(VLOOKUP("4P08-52-00-01",pareto,18,FALSE),"-")</f>
        <v>-</v>
      </c>
      <c r="GD35" s="42" t="str">
        <f>IFERROR(VLOOKUP("4P09-51-00-01",pareto,18,FALSE),"-")</f>
        <v>-</v>
      </c>
      <c r="GE35" s="20"/>
      <c r="GF35" s="20"/>
      <c r="GG35" s="226"/>
      <c r="GH35" s="219" t="str">
        <f>IFERROR(VLOOKUP("4P09-52-00-01",pareto,18,FALSE),"-")</f>
        <v>-</v>
      </c>
    </row>
    <row r="36" spans="3:190" ht="12" customHeight="1" thickTop="1" thickBot="1" x14ac:dyDescent="0.3">
      <c r="C36" s="270"/>
      <c r="D36" s="270"/>
      <c r="E36" s="270"/>
      <c r="F36" s="270"/>
      <c r="G36" s="270"/>
      <c r="H36" s="270"/>
      <c r="I36" s="270"/>
      <c r="J36" s="270"/>
      <c r="K36" s="270"/>
      <c r="L36" s="270"/>
      <c r="M36" s="270"/>
      <c r="N36" s="270"/>
      <c r="O36" s="270"/>
      <c r="P36" s="270"/>
      <c r="Q36" s="270"/>
      <c r="R36" s="9"/>
      <c r="S36" s="9"/>
      <c r="T36" s="9"/>
      <c r="U36" s="9"/>
      <c r="V36" s="9"/>
      <c r="W36" s="9"/>
      <c r="X36" s="9"/>
      <c r="Y36" s="9"/>
      <c r="Z36" s="9"/>
      <c r="AA36" s="271"/>
      <c r="AB36" s="271"/>
      <c r="AC36" s="271"/>
      <c r="AD36" s="271"/>
      <c r="AE36" s="271"/>
      <c r="AF36" s="271"/>
      <c r="AG36" s="271"/>
      <c r="AH36" s="271"/>
      <c r="AI36" s="271"/>
      <c r="AJ36" s="271"/>
      <c r="AK36" s="271"/>
      <c r="AL36" s="271"/>
      <c r="AM36" s="271"/>
      <c r="AN36" s="271"/>
      <c r="AO36" s="271"/>
      <c r="AP36" s="271"/>
      <c r="AQ36" s="271"/>
      <c r="AR36" s="271"/>
      <c r="AS36" s="271"/>
      <c r="AT36" s="271"/>
      <c r="AU36" s="271"/>
      <c r="AV36" s="271"/>
      <c r="AW36" s="271"/>
      <c r="AX36" s="271"/>
      <c r="AY36" s="271"/>
      <c r="AZ36" s="272"/>
      <c r="BA36" s="150" t="str">
        <f>IFERROR(VLOOKUP("2D01-13-00-02",pareto,18,FALSE),"-")</f>
        <v>-</v>
      </c>
      <c r="BB36" s="77"/>
      <c r="BC36" s="77"/>
      <c r="BD36" s="137" t="str">
        <f>IFERROR(VLOOKUP("2D01-14-04-01",pareto,18,FALSE),"-")</f>
        <v>-</v>
      </c>
      <c r="BE36" s="138" t="str">
        <f>IFERROR(VLOOKUP("2D01-14-04-04",pareto,18,FALSE),"-")</f>
        <v>-</v>
      </c>
      <c r="BF36" s="78"/>
      <c r="BG36" s="137" t="str">
        <f>IFERROR(VLOOKUP("2D02-13-04-01",pareto,18,FALSE),"-")</f>
        <v>-</v>
      </c>
      <c r="BH36" s="138" t="str">
        <f>IFERROR(VLOOKUP("2D02-13-04-04",pareto,18,FALSE),"-")</f>
        <v>-</v>
      </c>
      <c r="BI36" s="78"/>
      <c r="BJ36" s="78"/>
      <c r="BK36" s="78"/>
      <c r="BL36" s="78"/>
      <c r="BM36" s="137" t="str">
        <f>IFERROR(VLOOKUP("2D02-14-04-01",pareto,18,FALSE),"-")</f>
        <v>-</v>
      </c>
      <c r="BN36" s="138" t="str">
        <f>IFERROR(VLOOKUP("2D02-14-04-04",pareto,18,FALSE),"-")</f>
        <v>-</v>
      </c>
      <c r="BO36" s="78"/>
      <c r="BP36" s="137" t="str">
        <f>IFERROR(VLOOKUP("2D03-13-04-01",pareto,18,FALSE),"-")</f>
        <v>-</v>
      </c>
      <c r="BQ36" s="138" t="str">
        <f>IFERROR(VLOOKUP("2D03-13-04-04",pareto,18,FALSE),"-")</f>
        <v>-</v>
      </c>
      <c r="BR36" s="77"/>
      <c r="BS36" s="77"/>
      <c r="BT36" s="20"/>
      <c r="BU36" s="20"/>
      <c r="BV36" s="20"/>
      <c r="BW36" s="20"/>
      <c r="BX36" s="20"/>
      <c r="BY36" s="20"/>
      <c r="BZ36" s="20"/>
      <c r="CA36" s="20"/>
      <c r="CB36" s="20"/>
      <c r="CC36" s="20"/>
      <c r="CD36" s="20"/>
      <c r="CE36" s="20"/>
      <c r="CF36" s="20"/>
      <c r="CG36" s="20"/>
      <c r="CH36" s="20"/>
      <c r="CI36" s="20"/>
      <c r="CJ36" s="20"/>
      <c r="CK36" s="20"/>
      <c r="CL36" s="20"/>
      <c r="CM36" s="20"/>
      <c r="CN36" s="20"/>
      <c r="CO36" s="20"/>
      <c r="CP36" s="20"/>
      <c r="CQ36" s="20"/>
      <c r="CR36" s="20"/>
      <c r="CS36" s="21"/>
      <c r="CT36" s="19"/>
      <c r="CU36" s="20"/>
      <c r="CV36" s="20"/>
      <c r="CW36" s="20"/>
      <c r="CX36" s="20"/>
      <c r="CY36" s="20"/>
      <c r="CZ36" s="20"/>
      <c r="DA36" s="20"/>
      <c r="DB36" s="20"/>
      <c r="DC36" s="20"/>
      <c r="DD36" s="20"/>
      <c r="DE36" s="20"/>
      <c r="DF36" s="20"/>
      <c r="DG36" s="20"/>
      <c r="DH36" s="20"/>
      <c r="DI36" s="20"/>
      <c r="DJ36" s="20"/>
      <c r="DK36" s="20"/>
      <c r="DL36" s="20"/>
      <c r="DM36" s="20"/>
      <c r="DN36" s="20"/>
      <c r="DO36" s="198"/>
      <c r="DP36" s="199"/>
      <c r="DQ36" s="20"/>
      <c r="DR36" s="20"/>
      <c r="DS36" s="20"/>
      <c r="DT36" s="20"/>
      <c r="DU36" s="20"/>
      <c r="DV36" s="20"/>
      <c r="DW36" s="20"/>
      <c r="DX36" s="20"/>
      <c r="DY36" s="20"/>
      <c r="DZ36" s="20"/>
      <c r="EA36" s="20"/>
      <c r="EB36" s="20"/>
      <c r="EC36" s="20"/>
      <c r="ED36" s="20"/>
      <c r="EE36" s="20"/>
      <c r="EF36" s="20"/>
      <c r="EG36" s="20"/>
      <c r="EH36" s="20"/>
      <c r="EI36" s="20"/>
      <c r="EJ36" s="20"/>
      <c r="EK36" s="20"/>
      <c r="EL36" s="20"/>
      <c r="EM36" s="20"/>
      <c r="EN36" s="20"/>
      <c r="EO36" s="21"/>
      <c r="EP36" s="40" t="str">
        <f>IFERROR(VLOOKUP("4P01-49-00-03",pareto,18,FALSE),"-")</f>
        <v>-</v>
      </c>
      <c r="EQ36" s="20"/>
      <c r="ER36" s="20"/>
      <c r="ES36" s="20"/>
      <c r="ET36" s="217" t="str">
        <f>IFERROR(VLOOKUP("4P01-50-00-03",pareto,18,FALSE),"-")</f>
        <v>-</v>
      </c>
      <c r="EU36" s="40" t="str">
        <f>IFERROR(VLOOKUP("4P02-49-00-03",pareto,18,FALSE),"-")</f>
        <v>-</v>
      </c>
      <c r="EV36" s="20"/>
      <c r="EW36" s="20"/>
      <c r="EX36" s="20"/>
      <c r="EY36" s="217" t="str">
        <f>IFERROR(VLOOKUP("4P02-50-00-03",pareto,18,FALSE),"-")</f>
        <v>-</v>
      </c>
      <c r="EZ36" s="40" t="str">
        <f>IFERROR(VLOOKUP("4P03-49-00-03",pareto,18,FALSE),"-")</f>
        <v>-</v>
      </c>
      <c r="FA36" s="20"/>
      <c r="FB36" s="20"/>
      <c r="FC36" s="20"/>
      <c r="FD36" s="217" t="str">
        <f>IFERROR(VLOOKUP("4P03-50-00-03",pareto,18,FALSE),"-")</f>
        <v>-</v>
      </c>
      <c r="FE36" s="40" t="str">
        <f>IFERROR(VLOOKUP("4P04-49-00-03",pareto,18,FALSE),"-")</f>
        <v>-</v>
      </c>
      <c r="FF36" s="20"/>
      <c r="FG36" s="20"/>
      <c r="FH36" s="20"/>
      <c r="FI36" s="217" t="str">
        <f>IFERROR(VLOOKUP("4P04-50-00-03",pareto,18,FALSE),"-")</f>
        <v>-</v>
      </c>
      <c r="FJ36" s="40" t="str">
        <f>IFERROR(VLOOKUP("4P05-49-00-03",pareto,18,FALSE),"-")</f>
        <v>-</v>
      </c>
      <c r="FK36" s="20"/>
      <c r="FL36" s="20"/>
      <c r="FM36" s="20"/>
      <c r="FN36" s="217" t="str">
        <f>IFERROR(VLOOKUP("4P05-50-00-03",pareto,18,FALSE),"-")</f>
        <v>-</v>
      </c>
      <c r="FO36" s="40" t="str">
        <f>IFERROR(VLOOKUP("4P06-49-00-03",pareto,18,FALSE),"-")</f>
        <v>-</v>
      </c>
      <c r="FP36" s="20"/>
      <c r="FQ36" s="20"/>
      <c r="FR36" s="20"/>
      <c r="FS36" s="217" t="str">
        <f>IFERROR(VLOOKUP("4P06-50-00-03",pareto,18,FALSE),"-")</f>
        <v>-</v>
      </c>
      <c r="FT36" s="40" t="str">
        <f>IFERROR(VLOOKUP("4P07-49-00-03",pareto,18,FALSE),"-")</f>
        <v>-</v>
      </c>
      <c r="FU36" s="20"/>
      <c r="FV36" s="20"/>
      <c r="FW36" s="20"/>
      <c r="FX36" s="217" t="str">
        <f>IFERROR(VLOOKUP("4P07-50-00-03",pareto,18,FALSE),"-")</f>
        <v>-</v>
      </c>
      <c r="FY36" s="40" t="str">
        <f>IFERROR(VLOOKUP("4P08-49-00-03",pareto,18,FALSE),"-")</f>
        <v>-</v>
      </c>
      <c r="FZ36" s="20"/>
      <c r="GA36" s="20"/>
      <c r="GB36" s="20"/>
      <c r="GC36" s="217" t="str">
        <f>IFERROR(VLOOKUP("4P08-50-00-03",pareto,18,FALSE),"-")</f>
        <v>-</v>
      </c>
      <c r="GD36" s="40" t="str">
        <f>IFERROR(VLOOKUP("4P09-49-00-03",pareto,18,FALSE),"-")</f>
        <v>-</v>
      </c>
      <c r="GE36" s="20"/>
      <c r="GF36" s="20"/>
      <c r="GG36" s="20"/>
      <c r="GH36" s="224" t="str">
        <f>IFERROR(VLOOKUP("4P09-50-00-03",pareto,18,FALSE),"-")</f>
        <v>-</v>
      </c>
    </row>
    <row r="37" spans="3:190" ht="12" customHeight="1" thickTop="1" thickBot="1" x14ac:dyDescent="0.3">
      <c r="C37" s="270"/>
      <c r="D37" s="270"/>
      <c r="E37" s="270"/>
      <c r="F37" s="270"/>
      <c r="G37" s="270"/>
      <c r="H37" s="270"/>
      <c r="I37" s="270"/>
      <c r="J37" s="270"/>
      <c r="K37" s="270"/>
      <c r="L37" s="270"/>
      <c r="M37" s="270"/>
      <c r="N37" s="270"/>
      <c r="O37" s="270"/>
      <c r="P37" s="270"/>
      <c r="Q37" s="270"/>
      <c r="R37" s="9"/>
      <c r="S37" s="9"/>
      <c r="T37" s="9"/>
      <c r="U37" s="9"/>
      <c r="V37" s="9"/>
      <c r="W37" s="9"/>
      <c r="X37" s="9"/>
      <c r="Y37" s="9"/>
      <c r="Z37" s="9"/>
      <c r="AA37" s="271"/>
      <c r="AB37" s="271"/>
      <c r="AC37" s="271"/>
      <c r="AD37" s="271"/>
      <c r="AE37" s="271"/>
      <c r="AF37" s="271"/>
      <c r="AG37" s="271"/>
      <c r="AH37" s="271"/>
      <c r="AI37" s="271"/>
      <c r="AJ37" s="271"/>
      <c r="AK37" s="271"/>
      <c r="AL37" s="271"/>
      <c r="AM37" s="271"/>
      <c r="AN37" s="271"/>
      <c r="AO37" s="271"/>
      <c r="AP37" s="271"/>
      <c r="AQ37" s="271"/>
      <c r="AR37" s="271"/>
      <c r="AS37" s="271"/>
      <c r="AT37" s="271"/>
      <c r="AU37" s="271"/>
      <c r="AV37" s="271"/>
      <c r="AW37" s="271"/>
      <c r="AX37" s="271"/>
      <c r="AY37" s="271"/>
      <c r="AZ37" s="272"/>
      <c r="BA37" s="151" t="str">
        <f>IFERROR(VLOOKUP("2D01-13-00-01",pareto,18,FALSE),"-")</f>
        <v>-</v>
      </c>
      <c r="BB37" s="77"/>
      <c r="BC37" s="77"/>
      <c r="BD37" s="133" t="str">
        <f>IFERROR(VLOOKUP("2D01-12-04-03",pareto,18,FALSE),"-")</f>
        <v>-</v>
      </c>
      <c r="BE37" s="134" t="str">
        <f>IFERROR(VLOOKUP("2D01-12-04-06",pareto,18,FALSE),"-")</f>
        <v>-</v>
      </c>
      <c r="BF37" s="78"/>
      <c r="BG37" s="133" t="str">
        <f>IFERROR(VLOOKUP("2D02-11-04-03",pareto,18,FALSE),"-")</f>
        <v>-</v>
      </c>
      <c r="BH37" s="134" t="str">
        <f>IFERROR(VLOOKUP("2D02-11-04-06",pareto,18,FALSE),"-")</f>
        <v>-</v>
      </c>
      <c r="BI37" s="78"/>
      <c r="BJ37" s="78"/>
      <c r="BK37" s="78"/>
      <c r="BL37" s="78"/>
      <c r="BM37" s="133" t="str">
        <f>IFERROR(VLOOKUP("2D02-12-04-03",pareto,18,FALSE),"-")</f>
        <v>-</v>
      </c>
      <c r="BN37" s="134" t="str">
        <f>IFERROR(VLOOKUP("2D02-12-04-06",pareto,18,FALSE),"-")</f>
        <v>-</v>
      </c>
      <c r="BO37" s="78"/>
      <c r="BP37" s="133" t="str">
        <f>IFERROR(VLOOKUP("2D03-11-04-03",pareto,18,FALSE),"-")</f>
        <v>-</v>
      </c>
      <c r="BQ37" s="134" t="str">
        <f>IFERROR(VLOOKUP("2D03-11-04-06",pareto,18,FALSE),"-")</f>
        <v>-</v>
      </c>
      <c r="BR37" s="77"/>
      <c r="BS37" s="77"/>
      <c r="BT37" s="20"/>
      <c r="BU37" s="20"/>
      <c r="BV37" s="20"/>
      <c r="BW37" s="20"/>
      <c r="BX37" s="20"/>
      <c r="BY37" s="20"/>
      <c r="BZ37" s="20"/>
      <c r="CA37" s="20"/>
      <c r="CB37" s="20"/>
      <c r="CC37" s="20"/>
      <c r="CD37" s="20"/>
      <c r="CE37" s="20"/>
      <c r="CF37" s="20"/>
      <c r="CG37" s="20"/>
      <c r="CH37" s="20"/>
      <c r="CI37" s="20"/>
      <c r="CJ37" s="20"/>
      <c r="CK37" s="20"/>
      <c r="CL37" s="20"/>
      <c r="CM37" s="20"/>
      <c r="CN37" s="20"/>
      <c r="CO37" s="20"/>
      <c r="CP37" s="20"/>
      <c r="CQ37" s="20"/>
      <c r="CR37" s="20"/>
      <c r="CS37" s="21"/>
      <c r="CT37" s="19"/>
      <c r="CU37" s="20"/>
      <c r="CV37" s="20"/>
      <c r="CW37" s="20"/>
      <c r="CX37" s="20"/>
      <c r="CY37" s="20"/>
      <c r="CZ37" s="20"/>
      <c r="DA37" s="20"/>
      <c r="DB37" s="20"/>
      <c r="DC37" s="20"/>
      <c r="DD37" s="20"/>
      <c r="DE37" s="20"/>
      <c r="DF37" s="20"/>
      <c r="DG37" s="20"/>
      <c r="DH37" s="20"/>
      <c r="DI37" s="20"/>
      <c r="DJ37" s="20"/>
      <c r="DK37" s="20"/>
      <c r="DL37" s="20"/>
      <c r="DM37" s="20"/>
      <c r="DN37" s="20"/>
      <c r="DO37" s="200"/>
      <c r="DP37" s="87" t="s">
        <v>103</v>
      </c>
      <c r="DQ37" s="20"/>
      <c r="DR37" s="20"/>
      <c r="DS37" s="20"/>
      <c r="DT37" s="20"/>
      <c r="DU37" s="20"/>
      <c r="DV37" s="20"/>
      <c r="DW37" s="20"/>
      <c r="DX37" s="20"/>
      <c r="DY37" s="20"/>
      <c r="DZ37" s="20"/>
      <c r="EA37" s="20"/>
      <c r="EB37" s="20"/>
      <c r="EC37" s="20"/>
      <c r="ED37" s="20"/>
      <c r="EE37" s="20"/>
      <c r="EF37" s="20"/>
      <c r="EG37" s="20"/>
      <c r="EH37" s="20"/>
      <c r="EI37" s="20"/>
      <c r="EJ37" s="20"/>
      <c r="EK37" s="20"/>
      <c r="EL37" s="20"/>
      <c r="EM37" s="20"/>
      <c r="EN37" s="20"/>
      <c r="EO37" s="21"/>
      <c r="EP37" s="43" t="str">
        <f>IFERROR(VLOOKUP("4P01-49-00-02",pareto,18,FALSE),"-")</f>
        <v>-</v>
      </c>
      <c r="EQ37" s="20"/>
      <c r="ER37" s="20"/>
      <c r="ES37" s="20"/>
      <c r="ET37" s="218" t="str">
        <f>IFERROR(VLOOKUP("4P01-50-00-02",pareto,18,FALSE),"-")</f>
        <v>-</v>
      </c>
      <c r="EU37" s="41" t="str">
        <f>IFERROR(VLOOKUP("4P02-49-00-02",pareto,18,FALSE),"-")</f>
        <v>-</v>
      </c>
      <c r="EV37" s="20"/>
      <c r="EW37" s="20"/>
      <c r="EX37" s="20"/>
      <c r="EY37" s="218" t="str">
        <f>IFERROR(VLOOKUP("4P02-50-00-02",pareto,18,FALSE),"-")</f>
        <v>-</v>
      </c>
      <c r="EZ37" s="41" t="str">
        <f>IFERROR(VLOOKUP("4P03-49-00-02",pareto,18,FALSE),"-")</f>
        <v>-</v>
      </c>
      <c r="FA37" s="20"/>
      <c r="FB37" s="20"/>
      <c r="FC37" s="20"/>
      <c r="FD37" s="218" t="str">
        <f>IFERROR(VLOOKUP("4P03-50-00-02",pareto,18,FALSE),"-")</f>
        <v>-</v>
      </c>
      <c r="FE37" s="41" t="str">
        <f>IFERROR(VLOOKUP("4P04-49-00-02",pareto,18,FALSE),"-")</f>
        <v>-</v>
      </c>
      <c r="FF37" s="20"/>
      <c r="FG37" s="20"/>
      <c r="FH37" s="20"/>
      <c r="FI37" s="218" t="str">
        <f>IFERROR(VLOOKUP("4P04-50-00-02",pareto,18,FALSE),"-")</f>
        <v>-</v>
      </c>
      <c r="FJ37" s="41" t="str">
        <f>IFERROR(VLOOKUP("4P05-49-00-02",pareto,18,FALSE),"-")</f>
        <v>-</v>
      </c>
      <c r="FK37" s="20"/>
      <c r="FL37" s="20"/>
      <c r="FM37" s="20"/>
      <c r="FN37" s="218" t="str">
        <f>IFERROR(VLOOKUP("4P05-50-00-02",pareto,18,FALSE),"-")</f>
        <v>-</v>
      </c>
      <c r="FO37" s="41" t="str">
        <f>IFERROR(VLOOKUP("4P06-49-00-02",pareto,18,FALSE),"-")</f>
        <v>-</v>
      </c>
      <c r="FP37" s="20"/>
      <c r="FQ37" s="20"/>
      <c r="FR37" s="20"/>
      <c r="FS37" s="218" t="str">
        <f>IFERROR(VLOOKUP("4P06-50-00-02",pareto,18,FALSE),"-")</f>
        <v>-</v>
      </c>
      <c r="FT37" s="41" t="str">
        <f>IFERROR(VLOOKUP("4P07-49-00-02",pareto,18,FALSE),"-")</f>
        <v>-</v>
      </c>
      <c r="FU37" s="20"/>
      <c r="FV37" s="20"/>
      <c r="FW37" s="20"/>
      <c r="FX37" s="218" t="str">
        <f>IFERROR(VLOOKUP("4P07-50-00-02",pareto,18,FALSE),"-")</f>
        <v>-</v>
      </c>
      <c r="FY37" s="41" t="str">
        <f>IFERROR(VLOOKUP("4P08-49-00-02",pareto,18,FALSE),"-")</f>
        <v>-</v>
      </c>
      <c r="FZ37" s="20"/>
      <c r="GA37" s="20"/>
      <c r="GB37" s="20"/>
      <c r="GC37" s="218" t="str">
        <f>IFERROR(VLOOKUP("4P08-50-00-02",pareto,18,FALSE),"-")</f>
        <v>-</v>
      </c>
      <c r="GD37" s="41" t="str">
        <f>IFERROR(VLOOKUP("4P09-49-00-02",pareto,18,FALSE),"-")</f>
        <v>-</v>
      </c>
      <c r="GE37" s="20"/>
      <c r="GF37" s="20"/>
      <c r="GG37" s="20"/>
      <c r="GH37" s="227" t="str">
        <f>IFERROR(VLOOKUP("4P09-50-00-02",pareto,18,FALSE),"-")</f>
        <v>-</v>
      </c>
    </row>
    <row r="38" spans="3:190" ht="12" customHeight="1" thickTop="1" thickBot="1" x14ac:dyDescent="0.3">
      <c r="C38" s="270"/>
      <c r="D38" s="270"/>
      <c r="E38" s="270"/>
      <c r="F38" s="270"/>
      <c r="G38" s="270"/>
      <c r="H38" s="270"/>
      <c r="I38" s="270"/>
      <c r="J38" s="270"/>
      <c r="K38" s="270"/>
      <c r="L38" s="270"/>
      <c r="M38" s="270"/>
      <c r="N38" s="270"/>
      <c r="O38" s="270"/>
      <c r="P38" s="270"/>
      <c r="Q38" s="270"/>
      <c r="R38" s="9"/>
      <c r="S38" s="9"/>
      <c r="T38" s="9"/>
      <c r="U38" s="9"/>
      <c r="V38" s="9"/>
      <c r="W38" s="9"/>
      <c r="X38" s="9"/>
      <c r="Y38" s="9"/>
      <c r="Z38" s="9"/>
      <c r="AA38" s="271"/>
      <c r="AB38" s="271"/>
      <c r="AC38" s="271"/>
      <c r="AD38" s="271"/>
      <c r="AE38" s="271"/>
      <c r="AF38" s="271"/>
      <c r="AG38" s="271"/>
      <c r="AH38" s="271"/>
      <c r="AI38" s="271"/>
      <c r="AJ38" s="271"/>
      <c r="AK38" s="271"/>
      <c r="AL38" s="271"/>
      <c r="AM38" s="271"/>
      <c r="AN38" s="271"/>
      <c r="AO38" s="271"/>
      <c r="AP38" s="271"/>
      <c r="AQ38" s="271"/>
      <c r="AR38" s="271"/>
      <c r="AS38" s="271"/>
      <c r="AT38" s="271"/>
      <c r="AU38" s="271"/>
      <c r="AV38" s="271"/>
      <c r="AW38" s="271"/>
      <c r="AX38" s="271"/>
      <c r="AY38" s="271"/>
      <c r="AZ38" s="272"/>
      <c r="BA38" s="153" t="s">
        <v>103</v>
      </c>
      <c r="BB38" s="148"/>
      <c r="BC38" s="77"/>
      <c r="BD38" s="135" t="str">
        <f>IFERROR(VLOOKUP("2D01-12-04-02",pareto,18,FALSE),"-")</f>
        <v>-</v>
      </c>
      <c r="BE38" s="136" t="str">
        <f>IFERROR(VLOOKUP("2D01-12-04-05",pareto,18,FALSE),"-")</f>
        <v>-</v>
      </c>
      <c r="BF38" s="78"/>
      <c r="BG38" s="135" t="str">
        <f>IFERROR(VLOOKUP("2D02-11-04-02",pareto,18,FALSE),"-")</f>
        <v>-</v>
      </c>
      <c r="BH38" s="136" t="str">
        <f>IFERROR(VLOOKUP("2D02-11-04-05",pareto,18,FALSE),"-")</f>
        <v>-</v>
      </c>
      <c r="BI38" s="78"/>
      <c r="BJ38" s="84"/>
      <c r="BK38" s="78"/>
      <c r="BL38" s="78"/>
      <c r="BM38" s="135" t="str">
        <f>IFERROR(VLOOKUP("2D02-12-04-02",pareto,18,FALSE),"-")</f>
        <v>-</v>
      </c>
      <c r="BN38" s="136" t="str">
        <f>IFERROR(VLOOKUP("2D02-12-04-05",pareto,18,FALSE),"-")</f>
        <v>-</v>
      </c>
      <c r="BO38" s="78"/>
      <c r="BP38" s="135" t="str">
        <f>IFERROR(VLOOKUP("2D03-11-04-02",pareto,18,FALSE),"-")</f>
        <v>-</v>
      </c>
      <c r="BQ38" s="136" t="str">
        <f>IFERROR(VLOOKUP("2D03-11-04-05",pareto,18,FALSE),"-")</f>
        <v>-</v>
      </c>
      <c r="BR38" s="77"/>
      <c r="BS38" s="77"/>
      <c r="BT38" s="20"/>
      <c r="BU38" s="20"/>
      <c r="BV38" s="20"/>
      <c r="BW38" s="20"/>
      <c r="BX38" s="20"/>
      <c r="BY38" s="20"/>
      <c r="BZ38" s="20"/>
      <c r="CA38" s="20"/>
      <c r="CB38" s="20"/>
      <c r="CC38" s="20"/>
      <c r="CD38" s="20"/>
      <c r="CE38" s="20"/>
      <c r="CF38" s="20"/>
      <c r="CG38" s="20"/>
      <c r="CH38" s="20"/>
      <c r="CI38" s="20"/>
      <c r="CJ38" s="20"/>
      <c r="CK38" s="20"/>
      <c r="CL38" s="20"/>
      <c r="CM38" s="20"/>
      <c r="CN38" s="20"/>
      <c r="CO38" s="20"/>
      <c r="CP38" s="20"/>
      <c r="CQ38" s="20"/>
      <c r="CR38" s="20"/>
      <c r="CS38" s="21"/>
      <c r="CT38" s="19"/>
      <c r="CU38" s="20"/>
      <c r="CV38" s="20"/>
      <c r="CW38" s="20"/>
      <c r="CX38" s="20"/>
      <c r="CY38" s="20"/>
      <c r="CZ38" s="20"/>
      <c r="DA38" s="20"/>
      <c r="DB38" s="20"/>
      <c r="DC38" s="20"/>
      <c r="DD38" s="20"/>
      <c r="DE38" s="20"/>
      <c r="DF38" s="20"/>
      <c r="DG38" s="20"/>
      <c r="DH38" s="20"/>
      <c r="DI38" s="20"/>
      <c r="DJ38" s="20"/>
      <c r="DK38" s="20"/>
      <c r="DL38" s="20"/>
      <c r="DM38" s="20"/>
      <c r="DN38" s="20"/>
      <c r="DO38" s="196"/>
      <c r="DP38" s="88" t="s">
        <v>103</v>
      </c>
      <c r="DQ38" s="20"/>
      <c r="DR38" s="20"/>
      <c r="DS38" s="20"/>
      <c r="DT38" s="20"/>
      <c r="DU38" s="20"/>
      <c r="DV38" s="20"/>
      <c r="DW38" s="20"/>
      <c r="DX38" s="20"/>
      <c r="DY38" s="20"/>
      <c r="DZ38" s="20"/>
      <c r="EA38" s="20"/>
      <c r="EB38" s="20"/>
      <c r="EC38" s="20"/>
      <c r="ED38" s="20"/>
      <c r="EE38" s="20"/>
      <c r="EF38" s="20"/>
      <c r="EG38" s="20"/>
      <c r="EH38" s="20"/>
      <c r="EI38" s="20"/>
      <c r="EJ38" s="20"/>
      <c r="EK38" s="20"/>
      <c r="EL38" s="20"/>
      <c r="EM38" s="20"/>
      <c r="EN38" s="20"/>
      <c r="EO38" s="21"/>
      <c r="EP38" s="42" t="str">
        <f>IFERROR(VLOOKUP("4P01-49-00-01",pareto,18,FALSE),"-")</f>
        <v>-</v>
      </c>
      <c r="EQ38" s="20"/>
      <c r="ER38" s="20"/>
      <c r="ES38" s="20"/>
      <c r="ET38" s="219" t="str">
        <f>IFERROR(VLOOKUP("4P01-50-00-01",pareto,18,FALSE),"-")</f>
        <v>-</v>
      </c>
      <c r="EU38" s="42" t="str">
        <f>IFERROR(VLOOKUP("4P02-49-00-01",pareto,18,FALSE),"-")</f>
        <v>-</v>
      </c>
      <c r="EV38" s="20"/>
      <c r="EW38" s="20"/>
      <c r="EX38" s="20"/>
      <c r="EY38" s="219" t="str">
        <f>IFERROR(VLOOKUP("4P02-50-00-01",pareto,18,FALSE),"-")</f>
        <v>-</v>
      </c>
      <c r="EZ38" s="42" t="str">
        <f>IFERROR(VLOOKUP("4P03-49-00-01",pareto,18,FALSE),"-")</f>
        <v>-</v>
      </c>
      <c r="FA38" s="20"/>
      <c r="FB38" s="20"/>
      <c r="FC38" s="20"/>
      <c r="FD38" s="219" t="str">
        <f>IFERROR(VLOOKUP("4P03-50-00-01",pareto,18,FALSE),"-")</f>
        <v>-</v>
      </c>
      <c r="FE38" s="42" t="str">
        <f>IFERROR(VLOOKUP("4P04-49-00-01",pareto,18,FALSE),"-")</f>
        <v>-</v>
      </c>
      <c r="FF38" s="20"/>
      <c r="FG38" s="20"/>
      <c r="FH38" s="20"/>
      <c r="FI38" s="219" t="str">
        <f>IFERROR(VLOOKUP("4P04-50-00-01",pareto,18,FALSE),"-")</f>
        <v>-</v>
      </c>
      <c r="FJ38" s="42" t="str">
        <f>IFERROR(VLOOKUP("4P05-49-00-01",pareto,18,FALSE),"-")</f>
        <v>-</v>
      </c>
      <c r="FK38" s="20"/>
      <c r="FL38" s="20"/>
      <c r="FM38" s="20"/>
      <c r="FN38" s="219" t="str">
        <f>IFERROR(VLOOKUP("4P05-50-00-01",pareto,18,FALSE),"-")</f>
        <v>-</v>
      </c>
      <c r="FO38" s="42" t="str">
        <f>IFERROR(VLOOKUP("4P06-49-00-01",pareto,18,FALSE),"-")</f>
        <v>-</v>
      </c>
      <c r="FP38" s="20"/>
      <c r="FQ38" s="20"/>
      <c r="FR38" s="20"/>
      <c r="FS38" s="219" t="str">
        <f>IFERROR(VLOOKUP("4P06-50-00-01",pareto,18,FALSE),"-")</f>
        <v>-</v>
      </c>
      <c r="FT38" s="42" t="str">
        <f>IFERROR(VLOOKUP("4P07-49-00-01",pareto,18,FALSE),"-")</f>
        <v>-</v>
      </c>
      <c r="FU38" s="20"/>
      <c r="FV38" s="20"/>
      <c r="FW38" s="20"/>
      <c r="FX38" s="219" t="str">
        <f>IFERROR(VLOOKUP("4P07-50-00-01",pareto,18,FALSE),"-")</f>
        <v>-</v>
      </c>
      <c r="FY38" s="42" t="str">
        <f>IFERROR(VLOOKUP("4P08-49-00-01",pareto,18,FALSE),"-")</f>
        <v>-</v>
      </c>
      <c r="FZ38" s="20"/>
      <c r="GA38" s="20"/>
      <c r="GB38" s="20"/>
      <c r="GC38" s="219" t="str">
        <f>IFERROR(VLOOKUP("4P08-50-00-01",pareto,18,FALSE),"-")</f>
        <v>-</v>
      </c>
      <c r="GD38" s="42" t="str">
        <f>IFERROR(VLOOKUP("4P09-49-00-01",pareto,18,FALSE),"-")</f>
        <v>-</v>
      </c>
      <c r="GE38" s="20"/>
      <c r="GF38" s="20"/>
      <c r="GG38" s="20"/>
      <c r="GH38" s="228" t="str">
        <f>IFERROR(VLOOKUP("4P09-50-00-01",pareto,18,FALSE),"-")</f>
        <v>-</v>
      </c>
    </row>
    <row r="39" spans="3:190" ht="12" customHeight="1" thickTop="1" thickBot="1" x14ac:dyDescent="0.3">
      <c r="C39" s="270"/>
      <c r="D39" s="270"/>
      <c r="E39" s="270"/>
      <c r="F39" s="270"/>
      <c r="G39" s="270"/>
      <c r="H39" s="270"/>
      <c r="I39" s="270"/>
      <c r="J39" s="270"/>
      <c r="K39" s="270"/>
      <c r="L39" s="270"/>
      <c r="M39" s="270"/>
      <c r="N39" s="270"/>
      <c r="O39" s="270"/>
      <c r="P39" s="270"/>
      <c r="Q39" s="270"/>
      <c r="R39" s="9"/>
      <c r="S39" s="9"/>
      <c r="T39" s="9"/>
      <c r="U39" s="9"/>
      <c r="V39" s="9"/>
      <c r="W39" s="9"/>
      <c r="X39" s="9"/>
      <c r="Y39" s="9"/>
      <c r="Z39" s="9"/>
      <c r="AA39" s="271"/>
      <c r="AB39" s="271"/>
      <c r="AC39" s="271"/>
      <c r="AD39" s="271"/>
      <c r="AE39" s="271"/>
      <c r="AF39" s="271"/>
      <c r="AG39" s="271"/>
      <c r="AH39" s="271"/>
      <c r="AI39" s="271"/>
      <c r="AJ39" s="271"/>
      <c r="AK39" s="271"/>
      <c r="AL39" s="271"/>
      <c r="AM39" s="271"/>
      <c r="AN39" s="271"/>
      <c r="AO39" s="271"/>
      <c r="AP39" s="271"/>
      <c r="AQ39" s="271"/>
      <c r="AR39" s="271"/>
      <c r="AS39" s="271"/>
      <c r="AT39" s="271"/>
      <c r="AU39" s="271"/>
      <c r="AV39" s="271"/>
      <c r="AW39" s="271"/>
      <c r="AX39" s="271"/>
      <c r="AY39" s="271"/>
      <c r="AZ39" s="272"/>
      <c r="BA39" s="154" t="s">
        <v>103</v>
      </c>
      <c r="BB39" s="148"/>
      <c r="BC39" s="77"/>
      <c r="BD39" s="137" t="str">
        <f>IFERROR(VLOOKUP("2D01-12-04-01",pareto,18,FALSE),"-")</f>
        <v>-</v>
      </c>
      <c r="BE39" s="138" t="str">
        <f>IFERROR(VLOOKUP("2D01-12-04-04",pareto,18,FALSE),"-")</f>
        <v>-</v>
      </c>
      <c r="BF39" s="78"/>
      <c r="BG39" s="137" t="str">
        <f>IFERROR(VLOOKUP("2D02-11-04-01",pareto,18,FALSE),"-")</f>
        <v>-</v>
      </c>
      <c r="BH39" s="138" t="str">
        <f>IFERROR(VLOOKUP("2D02-11-04-04",pareto,18,FALSE),"-")</f>
        <v>-</v>
      </c>
      <c r="BI39" s="78"/>
      <c r="BJ39" s="78"/>
      <c r="BK39" s="78"/>
      <c r="BL39" s="78"/>
      <c r="BM39" s="137" t="str">
        <f>IFERROR(VLOOKUP("2D02-12-04-01",pareto,18,FALSE),"-")</f>
        <v>-</v>
      </c>
      <c r="BN39" s="138" t="str">
        <f>IFERROR(VLOOKUP("2D02-12-04-04",pareto,18,FALSE),"-")</f>
        <v>-</v>
      </c>
      <c r="BO39" s="78"/>
      <c r="BP39" s="137" t="str">
        <f>IFERROR(VLOOKUP("2D03-11-04-01",pareto,18,FALSE),"-")</f>
        <v>-</v>
      </c>
      <c r="BQ39" s="138" t="str">
        <f>IFERROR(VLOOKUP("2D03-11-04-04",pareto,18,FALSE),"-")</f>
        <v>-</v>
      </c>
      <c r="BR39" s="77"/>
      <c r="BS39" s="77">
        <v>4</v>
      </c>
      <c r="BT39" s="133" t="str">
        <f>IFERROR(VLOOKUP("2H04-02-00-01",pareto,18,FALSE),"-")</f>
        <v>-</v>
      </c>
      <c r="BU39" s="140" t="str">
        <f>IFERROR(VLOOKUP("2H04-02-00-02",pareto,18,FALSE),"-")</f>
        <v>-</v>
      </c>
      <c r="BV39" s="134" t="str">
        <f>IFERROR(VLOOKUP("2H04-02-00-03",pareto,18,FALSE),"-")</f>
        <v>-</v>
      </c>
      <c r="BW39" s="133" t="str">
        <f>IFERROR(VLOOKUP("2H04-04-00-01",pareto,18,FALSE),"-")</f>
        <v>-</v>
      </c>
      <c r="BX39" s="140" t="str">
        <f>IFERROR(VLOOKUP("2H04-04-00-02",pareto,18,FALSE),"-")</f>
        <v>-</v>
      </c>
      <c r="BY39" s="134" t="str">
        <f>IFERROR(VLOOKUP("2H04-04-00-03",pareto,18,FALSE),"-")</f>
        <v>-</v>
      </c>
      <c r="BZ39" s="133" t="str">
        <f>IFERROR(VLOOKUP("2H04-06-00-01",pareto,18,FALSE),"-")</f>
        <v>-</v>
      </c>
      <c r="CA39" s="140" t="str">
        <f>IFERROR(VLOOKUP("2H04-06-00-02",pareto,18,FALSE),"-")</f>
        <v>-</v>
      </c>
      <c r="CB39" s="134" t="str">
        <f>IFERROR(VLOOKUP("2H04-06-00-03",pareto,18,FALSE),"-")</f>
        <v>-</v>
      </c>
      <c r="CC39" s="142"/>
      <c r="CD39" s="143"/>
      <c r="CE39" s="134" t="str">
        <f>IFERROR(VLOOKUP("2H02-08-00-03",pareto,18,FALSE),"-")</f>
        <v>A</v>
      </c>
      <c r="CF39" s="133" t="str">
        <f>IFERROR(VLOOKUP("2H04-10-00-01",pareto,18,FALSE),"-")</f>
        <v>-</v>
      </c>
      <c r="CG39" s="140" t="str">
        <f>IFERROR(VLOOKUP("2H04-10-00-02",pareto,18,FALSE),"-")</f>
        <v>-</v>
      </c>
      <c r="CH39" s="134" t="str">
        <f>IFERROR(VLOOKUP("2H04-10-00-03",pareto,18,FALSE),"-")</f>
        <v>-</v>
      </c>
      <c r="CI39" s="133" t="str">
        <f>IFERROR(VLOOKUP("2H04-12-00-01",pareto,18,FALSE),"-")</f>
        <v>-</v>
      </c>
      <c r="CJ39" s="140" t="str">
        <f>IFERROR(VLOOKUP("2H04-12-00-02",pareto,18,FALSE),"-")</f>
        <v>-</v>
      </c>
      <c r="CK39" s="134" t="str">
        <f>IFERROR(VLOOKUP("2H04-12-00-03",pareto,18,FALSE),"-")</f>
        <v>-</v>
      </c>
      <c r="CL39" s="20"/>
      <c r="CM39" s="20"/>
      <c r="CN39" s="20"/>
      <c r="CO39" s="20"/>
      <c r="CP39" s="20"/>
      <c r="CQ39" s="20"/>
      <c r="CR39" s="20"/>
      <c r="CS39" s="21"/>
      <c r="CT39" s="103"/>
      <c r="CU39" s="169"/>
      <c r="CV39" s="170"/>
      <c r="CW39" s="103"/>
      <c r="CX39" s="169"/>
      <c r="CY39" s="170"/>
      <c r="CZ39" s="103"/>
      <c r="DA39" s="169"/>
      <c r="DB39" s="170"/>
      <c r="DC39" s="103"/>
      <c r="DD39" s="169"/>
      <c r="DE39" s="170"/>
      <c r="DF39" s="103"/>
      <c r="DG39" s="169"/>
      <c r="DH39" s="170"/>
      <c r="DI39" s="103"/>
      <c r="DJ39" s="169"/>
      <c r="DK39" s="170"/>
      <c r="DL39" s="20"/>
      <c r="DM39" s="20"/>
      <c r="DN39" s="20"/>
      <c r="DO39" s="202"/>
      <c r="DP39" s="20"/>
      <c r="DQ39" s="20"/>
      <c r="DR39" s="20"/>
      <c r="DS39" s="20"/>
      <c r="DT39" s="20"/>
      <c r="DU39" s="20"/>
      <c r="DV39" s="20"/>
      <c r="DW39" s="20"/>
      <c r="DX39" s="187"/>
      <c r="DY39" s="188"/>
      <c r="DZ39" s="189"/>
      <c r="EA39" s="187"/>
      <c r="EB39" s="188"/>
      <c r="EC39" s="189"/>
      <c r="ED39" s="187"/>
      <c r="EE39" s="188"/>
      <c r="EF39" s="189"/>
      <c r="EG39" s="187"/>
      <c r="EH39" s="188"/>
      <c r="EI39" s="189"/>
      <c r="EJ39" s="187"/>
      <c r="EK39" s="188"/>
      <c r="EL39" s="189"/>
      <c r="EM39" s="187"/>
      <c r="EN39" s="188"/>
      <c r="EO39" s="190"/>
      <c r="EP39" s="40" t="str">
        <f>IFERROR(VLOOKUP("4P01-47-00-03",pareto,18,FALSE),"-")</f>
        <v>-</v>
      </c>
      <c r="EQ39" s="20"/>
      <c r="ER39" s="20"/>
      <c r="ES39" s="20"/>
      <c r="ET39" s="217" t="str">
        <f>IFERROR(VLOOKUP("4P01-48-00-03",pareto,18,FALSE),"-")</f>
        <v>-</v>
      </c>
      <c r="EU39" s="40" t="str">
        <f>IFERROR(VLOOKUP("4P02-47-00-03",pareto,18,FALSE),"-")</f>
        <v>-</v>
      </c>
      <c r="EV39" s="20"/>
      <c r="EW39" s="20"/>
      <c r="EX39" s="20"/>
      <c r="EY39" s="217" t="str">
        <f>IFERROR(VLOOKUP("4P02-48-00-03",pareto,18,FALSE),"-")</f>
        <v>-</v>
      </c>
      <c r="EZ39" s="40" t="str">
        <f>IFERROR(VLOOKUP("4P03-47-00-03",pareto,18,FALSE),"-")</f>
        <v>-</v>
      </c>
      <c r="FA39" s="20"/>
      <c r="FB39" s="20"/>
      <c r="FC39" s="20"/>
      <c r="FD39" s="217" t="str">
        <f>IFERROR(VLOOKUP("4P03-48-00-03",pareto,18,FALSE),"-")</f>
        <v>-</v>
      </c>
      <c r="FE39" s="40" t="str">
        <f>IFERROR(VLOOKUP("4P04-47-00-03",pareto,18,FALSE),"-")</f>
        <v>-</v>
      </c>
      <c r="FF39" s="20"/>
      <c r="FG39" s="20"/>
      <c r="FH39" s="20"/>
      <c r="FI39" s="217" t="str">
        <f>IFERROR(VLOOKUP("4P04-48-00-03",pareto,18,FALSE),"-")</f>
        <v>-</v>
      </c>
      <c r="FJ39" s="40" t="str">
        <f>IFERROR(VLOOKUP("4P05-47-00-03",pareto,18,FALSE),"-")</f>
        <v>-</v>
      </c>
      <c r="FK39" s="20"/>
      <c r="FL39" s="20"/>
      <c r="FM39" s="20"/>
      <c r="FN39" s="217" t="str">
        <f>IFERROR(VLOOKUP("4P05-48-00-03",pareto,18,FALSE),"-")</f>
        <v>-</v>
      </c>
      <c r="FO39" s="40" t="str">
        <f>IFERROR(VLOOKUP("4P06-47-00-03",pareto,18,FALSE),"-")</f>
        <v>-</v>
      </c>
      <c r="FP39" s="20"/>
      <c r="FQ39" s="20"/>
      <c r="FR39" s="20"/>
      <c r="FS39" s="217" t="str">
        <f>IFERROR(VLOOKUP("4P06-48-00-03",pareto,18,FALSE),"-")</f>
        <v>-</v>
      </c>
      <c r="FT39" s="40" t="str">
        <f>IFERROR(VLOOKUP("4P07-47-00-03",pareto,18,FALSE),"-")</f>
        <v>-</v>
      </c>
      <c r="FU39" s="20"/>
      <c r="FV39" s="20"/>
      <c r="FW39" s="20"/>
      <c r="FX39" s="217" t="str">
        <f>IFERROR(VLOOKUP("4P07-48-00-03",pareto,18,FALSE),"-")</f>
        <v>-</v>
      </c>
      <c r="FY39" s="40" t="str">
        <f>IFERROR(VLOOKUP("4P08-47-00-03",pareto,18,FALSE),"-")</f>
        <v>-</v>
      </c>
      <c r="FZ39" s="20"/>
      <c r="GA39" s="20"/>
      <c r="GB39" s="20"/>
      <c r="GC39" s="217" t="str">
        <f>IFERROR(VLOOKUP("4P08-48-00-03",pareto,18,FALSE),"-")</f>
        <v>-</v>
      </c>
      <c r="GD39" s="40" t="str">
        <f>IFERROR(VLOOKUP("4P09-47-00-03",pareto,18,FALSE),"-")</f>
        <v>-</v>
      </c>
      <c r="GE39" s="20"/>
      <c r="GF39" s="20"/>
      <c r="GG39" s="20"/>
      <c r="GH39" s="224" t="str">
        <f>IFERROR(VLOOKUP("4P09-48-00-03",pareto,18,FALSE),"-")</f>
        <v>-</v>
      </c>
    </row>
    <row r="40" spans="3:190" ht="12" customHeight="1" thickTop="1" thickBot="1" x14ac:dyDescent="0.3">
      <c r="C40" s="270"/>
      <c r="D40" s="270"/>
      <c r="E40" s="270"/>
      <c r="F40" s="270"/>
      <c r="G40" s="270"/>
      <c r="H40" s="270"/>
      <c r="I40" s="270"/>
      <c r="J40" s="270"/>
      <c r="K40" s="270"/>
      <c r="L40" s="270"/>
      <c r="M40" s="270"/>
      <c r="N40" s="270"/>
      <c r="O40" s="270"/>
      <c r="P40" s="270"/>
      <c r="Q40" s="270"/>
      <c r="R40" s="9"/>
      <c r="S40" s="9"/>
      <c r="T40" s="9"/>
      <c r="U40" s="9"/>
      <c r="V40" s="9"/>
      <c r="W40" s="9"/>
      <c r="X40" s="9"/>
      <c r="Y40" s="9"/>
      <c r="Z40" s="9"/>
      <c r="AA40" s="271"/>
      <c r="AB40" s="271"/>
      <c r="AC40" s="271"/>
      <c r="AD40" s="271"/>
      <c r="AE40" s="271"/>
      <c r="AF40" s="271"/>
      <c r="AG40" s="271"/>
      <c r="AH40" s="271"/>
      <c r="AI40" s="271"/>
      <c r="AJ40" s="271"/>
      <c r="AK40" s="271"/>
      <c r="AL40" s="271"/>
      <c r="AM40" s="271"/>
      <c r="AN40" s="271"/>
      <c r="AO40" s="271"/>
      <c r="AP40" s="271"/>
      <c r="AQ40" s="271"/>
      <c r="AR40" s="271"/>
      <c r="AS40" s="271"/>
      <c r="AT40" s="271"/>
      <c r="AU40" s="271"/>
      <c r="AV40" s="271"/>
      <c r="AW40" s="271"/>
      <c r="AX40" s="271"/>
      <c r="AY40" s="271"/>
      <c r="AZ40" s="272"/>
      <c r="BA40" s="151" t="str">
        <f>IFERROR(VLOOKUP("2D01-11-00-01",pareto,18,FALSE),"-")</f>
        <v>-</v>
      </c>
      <c r="BB40" s="77"/>
      <c r="BC40" s="77"/>
      <c r="BD40" s="133" t="str">
        <f>IFERROR(VLOOKUP("2D01-10-04-03",pareto,18,FALSE),"-")</f>
        <v>-</v>
      </c>
      <c r="BE40" s="134" t="str">
        <f>IFERROR(VLOOKUP("2D01-10-04-06",pareto,18,FALSE),"-")</f>
        <v>-</v>
      </c>
      <c r="BF40" s="78"/>
      <c r="BG40" s="133" t="str">
        <f>IFERROR(VLOOKUP("2D02-09-04-03",pareto,18,FALSE),"-")</f>
        <v>-</v>
      </c>
      <c r="BH40" s="134" t="str">
        <f>IFERROR(VLOOKUP("2D02-09-04-06",pareto,18,FALSE),"-")</f>
        <v>-</v>
      </c>
      <c r="BI40" s="78"/>
      <c r="BJ40" s="78"/>
      <c r="BK40" s="78"/>
      <c r="BL40" s="78"/>
      <c r="BM40" s="133" t="str">
        <f>IFERROR(VLOOKUP("2D02-10-04-03",pareto,18,FALSE),"-")</f>
        <v>-</v>
      </c>
      <c r="BN40" s="134" t="str">
        <f>IFERROR(VLOOKUP("2D02-10-04-06",pareto,18,FALSE),"-")</f>
        <v>-</v>
      </c>
      <c r="BO40" s="78"/>
      <c r="BP40" s="133" t="str">
        <f>IFERROR(VLOOKUP("2D03-09-04-03",pareto,18,FALSE),"-")</f>
        <v>-</v>
      </c>
      <c r="BQ40" s="134" t="str">
        <f>IFERROR(VLOOKUP("2D03-09-04-06",pareto,18,FALSE),"-")</f>
        <v>-</v>
      </c>
      <c r="BR40" s="77"/>
      <c r="BS40" s="77">
        <v>5</v>
      </c>
      <c r="BT40" s="137" t="str">
        <f>IFERROR(VLOOKUP("2H05-01-00-01",pareto,18,FALSE),"-")</f>
        <v>-</v>
      </c>
      <c r="BU40" s="141" t="str">
        <f>IFERROR(VLOOKUP("2H05-01-00-02",pareto,18,FALSE),"-")</f>
        <v>-</v>
      </c>
      <c r="BV40" s="138" t="str">
        <f>IFERROR(VLOOKUP("2H05-01-00-03",pareto,18,FALSE),"-")</f>
        <v>-</v>
      </c>
      <c r="BW40" s="137" t="str">
        <f>IFERROR(VLOOKUP("2H05-03-00-01",pareto,18,FALSE),"-")</f>
        <v>-</v>
      </c>
      <c r="BX40" s="141" t="str">
        <f>IFERROR(VLOOKUP("2H05-03-00-02",pareto,18,FALSE),"-")</f>
        <v>-</v>
      </c>
      <c r="BY40" s="138" t="str">
        <f>IFERROR(VLOOKUP("2H05-03-00-03",pareto,18,FALSE),"-")</f>
        <v>-</v>
      </c>
      <c r="BZ40" s="137" t="str">
        <f>IFERROR(VLOOKUP("2H05-05-00-01",pareto,18,FALSE),"-")</f>
        <v>-</v>
      </c>
      <c r="CA40" s="141" t="str">
        <f>IFERROR(VLOOKUP("2H05-05-00-02",pareto,18,FALSE),"-")</f>
        <v>-</v>
      </c>
      <c r="CB40" s="138" t="str">
        <f>IFERROR(VLOOKUP("2H05-05-00-03",pareto,18,FALSE),"-")</f>
        <v>-</v>
      </c>
      <c r="CC40" s="137" t="str">
        <f>IFERROR(VLOOKUP("2H05-07-00-01",pareto,18,FALSE),"-")</f>
        <v>-</v>
      </c>
      <c r="CD40" s="141" t="str">
        <f>IFERROR(VLOOKUP("2H05-07-00-02",pareto,18,FALSE),"-")</f>
        <v>-</v>
      </c>
      <c r="CE40" s="138" t="str">
        <f>IFERROR(VLOOKUP("2H05-07-00-03",pareto,18,FALSE),"-")</f>
        <v>-</v>
      </c>
      <c r="CF40" s="137" t="str">
        <f>IFERROR(VLOOKUP("2H05-09-00-01",pareto,18,FALSE),"-")</f>
        <v>-</v>
      </c>
      <c r="CG40" s="141" t="str">
        <f>IFERROR(VLOOKUP("2H05-09-00-02",pareto,18,FALSE),"-")</f>
        <v>-</v>
      </c>
      <c r="CH40" s="138" t="str">
        <f>IFERROR(VLOOKUP("2H05-09-00-03",pareto,18,FALSE),"-")</f>
        <v>-</v>
      </c>
      <c r="CI40" s="137" t="str">
        <f>IFERROR(VLOOKUP("2H05-11-00-01",pareto,18,FALSE),"-")</f>
        <v>-</v>
      </c>
      <c r="CJ40" s="141" t="str">
        <f>IFERROR(VLOOKUP("2H05-11-00-02",pareto,18,FALSE),"-")</f>
        <v>-</v>
      </c>
      <c r="CK40" s="138" t="str">
        <f>IFERROR(VLOOKUP("2H05-11-00-03",pareto,18,FALSE),"-")</f>
        <v>-</v>
      </c>
      <c r="CL40" s="20"/>
      <c r="CM40" s="20"/>
      <c r="CN40" s="20"/>
      <c r="CO40" s="20"/>
      <c r="CP40" s="20"/>
      <c r="CQ40" s="20"/>
      <c r="CR40" s="20"/>
      <c r="CS40" s="21"/>
      <c r="CT40" s="107"/>
      <c r="CU40" s="171"/>
      <c r="CV40" s="172"/>
      <c r="CW40" s="107"/>
      <c r="CX40" s="171"/>
      <c r="CY40" s="172"/>
      <c r="CZ40" s="107"/>
      <c r="DA40" s="171"/>
      <c r="DB40" s="172"/>
      <c r="DC40" s="107"/>
      <c r="DD40" s="171"/>
      <c r="DE40" s="172"/>
      <c r="DF40" s="107"/>
      <c r="DG40" s="171"/>
      <c r="DH40" s="172"/>
      <c r="DI40" s="107"/>
      <c r="DJ40" s="171"/>
      <c r="DK40" s="172"/>
      <c r="DL40" s="20"/>
      <c r="DM40" s="20"/>
      <c r="DN40" s="20"/>
      <c r="DO40" s="203"/>
      <c r="DP40" s="20"/>
      <c r="DQ40" s="20"/>
      <c r="DR40" s="20"/>
      <c r="DS40" s="20"/>
      <c r="DT40" s="20"/>
      <c r="DU40" s="20"/>
      <c r="DV40" s="20"/>
      <c r="DW40" s="20"/>
      <c r="DX40" s="184"/>
      <c r="DY40" s="179"/>
      <c r="DZ40" s="180"/>
      <c r="EA40" s="184"/>
      <c r="EB40" s="179"/>
      <c r="EC40" s="180"/>
      <c r="ED40" s="184"/>
      <c r="EE40" s="179"/>
      <c r="EF40" s="180"/>
      <c r="EG40" s="184"/>
      <c r="EH40" s="179"/>
      <c r="EI40" s="180"/>
      <c r="EJ40" s="184"/>
      <c r="EK40" s="179"/>
      <c r="EL40" s="180"/>
      <c r="EM40" s="184"/>
      <c r="EN40" s="179"/>
      <c r="EO40" s="186"/>
      <c r="EP40" s="43" t="str">
        <f>IFERROR(VLOOKUP("4P01-47-00-02",pareto,18,FALSE),"-")</f>
        <v>-</v>
      </c>
      <c r="EQ40" s="20"/>
      <c r="ER40" s="20"/>
      <c r="ES40" s="20"/>
      <c r="ET40" s="218" t="str">
        <f>IFERROR(VLOOKUP("4P01-48-00-02",pareto,18,FALSE),"-")</f>
        <v>-</v>
      </c>
      <c r="EU40" s="41" t="str">
        <f>IFERROR(VLOOKUP("4P02-47-00-02",pareto,18,FALSE),"-")</f>
        <v>-</v>
      </c>
      <c r="EV40" s="20"/>
      <c r="EW40" s="20"/>
      <c r="EX40" s="20"/>
      <c r="EY40" s="218" t="str">
        <f>IFERROR(VLOOKUP("4P02-48-00-02",pareto,18,FALSE),"-")</f>
        <v>-</v>
      </c>
      <c r="EZ40" s="41" t="str">
        <f>IFERROR(VLOOKUP("4P03-47-00-02",pareto,18,FALSE),"-")</f>
        <v>-</v>
      </c>
      <c r="FA40" s="20"/>
      <c r="FB40" s="20"/>
      <c r="FC40" s="20"/>
      <c r="FD40" s="218" t="str">
        <f>IFERROR(VLOOKUP("4P03-48-00-02",pareto,18,FALSE),"-")</f>
        <v>-</v>
      </c>
      <c r="FE40" s="41" t="str">
        <f>IFERROR(VLOOKUP("4P04-47-00-02",pareto,18,FALSE),"-")</f>
        <v>-</v>
      </c>
      <c r="FF40" s="20"/>
      <c r="FG40" s="20"/>
      <c r="FH40" s="20"/>
      <c r="FI40" s="218" t="str">
        <f>IFERROR(VLOOKUP("4P04-48-00-02",pareto,18,FALSE),"-")</f>
        <v>-</v>
      </c>
      <c r="FJ40" s="41" t="str">
        <f>IFERROR(VLOOKUP("4P05-47-00-02",pareto,18,FALSE),"-")</f>
        <v>-</v>
      </c>
      <c r="FK40" s="20"/>
      <c r="FL40" s="20"/>
      <c r="FM40" s="20"/>
      <c r="FN40" s="218" t="str">
        <f>IFERROR(VLOOKUP("4P05-48-00-02",pareto,18,FALSE),"-")</f>
        <v>-</v>
      </c>
      <c r="FO40" s="41" t="str">
        <f>IFERROR(VLOOKUP("4P06-47-00-02",pareto,18,FALSE),"-")</f>
        <v>-</v>
      </c>
      <c r="FP40" s="20"/>
      <c r="FQ40" s="20"/>
      <c r="FR40" s="20"/>
      <c r="FS40" s="218" t="str">
        <f>IFERROR(VLOOKUP("4P06-48-00-02",pareto,18,FALSE),"-")</f>
        <v>-</v>
      </c>
      <c r="FT40" s="41" t="str">
        <f>IFERROR(VLOOKUP("4P07-47-00-02",pareto,18,FALSE),"-")</f>
        <v>-</v>
      </c>
      <c r="FU40" s="20"/>
      <c r="FV40" s="20"/>
      <c r="FW40" s="20"/>
      <c r="FX40" s="218" t="str">
        <f>IFERROR(VLOOKUP("4P07-48-00-02",pareto,18,FALSE),"-")</f>
        <v>-</v>
      </c>
      <c r="FY40" s="41" t="str">
        <f>IFERROR(VLOOKUP("4P08-47-00-02",pareto,18,FALSE),"-")</f>
        <v>-</v>
      </c>
      <c r="FZ40" s="20"/>
      <c r="GA40" s="20"/>
      <c r="GB40" s="20"/>
      <c r="GC40" s="218" t="str">
        <f>IFERROR(VLOOKUP("4P08-48-00-02",pareto,18,FALSE),"-")</f>
        <v>-</v>
      </c>
      <c r="GD40" s="41" t="str">
        <f>IFERROR(VLOOKUP("4P09-47-00-02",pareto,18,FALSE),"-")</f>
        <v>-</v>
      </c>
      <c r="GE40" s="20"/>
      <c r="GF40" s="20"/>
      <c r="GG40" s="20"/>
      <c r="GH40" s="227" t="str">
        <f>IFERROR(VLOOKUP("4P09-48-00-02",pareto,18,FALSE),"-")</f>
        <v>-</v>
      </c>
    </row>
    <row r="41" spans="3:190" ht="12" customHeight="1" thickTop="1" thickBot="1" x14ac:dyDescent="0.3">
      <c r="C41" s="270"/>
      <c r="D41" s="270"/>
      <c r="E41" s="270"/>
      <c r="F41" s="270"/>
      <c r="G41" s="270"/>
      <c r="H41" s="270"/>
      <c r="I41" s="270"/>
      <c r="J41" s="270"/>
      <c r="K41" s="270"/>
      <c r="L41" s="270"/>
      <c r="M41" s="270"/>
      <c r="N41" s="270"/>
      <c r="O41" s="270"/>
      <c r="P41" s="270"/>
      <c r="Q41" s="270"/>
      <c r="R41" s="9"/>
      <c r="S41" s="9"/>
      <c r="T41" s="9"/>
      <c r="U41" s="9"/>
      <c r="V41" s="9"/>
      <c r="W41" s="9"/>
      <c r="X41" s="9"/>
      <c r="Y41" s="9"/>
      <c r="Z41" s="9"/>
      <c r="AA41" s="271"/>
      <c r="AB41" s="271"/>
      <c r="AC41" s="271"/>
      <c r="AD41" s="271"/>
      <c r="AE41" s="271"/>
      <c r="AF41" s="271"/>
      <c r="AG41" s="271"/>
      <c r="AH41" s="271"/>
      <c r="AI41" s="271"/>
      <c r="AJ41" s="271"/>
      <c r="AK41" s="271"/>
      <c r="AL41" s="271"/>
      <c r="AM41" s="271"/>
      <c r="AN41" s="271"/>
      <c r="AO41" s="271"/>
      <c r="AP41" s="271"/>
      <c r="AQ41" s="271"/>
      <c r="AR41" s="271"/>
      <c r="AS41" s="271"/>
      <c r="AT41" s="271"/>
      <c r="AU41" s="271"/>
      <c r="AV41" s="271"/>
      <c r="AW41" s="271"/>
      <c r="AX41" s="271"/>
      <c r="AY41" s="271"/>
      <c r="AZ41" s="272"/>
      <c r="BA41" s="152" t="str">
        <f>IFERROR(VLOOKUP("2D01-09-00-03",pareto,18,FALSE),"-")</f>
        <v>-</v>
      </c>
      <c r="BB41" s="77"/>
      <c r="BC41" s="77"/>
      <c r="BD41" s="135" t="str">
        <f>IFERROR(VLOOKUP("2D01-10-04-02",pareto,18,FALSE),"-")</f>
        <v>-</v>
      </c>
      <c r="BE41" s="136" t="str">
        <f>IFERROR(VLOOKUP("2D01-10-04-05",pareto,18,FALSE),"-")</f>
        <v>-</v>
      </c>
      <c r="BF41" s="78"/>
      <c r="BG41" s="135" t="str">
        <f>IFERROR(VLOOKUP("2D02-09-04-02",pareto,18,FALSE),"-")</f>
        <v>-</v>
      </c>
      <c r="BH41" s="136" t="str">
        <f>IFERROR(VLOOKUP("2D02-23-04-05",pareto,18,FALSE),"-")</f>
        <v>-</v>
      </c>
      <c r="BI41" s="78"/>
      <c r="BJ41" s="78"/>
      <c r="BK41" s="78"/>
      <c r="BL41" s="78"/>
      <c r="BM41" s="135" t="str">
        <f>IFERROR(VLOOKUP("2D02-10-04-02",pareto,18,FALSE),"-")</f>
        <v>-</v>
      </c>
      <c r="BN41" s="136" t="str">
        <f>IFERROR(VLOOKUP("2D02-10-04-05",pareto,18,FALSE),"-")</f>
        <v>-</v>
      </c>
      <c r="BO41" s="78"/>
      <c r="BP41" s="135" t="str">
        <f>IFERROR(VLOOKUP("2D03-09-04-02",pareto,18,FALSE),"-")</f>
        <v>-</v>
      </c>
      <c r="BQ41" s="136" t="str">
        <f>IFERROR(VLOOKUP("2D03-23-04-05",pareto,18,FALSE),"-")</f>
        <v>-</v>
      </c>
      <c r="BR41" s="77"/>
      <c r="BS41" s="77"/>
      <c r="BT41" s="20"/>
      <c r="BU41" s="20"/>
      <c r="BV41" s="20"/>
      <c r="BW41" s="20"/>
      <c r="BX41" s="20"/>
      <c r="BY41" s="20"/>
      <c r="BZ41" s="20"/>
      <c r="CA41" s="20"/>
      <c r="CB41" s="20"/>
      <c r="CC41" s="20"/>
      <c r="CD41" s="20"/>
      <c r="CE41" s="20"/>
      <c r="CF41" s="20"/>
      <c r="CG41" s="20"/>
      <c r="CH41" s="20"/>
      <c r="CI41" s="20"/>
      <c r="CJ41" s="20"/>
      <c r="CK41" s="20"/>
      <c r="CL41" s="20"/>
      <c r="CM41" s="20"/>
      <c r="CN41" s="20"/>
      <c r="CO41" s="20"/>
      <c r="CP41" s="20"/>
      <c r="CQ41" s="20"/>
      <c r="CR41" s="20"/>
      <c r="CS41" s="21"/>
      <c r="CT41" s="19"/>
      <c r="CU41" s="20"/>
      <c r="CV41" s="20"/>
      <c r="CW41" s="20"/>
      <c r="CX41" s="20"/>
      <c r="CY41" s="20"/>
      <c r="CZ41" s="20"/>
      <c r="DA41" s="20"/>
      <c r="DB41" s="20"/>
      <c r="DC41" s="20"/>
      <c r="DD41" s="20"/>
      <c r="DE41" s="20"/>
      <c r="DF41" s="220"/>
      <c r="DG41" s="220"/>
      <c r="DH41" s="20"/>
      <c r="DI41" s="20"/>
      <c r="DJ41" s="20"/>
      <c r="DK41" s="20"/>
      <c r="DL41" s="20"/>
      <c r="DM41" s="20"/>
      <c r="DN41" s="20"/>
      <c r="DO41" s="204"/>
      <c r="DP41" s="20"/>
      <c r="DQ41" s="20"/>
      <c r="DR41" s="20"/>
      <c r="DS41" s="20"/>
      <c r="DT41" s="20"/>
      <c r="DU41" s="20"/>
      <c r="DV41" s="20"/>
      <c r="DW41" s="20"/>
      <c r="DX41" s="20"/>
      <c r="DY41" s="20"/>
      <c r="DZ41" s="20"/>
      <c r="EA41" s="20"/>
      <c r="EB41" s="20"/>
      <c r="EC41" s="20"/>
      <c r="ED41" s="20"/>
      <c r="EE41" s="20"/>
      <c r="EF41" s="20"/>
      <c r="EG41" s="20"/>
      <c r="EH41" s="20"/>
      <c r="EI41" s="20"/>
      <c r="EJ41" s="20"/>
      <c r="EK41" s="20"/>
      <c r="EL41" s="20"/>
      <c r="EM41" s="20"/>
      <c r="EN41" s="20"/>
      <c r="EO41" s="21"/>
      <c r="EP41" s="42" t="str">
        <f>IFERROR(VLOOKUP("4P01-47-00-01",pareto,18,FALSE),"-")</f>
        <v>-</v>
      </c>
      <c r="EQ41" s="20"/>
      <c r="ER41" s="20"/>
      <c r="ES41" s="20"/>
      <c r="ET41" s="219" t="str">
        <f>IFERROR(VLOOKUP("4P01-48-00-01",pareto,18,FALSE),"-")</f>
        <v>-</v>
      </c>
      <c r="EU41" s="42" t="str">
        <f>IFERROR(VLOOKUP("4P02-47-00-01",pareto,18,FALSE),"-")</f>
        <v>-</v>
      </c>
      <c r="EV41" s="20"/>
      <c r="EW41" s="20"/>
      <c r="EX41" s="20"/>
      <c r="EY41" s="219" t="str">
        <f>IFERROR(VLOOKUP("4P02-48-00-01",pareto,18,FALSE),"-")</f>
        <v>-</v>
      </c>
      <c r="EZ41" s="42" t="str">
        <f>IFERROR(VLOOKUP("4P03-47-00-01",pareto,18,FALSE),"-")</f>
        <v>-</v>
      </c>
      <c r="FA41" s="20"/>
      <c r="FB41" s="20"/>
      <c r="FC41" s="20"/>
      <c r="FD41" s="219" t="str">
        <f>IFERROR(VLOOKUP("4P03-48-00-01",pareto,18,FALSE),"-")</f>
        <v>-</v>
      </c>
      <c r="FE41" s="42" t="str">
        <f>IFERROR(VLOOKUP("4P04-47-00-01",pareto,18,FALSE),"-")</f>
        <v>-</v>
      </c>
      <c r="FF41" s="20"/>
      <c r="FG41" s="20"/>
      <c r="FH41" s="20"/>
      <c r="FI41" s="219" t="str">
        <f>IFERROR(VLOOKUP("4P04-48-00-01",pareto,18,FALSE),"-")</f>
        <v>-</v>
      </c>
      <c r="FJ41" s="42" t="str">
        <f>IFERROR(VLOOKUP("4P05-47-00-01",pareto,18,FALSE),"-")</f>
        <v>-</v>
      </c>
      <c r="FK41" s="20"/>
      <c r="FL41" s="20"/>
      <c r="FM41" s="20"/>
      <c r="FN41" s="219" t="str">
        <f>IFERROR(VLOOKUP("4P05-48-00-01",pareto,18,FALSE),"-")</f>
        <v>-</v>
      </c>
      <c r="FO41" s="42" t="str">
        <f>IFERROR(VLOOKUP("4P06-47-00-01",pareto,18,FALSE),"-")</f>
        <v>-</v>
      </c>
      <c r="FP41" s="20"/>
      <c r="FQ41" s="20"/>
      <c r="FR41" s="20"/>
      <c r="FS41" s="219" t="str">
        <f>IFERROR(VLOOKUP("4P06-48-00-01",pareto,18,FALSE),"-")</f>
        <v>-</v>
      </c>
      <c r="FT41" s="42" t="str">
        <f>IFERROR(VLOOKUP("4P07-47-00-01",pareto,18,FALSE),"-")</f>
        <v>-</v>
      </c>
      <c r="FU41" s="20"/>
      <c r="FV41" s="20"/>
      <c r="FW41" s="20"/>
      <c r="FX41" s="219" t="str">
        <f>IFERROR(VLOOKUP("4P07-48-00-01",pareto,18,FALSE),"-")</f>
        <v>-</v>
      </c>
      <c r="FY41" s="42" t="str">
        <f>IFERROR(VLOOKUP("4P08-47-00-01",pareto,18,FALSE),"-")</f>
        <v>-</v>
      </c>
      <c r="FZ41" s="20"/>
      <c r="GA41" s="20"/>
      <c r="GB41" s="20"/>
      <c r="GC41" s="219" t="str">
        <f>IFERROR(VLOOKUP("4P08-48-00-01",pareto,18,FALSE),"-")</f>
        <v>-</v>
      </c>
      <c r="GD41" s="42" t="str">
        <f>IFERROR(VLOOKUP("4P09-47-00-01",pareto,18,FALSE),"-")</f>
        <v>-</v>
      </c>
      <c r="GE41" s="20"/>
      <c r="GF41" s="20"/>
      <c r="GG41" s="20"/>
      <c r="GH41" s="228" t="str">
        <f>IFERROR(VLOOKUP("4P09-48-00-01",pareto,18,FALSE),"-")</f>
        <v>-</v>
      </c>
    </row>
    <row r="42" spans="3:190" ht="12" customHeight="1" thickTop="1" thickBot="1" x14ac:dyDescent="0.3">
      <c r="C42" s="270"/>
      <c r="D42" s="270"/>
      <c r="E42" s="270"/>
      <c r="F42" s="270"/>
      <c r="G42" s="270"/>
      <c r="H42" s="270"/>
      <c r="I42" s="270"/>
      <c r="J42" s="270"/>
      <c r="K42" s="270"/>
      <c r="L42" s="270"/>
      <c r="M42" s="270"/>
      <c r="N42" s="270"/>
      <c r="O42" s="270"/>
      <c r="P42" s="270"/>
      <c r="Q42" s="270"/>
      <c r="R42" s="9"/>
      <c r="S42" s="9"/>
      <c r="T42" s="9"/>
      <c r="U42" s="9"/>
      <c r="V42" s="9"/>
      <c r="W42" s="9"/>
      <c r="X42" s="9"/>
      <c r="Y42" s="9"/>
      <c r="Z42" s="9"/>
      <c r="AA42" s="271"/>
      <c r="AB42" s="271"/>
      <c r="AC42" s="271"/>
      <c r="AD42" s="271"/>
      <c r="AE42" s="271"/>
      <c r="AF42" s="271"/>
      <c r="AG42" s="271"/>
      <c r="AH42" s="271"/>
      <c r="AI42" s="271"/>
      <c r="AJ42" s="271"/>
      <c r="AK42" s="271"/>
      <c r="AL42" s="271"/>
      <c r="AM42" s="271"/>
      <c r="AN42" s="271"/>
      <c r="AO42" s="271"/>
      <c r="AP42" s="271"/>
      <c r="AQ42" s="271"/>
      <c r="AR42" s="271"/>
      <c r="AS42" s="271"/>
      <c r="AT42" s="271"/>
      <c r="AU42" s="271"/>
      <c r="AV42" s="271"/>
      <c r="AW42" s="271"/>
      <c r="AX42" s="271"/>
      <c r="AY42" s="271"/>
      <c r="AZ42" s="272"/>
      <c r="BA42" s="150" t="str">
        <f>IFERROR(VLOOKUP("2D01-09-00-02",pareto,18,FALSE),"-")</f>
        <v>-</v>
      </c>
      <c r="BB42" s="77"/>
      <c r="BC42" s="77"/>
      <c r="BD42" s="137" t="str">
        <f>IFERROR(VLOOKUP("2D01-10-04-01",pareto,18,FALSE),"-")</f>
        <v>-</v>
      </c>
      <c r="BE42" s="138" t="str">
        <f>IFERROR(VLOOKUP("2D01-10-04-04",pareto,18,FALSE),"-")</f>
        <v>-</v>
      </c>
      <c r="BF42" s="78"/>
      <c r="BG42" s="137" t="str">
        <f>IFERROR(VLOOKUP("2D02-09-04-01",pareto,18,FALSE),"-")</f>
        <v>-</v>
      </c>
      <c r="BH42" s="138" t="str">
        <f>IFERROR(VLOOKUP("2D02-09-04-04",pareto,18,FALSE),"-")</f>
        <v>-</v>
      </c>
      <c r="BI42" s="78"/>
      <c r="BJ42" s="78"/>
      <c r="BK42" s="78"/>
      <c r="BL42" s="78"/>
      <c r="BM42" s="137" t="str">
        <f>IFERROR(VLOOKUP("2D02-10-04-01",pareto,18,FALSE),"-")</f>
        <v>-</v>
      </c>
      <c r="BN42" s="138" t="str">
        <f>IFERROR(VLOOKUP("2D02-10-04-04",pareto,18,FALSE),"-")</f>
        <v>-</v>
      </c>
      <c r="BO42" s="78"/>
      <c r="BP42" s="137" t="str">
        <f>IFERROR(VLOOKUP("2D03-09-04-01",pareto,18,FALSE),"-")</f>
        <v>-</v>
      </c>
      <c r="BQ42" s="138" t="str">
        <f>IFERROR(VLOOKUP("2D03-09-04-04",pareto,18,FALSE),"-")</f>
        <v>-</v>
      </c>
      <c r="BR42" s="77"/>
      <c r="BS42" s="77"/>
      <c r="BT42" s="20"/>
      <c r="BU42" s="20"/>
      <c r="BV42" s="20"/>
      <c r="BW42" s="20"/>
      <c r="BX42" s="20"/>
      <c r="BY42" s="20"/>
      <c r="BZ42" s="20"/>
      <c r="CA42" s="20"/>
      <c r="CB42" s="20"/>
      <c r="CC42" s="20"/>
      <c r="CD42" s="20"/>
      <c r="CE42" s="20"/>
      <c r="CF42" s="20"/>
      <c r="CG42" s="20"/>
      <c r="CH42" s="20"/>
      <c r="CI42" s="20"/>
      <c r="CJ42" s="20"/>
      <c r="CK42" s="20"/>
      <c r="CL42" s="20"/>
      <c r="CM42" s="20"/>
      <c r="CN42" s="20"/>
      <c r="CO42" s="20"/>
      <c r="CP42" s="20"/>
      <c r="CQ42" s="20"/>
      <c r="CR42" s="20"/>
      <c r="CS42" s="21"/>
      <c r="CT42" s="19"/>
      <c r="CU42" s="20"/>
      <c r="CV42" s="20"/>
      <c r="CW42" s="20"/>
      <c r="CX42" s="20"/>
      <c r="CY42" s="20"/>
      <c r="CZ42" s="20"/>
      <c r="DA42" s="20"/>
      <c r="DB42" s="20"/>
      <c r="DC42" s="20"/>
      <c r="DD42" s="20"/>
      <c r="DE42" s="20"/>
      <c r="DF42" s="220"/>
      <c r="DG42" s="220"/>
      <c r="DH42" s="20"/>
      <c r="DI42" s="20"/>
      <c r="DJ42" s="20"/>
      <c r="DK42" s="20"/>
      <c r="DL42" s="20"/>
      <c r="DM42" s="20"/>
      <c r="DN42" s="20"/>
      <c r="DO42" s="198"/>
      <c r="DP42" s="199"/>
      <c r="DQ42" s="20"/>
      <c r="DR42" s="20"/>
      <c r="DS42" s="20"/>
      <c r="DT42" s="20"/>
      <c r="DU42" s="20"/>
      <c r="DV42" s="20"/>
      <c r="DW42" s="20"/>
      <c r="DX42" s="20"/>
      <c r="DY42" s="20"/>
      <c r="DZ42" s="20"/>
      <c r="EA42" s="20"/>
      <c r="EB42" s="20"/>
      <c r="EC42" s="20"/>
      <c r="ED42" s="20"/>
      <c r="EE42" s="20"/>
      <c r="EF42" s="20"/>
      <c r="EG42" s="20"/>
      <c r="EH42" s="20"/>
      <c r="EI42" s="20"/>
      <c r="EJ42" s="20"/>
      <c r="EK42" s="20"/>
      <c r="EL42" s="20"/>
      <c r="EM42" s="20"/>
      <c r="EN42" s="20"/>
      <c r="EO42" s="21"/>
      <c r="EP42" s="43" t="str">
        <f>IFERROR(VLOOKUP("4P01-45-00-03",pareto,18,FALSE),"-")</f>
        <v>-</v>
      </c>
      <c r="EQ42" s="20"/>
      <c r="ER42" s="20"/>
      <c r="ES42" s="20"/>
      <c r="ET42" s="217" t="str">
        <f>IFERROR(VLOOKUP("4P01-46-00-03",pareto,18,FALSE),"-")</f>
        <v>-</v>
      </c>
      <c r="EU42" s="40" t="str">
        <f>IFERROR(VLOOKUP("4P02-45-00-03",pareto,18,FALSE),"-")</f>
        <v>-</v>
      </c>
      <c r="EV42" s="20"/>
      <c r="EW42" s="20"/>
      <c r="EX42" s="20"/>
      <c r="EY42" s="217" t="str">
        <f>IFERROR(VLOOKUP("4P02-46-00-03",pareto,18,FALSE),"-")</f>
        <v>-</v>
      </c>
      <c r="EZ42" s="40" t="str">
        <f>IFERROR(VLOOKUP("4P03-45-00-03",pareto,18,FALSE),"-")</f>
        <v>-</v>
      </c>
      <c r="FA42" s="20"/>
      <c r="FB42" s="20"/>
      <c r="FC42" s="20"/>
      <c r="FD42" s="221"/>
      <c r="FE42" s="40" t="str">
        <f>IFERROR(VLOOKUP("4P04-45-00-03",pareto,18,FALSE),"-")</f>
        <v>-</v>
      </c>
      <c r="FF42" s="20"/>
      <c r="FG42" s="20"/>
      <c r="FH42" s="20"/>
      <c r="FI42" s="217" t="str">
        <f>IFERROR(VLOOKUP("4P04-46-00-03",pareto,18,FALSE),"-")</f>
        <v>-</v>
      </c>
      <c r="FJ42" s="40" t="str">
        <f>IFERROR(VLOOKUP("4P05-45-00-03",pareto,18,FALSE),"-")</f>
        <v>-</v>
      </c>
      <c r="FK42" s="20"/>
      <c r="FL42" s="20"/>
      <c r="FM42" s="20"/>
      <c r="FN42" s="217" t="str">
        <f>IFERROR(VLOOKUP("4P05-46-00-03",pareto,18,FALSE),"-")</f>
        <v>-</v>
      </c>
      <c r="FO42" s="40" t="str">
        <f>IFERROR(VLOOKUP("4P06-45-00-03",pareto,18,FALSE),"-")</f>
        <v>-</v>
      </c>
      <c r="FP42" s="20"/>
      <c r="FQ42" s="20"/>
      <c r="FR42" s="20"/>
      <c r="FS42" s="217" t="str">
        <f>IFERROR(VLOOKUP("4P06-46-00-03",pareto,18,FALSE),"-")</f>
        <v>-</v>
      </c>
      <c r="FT42" s="66"/>
      <c r="FU42" s="20"/>
      <c r="FV42" s="20"/>
      <c r="FW42" s="20"/>
      <c r="FX42" s="217" t="str">
        <f>IFERROR(VLOOKUP("4P07-46-00-03",pareto,18,FALSE),"-")</f>
        <v>-</v>
      </c>
      <c r="FY42" s="40" t="str">
        <f>IFERROR(VLOOKUP("4P08-45-00-03",pareto,18,FALSE),"-")</f>
        <v>-</v>
      </c>
      <c r="FZ42" s="20"/>
      <c r="GA42" s="20"/>
      <c r="GB42" s="20"/>
      <c r="GC42" s="217" t="str">
        <f>IFERROR(VLOOKUP("4P08-46-00-03",pareto,18,FALSE),"-")</f>
        <v>-</v>
      </c>
      <c r="GD42" s="40" t="str">
        <f>IFERROR(VLOOKUP("4P09-45-00-03",pareto,18,FALSE),"-")</f>
        <v>-</v>
      </c>
      <c r="GE42" s="20"/>
      <c r="GF42" s="20"/>
      <c r="GG42" s="20"/>
      <c r="GH42" s="224" t="str">
        <f>IFERROR(VLOOKUP("4P09-46-00-03",pareto,18,FALSE),"-")</f>
        <v>-</v>
      </c>
    </row>
    <row r="43" spans="3:190" ht="12" customHeight="1" thickTop="1" thickBot="1" x14ac:dyDescent="0.3">
      <c r="C43" s="270"/>
      <c r="D43" s="270"/>
      <c r="E43" s="270"/>
      <c r="F43" s="270"/>
      <c r="G43" s="270"/>
      <c r="H43" s="270"/>
      <c r="I43" s="270"/>
      <c r="J43" s="270"/>
      <c r="K43" s="270"/>
      <c r="L43" s="270"/>
      <c r="M43" s="270"/>
      <c r="N43" s="270"/>
      <c r="O43" s="270"/>
      <c r="P43" s="270"/>
      <c r="Q43" s="270"/>
      <c r="R43" s="9"/>
      <c r="S43" s="9"/>
      <c r="T43" s="9"/>
      <c r="U43" s="9"/>
      <c r="V43" s="9"/>
      <c r="W43" s="9"/>
      <c r="X43" s="9"/>
      <c r="Y43" s="9"/>
      <c r="Z43" s="9"/>
      <c r="AA43" s="271"/>
      <c r="AB43" s="271"/>
      <c r="AC43" s="271"/>
      <c r="AD43" s="271"/>
      <c r="AE43" s="271"/>
      <c r="AF43" s="271"/>
      <c r="AG43" s="271"/>
      <c r="AH43" s="271"/>
      <c r="AI43" s="271"/>
      <c r="AJ43" s="271"/>
      <c r="AK43" s="271"/>
      <c r="AL43" s="271"/>
      <c r="AM43" s="271"/>
      <c r="AN43" s="271"/>
      <c r="AO43" s="271"/>
      <c r="AP43" s="271"/>
      <c r="AQ43" s="271"/>
      <c r="AR43" s="271"/>
      <c r="AS43" s="271"/>
      <c r="AT43" s="271"/>
      <c r="AU43" s="271"/>
      <c r="AV43" s="271"/>
      <c r="AW43" s="271"/>
      <c r="AX43" s="271"/>
      <c r="AY43" s="271"/>
      <c r="AZ43" s="272"/>
      <c r="BA43" s="151" t="str">
        <f>IFERROR(VLOOKUP("2D01-09-00-01",pareto,18,FALSE),"-")</f>
        <v>-</v>
      </c>
      <c r="BB43" s="77"/>
      <c r="BC43" s="77"/>
      <c r="BD43" s="133" t="str">
        <f>IFERROR(VLOOKUP("2D01-08-04-03",pareto,18,FALSE),"-")</f>
        <v>-</v>
      </c>
      <c r="BE43" s="134" t="str">
        <f>IFERROR(VLOOKUP("2D01-08-04-06",pareto,18,FALSE),"-")</f>
        <v>-</v>
      </c>
      <c r="BF43" s="78"/>
      <c r="BG43" s="133" t="str">
        <f>IFERROR(VLOOKUP("2D02-07-04-03",pareto,18,FALSE),"-")</f>
        <v>-</v>
      </c>
      <c r="BH43" s="134" t="str">
        <f>IFERROR(VLOOKUP("2D02-07-04-06",pareto,18,FALSE),"-")</f>
        <v>-</v>
      </c>
      <c r="BI43" s="78"/>
      <c r="BJ43" s="78"/>
      <c r="BK43" s="78"/>
      <c r="BL43" s="78"/>
      <c r="BM43" s="133" t="str">
        <f>IFERROR(VLOOKUP("2D02-08-04-03",pareto,18,FALSE),"-")</f>
        <v>-</v>
      </c>
      <c r="BN43" s="134" t="str">
        <f>IFERROR(VLOOKUP("2D02-08-04-06",pareto,18,FALSE),"-")</f>
        <v>-</v>
      </c>
      <c r="BO43" s="78"/>
      <c r="BP43" s="133" t="str">
        <f>IFERROR(VLOOKUP("2D03-07-04-03",pareto,18,FALSE),"-")</f>
        <v>-</v>
      </c>
      <c r="BQ43" s="134" t="str">
        <f>IFERROR(VLOOKUP("2D03-07-04-06",pareto,18,FALSE),"-")</f>
        <v>-</v>
      </c>
      <c r="BR43" s="77"/>
      <c r="BS43" s="77"/>
      <c r="BT43" s="20"/>
      <c r="BU43" s="20"/>
      <c r="BV43" s="20"/>
      <c r="BW43" s="20"/>
      <c r="BX43" s="20"/>
      <c r="BY43" s="20"/>
      <c r="BZ43" s="20"/>
      <c r="CA43" s="20"/>
      <c r="CB43" s="20"/>
      <c r="CC43" s="20"/>
      <c r="CD43" s="20"/>
      <c r="CE43" s="20"/>
      <c r="CF43" s="20"/>
      <c r="CG43" s="20"/>
      <c r="CH43" s="20"/>
      <c r="CI43" s="20"/>
      <c r="CJ43" s="20"/>
      <c r="CK43" s="20"/>
      <c r="CL43" s="20"/>
      <c r="CM43" s="20"/>
      <c r="CN43" s="20"/>
      <c r="CO43" s="20"/>
      <c r="CP43" s="20"/>
      <c r="CQ43" s="20"/>
      <c r="CR43" s="20"/>
      <c r="CS43" s="21"/>
      <c r="CT43" s="19"/>
      <c r="CU43" s="20"/>
      <c r="CV43" s="20"/>
      <c r="CW43" s="20"/>
      <c r="CX43" s="20"/>
      <c r="CY43" s="20"/>
      <c r="CZ43" s="20"/>
      <c r="DA43" s="20"/>
      <c r="DB43" s="20"/>
      <c r="DC43" s="20"/>
      <c r="DD43" s="20"/>
      <c r="DE43" s="20"/>
      <c r="DF43" s="220"/>
      <c r="DG43" s="220"/>
      <c r="DH43" s="20"/>
      <c r="DI43" s="20"/>
      <c r="DJ43" s="20"/>
      <c r="DK43" s="20"/>
      <c r="DL43" s="20"/>
      <c r="DM43" s="20"/>
      <c r="DN43" s="20"/>
      <c r="DO43" s="200"/>
      <c r="DP43" s="201"/>
      <c r="DQ43" s="20"/>
      <c r="DR43" s="20"/>
      <c r="DS43" s="20"/>
      <c r="DT43" s="20"/>
      <c r="DU43" s="20"/>
      <c r="DV43" s="20"/>
      <c r="DW43" s="20"/>
      <c r="DX43" s="20"/>
      <c r="DY43" s="20"/>
      <c r="DZ43" s="20"/>
      <c r="EA43" s="20"/>
      <c r="EB43" s="20"/>
      <c r="EC43" s="20"/>
      <c r="ED43" s="20"/>
      <c r="EE43" s="20"/>
      <c r="EF43" s="20"/>
      <c r="EG43" s="20"/>
      <c r="EH43" s="20"/>
      <c r="EI43" s="20"/>
      <c r="EJ43" s="20"/>
      <c r="EK43" s="20"/>
      <c r="EL43" s="20"/>
      <c r="EM43" s="20"/>
      <c r="EN43" s="20"/>
      <c r="EO43" s="21"/>
      <c r="EP43" s="43" t="str">
        <f>IFERROR(VLOOKUP("4P01-45-00-02",pareto,18,FALSE),"-")</f>
        <v>-</v>
      </c>
      <c r="EQ43" s="20"/>
      <c r="ER43" s="20"/>
      <c r="ES43" s="20"/>
      <c r="ET43" s="218" t="str">
        <f>IFERROR(VLOOKUP("4P01-46-00-02",pareto,18,FALSE),"-")</f>
        <v>-</v>
      </c>
      <c r="EU43" s="41" t="str">
        <f>IFERROR(VLOOKUP("4P02-45-00-02",pareto,18,FALSE),"-")</f>
        <v>-</v>
      </c>
      <c r="EV43" s="20"/>
      <c r="EW43" s="20"/>
      <c r="EX43" s="20"/>
      <c r="EY43" s="218" t="str">
        <f>IFERROR(VLOOKUP("4P02-46-00-02",pareto,18,FALSE),"-")</f>
        <v>-</v>
      </c>
      <c r="EZ43" s="41" t="str">
        <f>IFERROR(VLOOKUP("4P03-45-00-02",pareto,18,FALSE),"-")</f>
        <v>-</v>
      </c>
      <c r="FA43" s="20"/>
      <c r="FB43" s="20"/>
      <c r="FC43" s="20"/>
      <c r="FD43" s="222"/>
      <c r="FE43" s="41" t="str">
        <f>IFERROR(VLOOKUP("4P04-45-00-02",pareto,18,FALSE),"-")</f>
        <v>-</v>
      </c>
      <c r="FF43" s="20"/>
      <c r="FG43" s="20"/>
      <c r="FH43" s="20"/>
      <c r="FI43" s="218" t="str">
        <f>IFERROR(VLOOKUP("4P04-46-00-02",pareto,18,FALSE),"-")</f>
        <v>-</v>
      </c>
      <c r="FJ43" s="41" t="str">
        <f>IFERROR(VLOOKUP("4P05-45-00-02",pareto,18,FALSE),"-")</f>
        <v>-</v>
      </c>
      <c r="FK43" s="20"/>
      <c r="FL43" s="20"/>
      <c r="FM43" s="20"/>
      <c r="FN43" s="218" t="str">
        <f>IFERROR(VLOOKUP("4P05-46-00-02",pareto,18,FALSE),"-")</f>
        <v>-</v>
      </c>
      <c r="FO43" s="41" t="str">
        <f>IFERROR(VLOOKUP("4P06-45-00-02",pareto,18,FALSE),"-")</f>
        <v>-</v>
      </c>
      <c r="FP43" s="20"/>
      <c r="FQ43" s="20"/>
      <c r="FR43" s="20"/>
      <c r="FS43" s="218" t="str">
        <f>IFERROR(VLOOKUP("4P06-46-00-02",pareto,18,FALSE),"-")</f>
        <v>-</v>
      </c>
      <c r="FT43" s="223"/>
      <c r="FU43" s="20"/>
      <c r="FV43" s="20"/>
      <c r="FW43" s="20"/>
      <c r="FX43" s="218" t="str">
        <f>IFERROR(VLOOKUP("4P07-46-00-02",pareto,18,FALSE),"-")</f>
        <v>-</v>
      </c>
      <c r="FY43" s="41" t="str">
        <f>IFERROR(VLOOKUP("4P08-45-00-02",pareto,18,FALSE),"-")</f>
        <v>-</v>
      </c>
      <c r="FZ43" s="20"/>
      <c r="GA43" s="20"/>
      <c r="GB43" s="20"/>
      <c r="GC43" s="218" t="str">
        <f>IFERROR(VLOOKUP("4P08-46-00-02",pareto,18,FALSE),"-")</f>
        <v>-</v>
      </c>
      <c r="GD43" s="41" t="str">
        <f>IFERROR(VLOOKUP("4P09-45-00-02",pareto,18,FALSE),"-")</f>
        <v>-</v>
      </c>
      <c r="GE43" s="20"/>
      <c r="GF43" s="20"/>
      <c r="GG43" s="20"/>
      <c r="GH43" s="227" t="str">
        <f>IFERROR(VLOOKUP("4P09-46-00-02",pareto,18,FALSE),"-")</f>
        <v>-</v>
      </c>
    </row>
    <row r="44" spans="3:190" ht="12" customHeight="1" thickTop="1" thickBot="1" x14ac:dyDescent="0.3">
      <c r="C44" s="270"/>
      <c r="D44" s="270"/>
      <c r="E44" s="270"/>
      <c r="F44" s="270"/>
      <c r="G44" s="270"/>
      <c r="H44" s="270"/>
      <c r="I44" s="270"/>
      <c r="J44" s="270"/>
      <c r="K44" s="270"/>
      <c r="L44" s="270"/>
      <c r="M44" s="270"/>
      <c r="N44" s="270"/>
      <c r="O44" s="270"/>
      <c r="P44" s="270"/>
      <c r="Q44" s="270"/>
      <c r="R44" s="9"/>
      <c r="S44" s="9"/>
      <c r="T44" s="9"/>
      <c r="U44" s="9"/>
      <c r="V44" s="9"/>
      <c r="W44" s="9"/>
      <c r="X44" s="9"/>
      <c r="Y44" s="9"/>
      <c r="Z44" s="9"/>
      <c r="AA44" s="271"/>
      <c r="AB44" s="271"/>
      <c r="AC44" s="271"/>
      <c r="AD44" s="271"/>
      <c r="AE44" s="271"/>
      <c r="AF44" s="271"/>
      <c r="AG44" s="271"/>
      <c r="AH44" s="271"/>
      <c r="AI44" s="271"/>
      <c r="AJ44" s="271"/>
      <c r="AK44" s="271"/>
      <c r="AL44" s="271"/>
      <c r="AM44" s="271"/>
      <c r="AN44" s="271"/>
      <c r="AO44" s="271"/>
      <c r="AP44" s="271"/>
      <c r="AQ44" s="271"/>
      <c r="AR44" s="271"/>
      <c r="AS44" s="271"/>
      <c r="AT44" s="271"/>
      <c r="AU44" s="271"/>
      <c r="AV44" s="271"/>
      <c r="AW44" s="271"/>
      <c r="AX44" s="271"/>
      <c r="AY44" s="271"/>
      <c r="AZ44" s="272"/>
      <c r="BA44" s="152" t="str">
        <f>IFERROR(VLOOKUP("2D01-07-00-03",pareto,18,FALSE),"-")</f>
        <v>-</v>
      </c>
      <c r="BB44" s="77"/>
      <c r="BC44" s="77"/>
      <c r="BD44" s="135" t="str">
        <f>IFERROR(VLOOKUP("2D01-08-04-02",pareto,18,FALSE),"-")</f>
        <v>-</v>
      </c>
      <c r="BE44" s="136" t="str">
        <f>IFERROR(VLOOKUP("2D01-08-04-05",pareto,18,FALSE),"-")</f>
        <v>-</v>
      </c>
      <c r="BF44" s="78"/>
      <c r="BG44" s="135" t="str">
        <f>IFERROR(VLOOKUP("2D02-07-04-02",pareto,18,FALSE),"-")</f>
        <v>-</v>
      </c>
      <c r="BH44" s="136" t="str">
        <f>IFERROR(VLOOKUP("2D02-07-04-05",pareto,18,FALSE),"-")</f>
        <v>-</v>
      </c>
      <c r="BI44" s="78"/>
      <c r="BJ44" s="78"/>
      <c r="BK44" s="78"/>
      <c r="BL44" s="78"/>
      <c r="BM44" s="135" t="str">
        <f>IFERROR(VLOOKUP("2D02-08-04-02",pareto,18,FALSE),"-")</f>
        <v>-</v>
      </c>
      <c r="BN44" s="136" t="str">
        <f>IFERROR(VLOOKUP("2D02-08-04-05",pareto,18,FALSE),"-")</f>
        <v>-</v>
      </c>
      <c r="BO44" s="78"/>
      <c r="BP44" s="135" t="str">
        <f>IFERROR(VLOOKUP("2D03-07-04-02",pareto,18,FALSE),"-")</f>
        <v>-</v>
      </c>
      <c r="BQ44" s="136" t="str">
        <f>IFERROR(VLOOKUP("2D03-07-04-05",pareto,18,FALSE),"-")</f>
        <v>-</v>
      </c>
      <c r="BR44" s="77"/>
      <c r="BS44" s="77">
        <v>5</v>
      </c>
      <c r="BT44" s="133" t="str">
        <f>IFERROR(VLOOKUP("2H05-02-00-01",pareto,18,FALSE),"-")</f>
        <v>-</v>
      </c>
      <c r="BU44" s="140" t="str">
        <f>IFERROR(VLOOKUP("2H05-02-00-02",pareto,18,FALSE),"-")</f>
        <v>-</v>
      </c>
      <c r="BV44" s="134" t="str">
        <f>IFERROR(VLOOKUP("2H05-02-00-03",pareto,18,FALSE),"-")</f>
        <v>-</v>
      </c>
      <c r="BW44" s="133" t="str">
        <f>IFERROR(VLOOKUP("2H05-04-00-01",pareto,18,FALSE),"-")</f>
        <v>-</v>
      </c>
      <c r="BX44" s="140" t="str">
        <f>IFERROR(VLOOKUP("2H05-04-00-02",pareto,18,FALSE),"-")</f>
        <v>-</v>
      </c>
      <c r="BY44" s="134" t="str">
        <f>IFERROR(VLOOKUP("2H05-04-00-03",pareto,18,FALSE),"-")</f>
        <v>-</v>
      </c>
      <c r="BZ44" s="133" t="str">
        <f>IFERROR(VLOOKUP("2H05-06-00-01",pareto,18,FALSE),"-")</f>
        <v>-</v>
      </c>
      <c r="CA44" s="140" t="str">
        <f>IFERROR(VLOOKUP("2H05-06-00-02",pareto,18,FALSE),"-")</f>
        <v>-</v>
      </c>
      <c r="CB44" s="134" t="str">
        <f>IFERROR(VLOOKUP("2H05-06-00-03",pareto,18,FALSE),"-")</f>
        <v>-</v>
      </c>
      <c r="CC44" s="133" t="str">
        <f>IFERROR(VLOOKUP("2H05-08-00-01",pareto,18,FALSE),"-")</f>
        <v>-</v>
      </c>
      <c r="CD44" s="140" t="str">
        <f>IFERROR(VLOOKUP("2H05-08-00-02",pareto,18,FALSE),"-")</f>
        <v>-</v>
      </c>
      <c r="CE44" s="134" t="str">
        <f>IFERROR(VLOOKUP("2H05-08-00-03",pareto,18,FALSE),"-")</f>
        <v>-</v>
      </c>
      <c r="CF44" s="133" t="str">
        <f>IFERROR(VLOOKUP("2H05-10-00-01",pareto,18,FALSE),"-")</f>
        <v>-</v>
      </c>
      <c r="CG44" s="140" t="str">
        <f>IFERROR(VLOOKUP("2H05-10-00-02",pareto,18,FALSE),"-")</f>
        <v>-</v>
      </c>
      <c r="CH44" s="134" t="str">
        <f>IFERROR(VLOOKUP("2H05-10-00-03",pareto,18,FALSE),"-")</f>
        <v>-</v>
      </c>
      <c r="CI44" s="133" t="str">
        <f>IFERROR(VLOOKUP("2H05-12-00-01",pareto,18,FALSE),"-")</f>
        <v>-</v>
      </c>
      <c r="CJ44" s="140" t="str">
        <f>IFERROR(VLOOKUP("2H05-12-00-02",pareto,18,FALSE),"-")</f>
        <v>-</v>
      </c>
      <c r="CK44" s="134" t="str">
        <f>IFERROR(VLOOKUP("2H05-12-00-03",pareto,18,FALSE),"-")</f>
        <v>-</v>
      </c>
      <c r="CL44" s="133" t="str">
        <f>IFERROR(VLOOKUP("2H05-14-00-01",pareto,18,FALSE),"-")</f>
        <v>-</v>
      </c>
      <c r="CM44" s="140" t="str">
        <f>IFERROR(VLOOKUP("2H05-14-00-02",pareto,18,FALSE),"-")</f>
        <v>-</v>
      </c>
      <c r="CN44" s="134" t="str">
        <f>IFERROR(VLOOKUP("2H05-14-00-03",pareto,18,FALSE),"-")</f>
        <v>-</v>
      </c>
      <c r="CO44" s="133" t="str">
        <f>IFERROR(VLOOKUP("2H05-16-00-01",pareto,18,FALSE),"-")</f>
        <v>-</v>
      </c>
      <c r="CP44" s="140" t="str">
        <f>IFERROR(VLOOKUP("2H05-16-00-02",pareto,18,FALSE),"-")</f>
        <v>-</v>
      </c>
      <c r="CQ44" s="134" t="str">
        <f>IFERROR(VLOOKUP("2H05-16-00-03",pareto,18,FALSE),"-")</f>
        <v>-</v>
      </c>
      <c r="CR44" s="20"/>
      <c r="CS44" s="21"/>
      <c r="CT44" s="103"/>
      <c r="CU44" s="169"/>
      <c r="CV44" s="170"/>
      <c r="CW44" s="103"/>
      <c r="CX44" s="169"/>
      <c r="CY44" s="170"/>
      <c r="CZ44" s="103"/>
      <c r="DA44" s="169"/>
      <c r="DB44" s="170"/>
      <c r="DC44" s="103"/>
      <c r="DD44" s="169"/>
      <c r="DE44" s="170"/>
      <c r="DF44" s="103"/>
      <c r="DG44" s="169"/>
      <c r="DH44" s="170"/>
      <c r="DI44" s="103"/>
      <c r="DJ44" s="169"/>
      <c r="DK44" s="170"/>
      <c r="DL44" s="20"/>
      <c r="DM44" s="20"/>
      <c r="DN44" s="20"/>
      <c r="DO44" s="196"/>
      <c r="DP44" s="197"/>
      <c r="DQ44" s="20"/>
      <c r="DR44" s="20"/>
      <c r="DS44" s="20"/>
      <c r="DT44" s="20"/>
      <c r="DU44" s="20"/>
      <c r="DV44" s="20"/>
      <c r="DW44" s="20"/>
      <c r="DX44" s="187"/>
      <c r="DY44" s="188"/>
      <c r="DZ44" s="189"/>
      <c r="EA44" s="187"/>
      <c r="EB44" s="188"/>
      <c r="EC44" s="189"/>
      <c r="ED44" s="187"/>
      <c r="EE44" s="188"/>
      <c r="EF44" s="189"/>
      <c r="EG44" s="187"/>
      <c r="EH44" s="188"/>
      <c r="EI44" s="189"/>
      <c r="EJ44" s="187"/>
      <c r="EK44" s="188"/>
      <c r="EL44" s="189"/>
      <c r="EM44" s="187"/>
      <c r="EN44" s="188"/>
      <c r="EO44" s="190"/>
      <c r="EP44" s="42" t="str">
        <f>IFERROR(VLOOKUP("4P01-45-00-01",pareto,18,FALSE),"-")</f>
        <v>-</v>
      </c>
      <c r="EQ44" s="20"/>
      <c r="ER44" s="20"/>
      <c r="ES44" s="20"/>
      <c r="ET44" s="219" t="str">
        <f>IFERROR(VLOOKUP("4P01-46-00-01",pareto,18,FALSE),"-")</f>
        <v>-</v>
      </c>
      <c r="EU44" s="42" t="str">
        <f>IFERROR(VLOOKUP("4P02-45-00-01",pareto,18,FALSE),"-")</f>
        <v>-</v>
      </c>
      <c r="EV44" s="20"/>
      <c r="EW44" s="20"/>
      <c r="EX44" s="20"/>
      <c r="EY44" s="219" t="str">
        <f>IFERROR(VLOOKUP("4P02-46-00-01",pareto,18,FALSE),"-")</f>
        <v>-</v>
      </c>
      <c r="EZ44" s="42" t="str">
        <f>IFERROR(VLOOKUP("4P03-45-00-01",pareto,18,FALSE),"-")</f>
        <v>-</v>
      </c>
      <c r="FA44" s="20"/>
      <c r="FB44" s="20"/>
      <c r="FC44" s="20"/>
      <c r="FD44" s="219" t="str">
        <f>IFERROR(VLOOKUP("4P03-46-00-01",pareto,18,FALSE),"-")</f>
        <v>-</v>
      </c>
      <c r="FE44" s="42" t="str">
        <f>IFERROR(VLOOKUP("4P04-45-00-01",pareto,18,FALSE),"-")</f>
        <v>-</v>
      </c>
      <c r="FF44" s="20"/>
      <c r="FG44" s="20"/>
      <c r="FH44" s="20"/>
      <c r="FI44" s="219" t="str">
        <f>IFERROR(VLOOKUP("4P04-46-00-01",pareto,18,FALSE),"-")</f>
        <v>-</v>
      </c>
      <c r="FJ44" s="42" t="str">
        <f>IFERROR(VLOOKUP("4P05-45-00-01",pareto,18,FALSE),"-")</f>
        <v>-</v>
      </c>
      <c r="FK44" s="20"/>
      <c r="FL44" s="20"/>
      <c r="FM44" s="20"/>
      <c r="FN44" s="219" t="str">
        <f>IFERROR(VLOOKUP("4P05-46-00-01",pareto,18,FALSE),"-")</f>
        <v>-</v>
      </c>
      <c r="FO44" s="42" t="str">
        <f>IFERROR(VLOOKUP("4P06-45-00-01",pareto,18,FALSE),"-")</f>
        <v>-</v>
      </c>
      <c r="FP44" s="20"/>
      <c r="FQ44" s="20"/>
      <c r="FR44" s="20"/>
      <c r="FS44" s="219" t="str">
        <f>IFERROR(VLOOKUP("4P06-46-00-01",pareto,18,FALSE),"-")</f>
        <v>-</v>
      </c>
      <c r="FT44" s="42" t="str">
        <f>IFERROR(VLOOKUP("4P07-45-00-01",pareto,18,FALSE),"-")</f>
        <v>-</v>
      </c>
      <c r="FU44" s="20"/>
      <c r="FV44" s="20"/>
      <c r="FW44" s="20"/>
      <c r="FX44" s="219" t="str">
        <f>IFERROR(VLOOKUP("4P07-46-00-01",pareto,18,FALSE),"-")</f>
        <v>-</v>
      </c>
      <c r="FY44" s="42" t="str">
        <f>IFERROR(VLOOKUP("4P08-45-00-01",pareto,18,FALSE),"-")</f>
        <v>-</v>
      </c>
      <c r="FZ44" s="20"/>
      <c r="GA44" s="20"/>
      <c r="GB44" s="20"/>
      <c r="GC44" s="219" t="str">
        <f>IFERROR(VLOOKUP("4P08-46-00-01",pareto,18,FALSE),"-")</f>
        <v>-</v>
      </c>
      <c r="GD44" s="42" t="str">
        <f>IFERROR(VLOOKUP("4P09-45-00-01",pareto,18,FALSE),"-")</f>
        <v>-</v>
      </c>
      <c r="GE44" s="20"/>
      <c r="GF44" s="20"/>
      <c r="GG44" s="20"/>
      <c r="GH44" s="228" t="str">
        <f>IFERROR(VLOOKUP("4P09-46-00-01",pareto,18,FALSE),"-")</f>
        <v>-</v>
      </c>
    </row>
    <row r="45" spans="3:190" ht="12" customHeight="1" thickTop="1" thickBot="1" x14ac:dyDescent="0.3">
      <c r="C45" s="270"/>
      <c r="D45" s="270"/>
      <c r="E45" s="270"/>
      <c r="F45" s="270"/>
      <c r="G45" s="270"/>
      <c r="H45" s="270"/>
      <c r="I45" s="270"/>
      <c r="J45" s="270"/>
      <c r="K45" s="270"/>
      <c r="L45" s="270"/>
      <c r="M45" s="270"/>
      <c r="N45" s="270"/>
      <c r="O45" s="270"/>
      <c r="P45" s="270"/>
      <c r="Q45" s="270"/>
      <c r="R45" s="9"/>
      <c r="S45" s="9"/>
      <c r="T45" s="9"/>
      <c r="U45" s="9"/>
      <c r="V45" s="9"/>
      <c r="W45" s="9"/>
      <c r="X45" s="9"/>
      <c r="Y45" s="9"/>
      <c r="Z45" s="9"/>
      <c r="AA45" s="271"/>
      <c r="AB45" s="271"/>
      <c r="AC45" s="271"/>
      <c r="AD45" s="271"/>
      <c r="AE45" s="271"/>
      <c r="AF45" s="271"/>
      <c r="AG45" s="271"/>
      <c r="AH45" s="271"/>
      <c r="AI45" s="271"/>
      <c r="AJ45" s="271"/>
      <c r="AK45" s="271"/>
      <c r="AL45" s="271"/>
      <c r="AM45" s="271"/>
      <c r="AN45" s="271"/>
      <c r="AO45" s="271"/>
      <c r="AP45" s="271"/>
      <c r="AQ45" s="271"/>
      <c r="AR45" s="271"/>
      <c r="AS45" s="271"/>
      <c r="AT45" s="271"/>
      <c r="AU45" s="271"/>
      <c r="AV45" s="271"/>
      <c r="AW45" s="271"/>
      <c r="AX45" s="271"/>
      <c r="AY45" s="271"/>
      <c r="AZ45" s="272"/>
      <c r="BA45" s="150" t="str">
        <f>IFERROR(VLOOKUP("2D01-07-00-02",pareto,18,FALSE),"-")</f>
        <v>-</v>
      </c>
      <c r="BB45" s="77"/>
      <c r="BC45" s="77"/>
      <c r="BD45" s="137" t="str">
        <f>IFERROR(VLOOKUP("2D01-08-04-01",pareto,18,FALSE),"-")</f>
        <v>-</v>
      </c>
      <c r="BE45" s="138" t="str">
        <f>IFERROR(VLOOKUP("2D01-08-04-04",pareto,18,FALSE),"-")</f>
        <v>-</v>
      </c>
      <c r="BF45" s="78"/>
      <c r="BG45" s="137" t="str">
        <f>IFERROR(VLOOKUP("2D02-07-04-01",pareto,18,FALSE),"-")</f>
        <v>-</v>
      </c>
      <c r="BH45" s="138" t="str">
        <f>IFERROR(VLOOKUP("2D02-07-04-04",pareto,18,FALSE),"-")</f>
        <v>-</v>
      </c>
      <c r="BI45" s="78"/>
      <c r="BJ45" s="78"/>
      <c r="BK45" s="78"/>
      <c r="BL45" s="78"/>
      <c r="BM45" s="137" t="str">
        <f>IFERROR(VLOOKUP("2D02-08-04-01",pareto,18,FALSE),"-")</f>
        <v>-</v>
      </c>
      <c r="BN45" s="138" t="str">
        <f>IFERROR(VLOOKUP("2D02-08-04-04",pareto,18,FALSE),"-")</f>
        <v>-</v>
      </c>
      <c r="BO45" s="78"/>
      <c r="BP45" s="137" t="str">
        <f>IFERROR(VLOOKUP("2D03-07-04-01",pareto,18,FALSE),"-")</f>
        <v>-</v>
      </c>
      <c r="BQ45" s="138" t="str">
        <f>IFERROR(VLOOKUP("2D03-07-04-04",pareto,18,FALSE),"-")</f>
        <v>-</v>
      </c>
      <c r="BR45" s="77"/>
      <c r="BS45" s="77">
        <v>6</v>
      </c>
      <c r="BT45" s="137" t="str">
        <f>IFERROR(VLOOKUP("2H06-01-00-01",pareto,18,FALSE),"-")</f>
        <v>-</v>
      </c>
      <c r="BU45" s="141" t="str">
        <f>IFERROR(VLOOKUP("2H06-01-00-02",pareto,18,FALSE),"-")</f>
        <v>-</v>
      </c>
      <c r="BV45" s="138" t="str">
        <f>IFERROR(VLOOKUP("2H06-01-00-03",pareto,18,FALSE),"-")</f>
        <v>-</v>
      </c>
      <c r="BW45" s="137" t="str">
        <f>IFERROR(VLOOKUP("2H06-03-00-01",pareto,18,FALSE),"-")</f>
        <v>-</v>
      </c>
      <c r="BX45" s="141" t="str">
        <f>IFERROR(VLOOKUP("2H06-03-00-02",pareto,18,FALSE),"-")</f>
        <v>-</v>
      </c>
      <c r="BY45" s="138" t="str">
        <f>IFERROR(VLOOKUP("2H06-03-00-03",pareto,18,FALSE),"-")</f>
        <v>-</v>
      </c>
      <c r="BZ45" s="137" t="str">
        <f>IFERROR(VLOOKUP("2H06-05-00-01",pareto,18,FALSE),"-")</f>
        <v>-</v>
      </c>
      <c r="CA45" s="141" t="str">
        <f>IFERROR(VLOOKUP("2H06-05-00-02",pareto,18,FALSE),"-")</f>
        <v>-</v>
      </c>
      <c r="CB45" s="138" t="str">
        <f>IFERROR(VLOOKUP("2H06-05-00-03",pareto,18,FALSE),"-")</f>
        <v>-</v>
      </c>
      <c r="CC45" s="137" t="str">
        <f>IFERROR(VLOOKUP("2H06-07-00-01",pareto,18,FALSE),"-")</f>
        <v>-</v>
      </c>
      <c r="CD45" s="141" t="str">
        <f>IFERROR(VLOOKUP("2H06-07-00-02",pareto,18,FALSE),"-")</f>
        <v>-</v>
      </c>
      <c r="CE45" s="138" t="str">
        <f>IFERROR(VLOOKUP("2H06-07-00-03",pareto,18,FALSE),"-")</f>
        <v>-</v>
      </c>
      <c r="CF45" s="137" t="str">
        <f>IFERROR(VLOOKUP("2H06-09-00-01",pareto,18,FALSE),"-")</f>
        <v>-</v>
      </c>
      <c r="CG45" s="141" t="str">
        <f>IFERROR(VLOOKUP("2H06-09-00-02",pareto,18,FALSE),"-")</f>
        <v>-</v>
      </c>
      <c r="CH45" s="138" t="str">
        <f>IFERROR(VLOOKUP("2H06-09-00-03",pareto,18,FALSE),"-")</f>
        <v>-</v>
      </c>
      <c r="CI45" s="137" t="str">
        <f>IFERROR(VLOOKUP("2H06-11-00-01",pareto,18,FALSE),"-")</f>
        <v>-</v>
      </c>
      <c r="CJ45" s="141" t="str">
        <f>IFERROR(VLOOKUP("2H06-11-00-02",pareto,18,FALSE),"-")</f>
        <v>-</v>
      </c>
      <c r="CK45" s="138" t="str">
        <f>IFERROR(VLOOKUP("2H06-11-00-03",pareto,18,FALSE),"-")</f>
        <v>-</v>
      </c>
      <c r="CL45" s="137" t="str">
        <f>IFERROR(VLOOKUP("2H06-13-00-01",pareto,18,FALSE),"-")</f>
        <v>-</v>
      </c>
      <c r="CM45" s="141" t="str">
        <f>IFERROR(VLOOKUP("2H06-13-00-02",pareto,18,FALSE),"-")</f>
        <v>-</v>
      </c>
      <c r="CN45" s="138" t="str">
        <f>IFERROR(VLOOKUP("2H06-13-00-03",pareto,18,FALSE),"-")</f>
        <v>-</v>
      </c>
      <c r="CO45" s="137" t="str">
        <f>IFERROR(VLOOKUP("2H06-15-00-01",pareto,18,FALSE),"-")</f>
        <v>-</v>
      </c>
      <c r="CP45" s="141" t="str">
        <f>IFERROR(VLOOKUP("2H06-15-00-02",pareto,18,FALSE),"-")</f>
        <v>-</v>
      </c>
      <c r="CQ45" s="138" t="str">
        <f>IFERROR(VLOOKUP("2H06-15-00-03",pareto,18,FALSE),"-")</f>
        <v>-</v>
      </c>
      <c r="CR45" s="20"/>
      <c r="CS45" s="21"/>
      <c r="CT45" s="107"/>
      <c r="CU45" s="171"/>
      <c r="CV45" s="172"/>
      <c r="CW45" s="107"/>
      <c r="CX45" s="171"/>
      <c r="CY45" s="172"/>
      <c r="CZ45" s="107"/>
      <c r="DA45" s="171"/>
      <c r="DB45" s="172"/>
      <c r="DC45" s="107"/>
      <c r="DD45" s="171"/>
      <c r="DE45" s="172"/>
      <c r="DF45" s="107"/>
      <c r="DG45" s="171"/>
      <c r="DH45" s="172"/>
      <c r="DI45" s="107"/>
      <c r="DJ45" s="171"/>
      <c r="DK45" s="172"/>
      <c r="DL45" s="20"/>
      <c r="DM45" s="20"/>
      <c r="DN45" s="20"/>
      <c r="DO45" s="198"/>
      <c r="DP45" s="199"/>
      <c r="DQ45" s="20"/>
      <c r="DR45" s="20"/>
      <c r="DS45" s="20"/>
      <c r="DT45" s="20"/>
      <c r="DU45" s="20"/>
      <c r="DV45" s="20"/>
      <c r="DW45" s="20"/>
      <c r="DX45" s="184"/>
      <c r="DY45" s="179"/>
      <c r="DZ45" s="180"/>
      <c r="EA45" s="184"/>
      <c r="EB45" s="179"/>
      <c r="EC45" s="180"/>
      <c r="ED45" s="184"/>
      <c r="EE45" s="179"/>
      <c r="EF45" s="180"/>
      <c r="EG45" s="184"/>
      <c r="EH45" s="179"/>
      <c r="EI45" s="180"/>
      <c r="EJ45" s="184"/>
      <c r="EK45" s="179"/>
      <c r="EL45" s="180"/>
      <c r="EM45" s="184"/>
      <c r="EN45" s="179"/>
      <c r="EO45" s="186"/>
      <c r="EP45" s="72"/>
      <c r="EQ45" s="20"/>
      <c r="ER45" s="20"/>
      <c r="ES45" s="20"/>
      <c r="ET45" s="89"/>
      <c r="EU45" s="90"/>
      <c r="EV45" s="20"/>
      <c r="EW45" s="20"/>
      <c r="EX45" s="20"/>
      <c r="EY45" s="89"/>
      <c r="EZ45" s="90"/>
      <c r="FA45" s="20"/>
      <c r="FB45" s="20"/>
      <c r="FC45" s="20"/>
      <c r="FD45" s="89"/>
      <c r="FE45" s="90"/>
      <c r="FF45" s="20"/>
      <c r="FG45" s="20"/>
      <c r="FH45" s="20"/>
      <c r="FI45" s="89"/>
      <c r="FJ45" s="90"/>
      <c r="FK45" s="20"/>
      <c r="FL45" s="20"/>
      <c r="FM45" s="20"/>
      <c r="FN45" s="89"/>
      <c r="FO45" s="90"/>
      <c r="FP45" s="20"/>
      <c r="FQ45" s="20"/>
      <c r="FR45" s="20"/>
      <c r="FS45" s="89"/>
      <c r="FT45" s="90"/>
      <c r="FU45" s="20"/>
      <c r="FV45" s="20"/>
      <c r="FW45" s="20"/>
      <c r="FX45" s="89"/>
      <c r="FY45" s="90"/>
      <c r="FZ45" s="20"/>
      <c r="GA45" s="20"/>
      <c r="GB45" s="20"/>
      <c r="GC45" s="89"/>
      <c r="GD45" s="90"/>
      <c r="GE45" s="20"/>
      <c r="GF45" s="20"/>
      <c r="GG45" s="20"/>
      <c r="GH45" s="229"/>
    </row>
    <row r="46" spans="3:190" ht="12" customHeight="1" thickTop="1" thickBot="1" x14ac:dyDescent="0.3">
      <c r="C46" s="270"/>
      <c r="D46" s="270"/>
      <c r="E46" s="270"/>
      <c r="F46" s="270"/>
      <c r="G46" s="270"/>
      <c r="H46" s="270"/>
      <c r="I46" s="270"/>
      <c r="J46" s="270"/>
      <c r="K46" s="270"/>
      <c r="L46" s="270"/>
      <c r="M46" s="270"/>
      <c r="N46" s="270"/>
      <c r="O46" s="270"/>
      <c r="P46" s="270"/>
      <c r="Q46" s="270"/>
      <c r="R46" s="9"/>
      <c r="S46" s="9"/>
      <c r="T46" s="9"/>
      <c r="U46" s="9"/>
      <c r="V46" s="9"/>
      <c r="W46" s="9"/>
      <c r="X46" s="9"/>
      <c r="Y46" s="9"/>
      <c r="Z46" s="9"/>
      <c r="AA46" s="271"/>
      <c r="AB46" s="271"/>
      <c r="AC46" s="271"/>
      <c r="AD46" s="271"/>
      <c r="AE46" s="271"/>
      <c r="AF46" s="271"/>
      <c r="AG46" s="271"/>
      <c r="AH46" s="271"/>
      <c r="AI46" s="271"/>
      <c r="AJ46" s="271"/>
      <c r="AK46" s="271"/>
      <c r="AL46" s="271"/>
      <c r="AM46" s="271"/>
      <c r="AN46" s="271"/>
      <c r="AO46" s="271"/>
      <c r="AP46" s="271"/>
      <c r="AQ46" s="271"/>
      <c r="AR46" s="271"/>
      <c r="AS46" s="271"/>
      <c r="AT46" s="271"/>
      <c r="AU46" s="271"/>
      <c r="AV46" s="271"/>
      <c r="AW46" s="271"/>
      <c r="AX46" s="271"/>
      <c r="AY46" s="271"/>
      <c r="AZ46" s="272"/>
      <c r="BA46" s="151" t="str">
        <f>IFERROR(VLOOKUP("2D01-07-00-01",pareto,18,FALSE),"-")</f>
        <v>-</v>
      </c>
      <c r="BB46" s="77"/>
      <c r="BC46" s="77"/>
      <c r="BD46" s="133" t="str">
        <f>IFERROR(VLOOKUP("2D01-06-04-03",pareto,18,FALSE),"-")</f>
        <v>-</v>
      </c>
      <c r="BE46" s="134" t="str">
        <f>IFERROR(VLOOKUP("2D01-06-04-06",pareto,18,FALSE),"-")</f>
        <v>-</v>
      </c>
      <c r="BF46" s="78"/>
      <c r="BG46" s="133" t="str">
        <f>IFERROR(VLOOKUP("2D02-05-04-03",pareto,18,FALSE),"-")</f>
        <v>-</v>
      </c>
      <c r="BH46" s="134" t="str">
        <f>IFERROR(VLOOKUP("2D02-05-04-06",pareto,18,FALSE),"-")</f>
        <v>-</v>
      </c>
      <c r="BI46" s="78"/>
      <c r="BJ46" s="78"/>
      <c r="BK46" s="78"/>
      <c r="BL46" s="78"/>
      <c r="BM46" s="133" t="str">
        <f>IFERROR(VLOOKUP("2D02-06-04-03",pareto,18,FALSE),"-")</f>
        <v>-</v>
      </c>
      <c r="BN46" s="134" t="str">
        <f>IFERROR(VLOOKUP("2D02-06-04-06",pareto,18,FALSE),"-")</f>
        <v>-</v>
      </c>
      <c r="BO46" s="78"/>
      <c r="BP46" s="133" t="str">
        <f>IFERROR(VLOOKUP("2D03-05-04-03",pareto,18,FALSE),"-")</f>
        <v>-</v>
      </c>
      <c r="BQ46" s="134" t="str">
        <f>IFERROR(VLOOKUP("2D03-05-04-06",pareto,18,FALSE),"-")</f>
        <v>-</v>
      </c>
      <c r="BR46" s="77"/>
      <c r="BS46" s="77"/>
      <c r="BT46" s="20"/>
      <c r="BU46" s="20"/>
      <c r="BV46" s="20"/>
      <c r="BW46" s="20"/>
      <c r="BX46" s="20"/>
      <c r="BY46" s="20"/>
      <c r="BZ46" s="20"/>
      <c r="CA46" s="20"/>
      <c r="CB46" s="20"/>
      <c r="CC46" s="20"/>
      <c r="CD46" s="20"/>
      <c r="CE46" s="20"/>
      <c r="CF46" s="20"/>
      <c r="CG46" s="20"/>
      <c r="CH46" s="20"/>
      <c r="CI46" s="20"/>
      <c r="CJ46" s="20"/>
      <c r="CK46" s="20"/>
      <c r="CL46" s="20"/>
      <c r="CM46" s="20"/>
      <c r="CN46" s="20"/>
      <c r="CO46" s="20"/>
      <c r="CP46" s="20"/>
      <c r="CQ46" s="20"/>
      <c r="CR46" s="20"/>
      <c r="CS46" s="21"/>
      <c r="CT46" s="19"/>
      <c r="CU46" s="20"/>
      <c r="CV46" s="20"/>
      <c r="CW46" s="20"/>
      <c r="CX46" s="20"/>
      <c r="CY46" s="20"/>
      <c r="CZ46" s="20"/>
      <c r="DA46" s="20"/>
      <c r="DB46" s="20"/>
      <c r="DC46" s="20"/>
      <c r="DD46" s="20"/>
      <c r="DE46" s="20"/>
      <c r="DF46" s="20"/>
      <c r="DG46" s="20"/>
      <c r="DH46" s="20"/>
      <c r="DI46" s="20"/>
      <c r="DJ46" s="20"/>
      <c r="DK46" s="20"/>
      <c r="DL46" s="20"/>
      <c r="DM46" s="20"/>
      <c r="DN46" s="20"/>
      <c r="DO46" s="200"/>
      <c r="DP46" s="201"/>
      <c r="DQ46" s="20"/>
      <c r="DR46" s="20"/>
      <c r="DS46" s="20"/>
      <c r="DT46" s="20"/>
      <c r="DU46" s="20"/>
      <c r="DV46" s="20"/>
      <c r="DW46" s="20"/>
      <c r="DX46" s="20"/>
      <c r="DY46" s="20"/>
      <c r="DZ46" s="20"/>
      <c r="EA46" s="20"/>
      <c r="EB46" s="20"/>
      <c r="EC46" s="20"/>
      <c r="ED46" s="20"/>
      <c r="EE46" s="20"/>
      <c r="EF46" s="20"/>
      <c r="EG46" s="20"/>
      <c r="EH46" s="20"/>
      <c r="EI46" s="20"/>
      <c r="EJ46" s="20"/>
      <c r="EK46" s="20"/>
      <c r="EL46" s="20"/>
      <c r="EM46" s="20"/>
      <c r="EN46" s="20"/>
      <c r="EO46" s="21"/>
      <c r="EP46" s="43" t="str">
        <f>IFERROR(VLOOKUP("4P01-43-00-02",pareto,18,FALSE),"-")</f>
        <v>-</v>
      </c>
      <c r="EQ46" s="20"/>
      <c r="ER46" s="20"/>
      <c r="ES46" s="20"/>
      <c r="ET46" s="218" t="str">
        <f>IFERROR(VLOOKUP("4P01-44-00-02",pareto,18,FALSE),"-")</f>
        <v>-</v>
      </c>
      <c r="EU46" s="41" t="str">
        <f>IFERROR(VLOOKUP("4P02-43-00-02",pareto,18,FALSE),"-")</f>
        <v>-</v>
      </c>
      <c r="EV46" s="20"/>
      <c r="EW46" s="20"/>
      <c r="EX46" s="20"/>
      <c r="EY46" s="218" t="str">
        <f>IFERROR(VLOOKUP("4P02-44-00-02",pareto,18,FALSE),"-")</f>
        <v>-</v>
      </c>
      <c r="EZ46" s="41" t="str">
        <f>IFERROR(VLOOKUP("4P03-43-00-02",pareto,18,FALSE),"-")</f>
        <v>-</v>
      </c>
      <c r="FA46" s="20"/>
      <c r="FB46" s="20"/>
      <c r="FC46" s="20"/>
      <c r="FD46" s="218" t="str">
        <f>IFERROR(VLOOKUP("4P03-44-00-02",pareto,18,FALSE),"-")</f>
        <v>-</v>
      </c>
      <c r="FE46" s="41" t="str">
        <f>IFERROR(VLOOKUP("4P04-43-00-02",pareto,18,FALSE),"-")</f>
        <v>-</v>
      </c>
      <c r="FF46" s="20"/>
      <c r="FG46" s="20"/>
      <c r="FH46" s="20"/>
      <c r="FI46" s="218" t="str">
        <f>IFERROR(VLOOKUP("4P04-44-00-02",pareto,18,FALSE),"-")</f>
        <v>-</v>
      </c>
      <c r="FJ46" s="41" t="str">
        <f>IFERROR(VLOOKUP("4P05-43-00-02",pareto,18,FALSE),"-")</f>
        <v>-</v>
      </c>
      <c r="FK46" s="20"/>
      <c r="FL46" s="20"/>
      <c r="FM46" s="20"/>
      <c r="FN46" s="218" t="str">
        <f>IFERROR(VLOOKUP("4P05-44-00-02",pareto,18,FALSE),"-")</f>
        <v>-</v>
      </c>
      <c r="FO46" s="41" t="str">
        <f>IFERROR(VLOOKUP("4P06-43-00-02",pareto,18,FALSE),"-")</f>
        <v>-</v>
      </c>
      <c r="FP46" s="20"/>
      <c r="FQ46" s="20"/>
      <c r="FR46" s="20"/>
      <c r="FS46" s="218" t="str">
        <f>IFERROR(VLOOKUP("4P06-44-00-02",pareto,18,FALSE),"-")</f>
        <v>-</v>
      </c>
      <c r="FT46" s="41" t="str">
        <f>IFERROR(VLOOKUP("4P07-43-00-02",pareto,18,FALSE),"-")</f>
        <v>-</v>
      </c>
      <c r="FU46" s="20"/>
      <c r="FV46" s="20"/>
      <c r="FW46" s="20"/>
      <c r="FX46" s="218" t="str">
        <f>IFERROR(VLOOKUP("4P07-44-00-02",pareto,18,FALSE),"-")</f>
        <v>-</v>
      </c>
      <c r="FY46" s="41" t="str">
        <f>IFERROR(VLOOKUP("4P08-43-00-02",pareto,18,FALSE),"-")</f>
        <v>-</v>
      </c>
      <c r="FZ46" s="20"/>
      <c r="GA46" s="20"/>
      <c r="GB46" s="20"/>
      <c r="GC46" s="218" t="str">
        <f>IFERROR(VLOOKUP("4P08-44-00-02",pareto,18,FALSE),"-")</f>
        <v>-</v>
      </c>
      <c r="GD46" s="41" t="str">
        <f>IFERROR(VLOOKUP("4P09-43-00-02",pareto,18,FALSE),"-")</f>
        <v>-</v>
      </c>
      <c r="GE46" s="20"/>
      <c r="GF46" s="20"/>
      <c r="GG46" s="20"/>
      <c r="GH46" s="227" t="str">
        <f>IFERROR(VLOOKUP("4P09-44-00-02",pareto,18,FALSE),"-")</f>
        <v>-</v>
      </c>
    </row>
    <row r="47" spans="3:190" ht="12" customHeight="1" thickTop="1" thickBot="1" x14ac:dyDescent="0.3">
      <c r="C47" s="270"/>
      <c r="D47" s="270"/>
      <c r="E47" s="270"/>
      <c r="F47" s="270"/>
      <c r="G47" s="270"/>
      <c r="H47" s="270"/>
      <c r="I47" s="270"/>
      <c r="J47" s="270"/>
      <c r="K47" s="270"/>
      <c r="L47" s="270"/>
      <c r="M47" s="270"/>
      <c r="N47" s="270"/>
      <c r="O47" s="270"/>
      <c r="P47" s="270"/>
      <c r="Q47" s="270"/>
      <c r="R47" s="9"/>
      <c r="S47" s="9"/>
      <c r="T47" s="9"/>
      <c r="U47" s="9"/>
      <c r="V47" s="9"/>
      <c r="W47" s="9"/>
      <c r="X47" s="9"/>
      <c r="Y47" s="9"/>
      <c r="Z47" s="9"/>
      <c r="AA47" s="271"/>
      <c r="AB47" s="271"/>
      <c r="AC47" s="271"/>
      <c r="AD47" s="271"/>
      <c r="AE47" s="271"/>
      <c r="AF47" s="271"/>
      <c r="AG47" s="271"/>
      <c r="AH47" s="271"/>
      <c r="AI47" s="271"/>
      <c r="AJ47" s="271"/>
      <c r="AK47" s="271"/>
      <c r="AL47" s="271"/>
      <c r="AM47" s="271"/>
      <c r="AN47" s="271"/>
      <c r="AO47" s="271"/>
      <c r="AP47" s="271"/>
      <c r="AQ47" s="271"/>
      <c r="AR47" s="271"/>
      <c r="AS47" s="271"/>
      <c r="AT47" s="271"/>
      <c r="AU47" s="271"/>
      <c r="AV47" s="271"/>
      <c r="AW47" s="271"/>
      <c r="AX47" s="271"/>
      <c r="AY47" s="271"/>
      <c r="AZ47" s="272"/>
      <c r="BA47" s="152" t="str">
        <f>IFERROR(VLOOKUP("2D01-05-00-03",pareto,18,FALSE),"-")</f>
        <v>-</v>
      </c>
      <c r="BB47" s="77"/>
      <c r="BC47" s="77"/>
      <c r="BD47" s="135" t="str">
        <f>IFERROR(VLOOKUP("2D01-06-04-02",pareto,18,FALSE),"-")</f>
        <v>-</v>
      </c>
      <c r="BE47" s="136" t="str">
        <f>IFERROR(VLOOKUP("2D01-06-04-05",pareto,18,FALSE),"-")</f>
        <v>-</v>
      </c>
      <c r="BF47" s="78"/>
      <c r="BG47" s="135" t="str">
        <f>IFERROR(VLOOKUP("2D02-05-04-02",pareto,18,FALSE),"-")</f>
        <v>-</v>
      </c>
      <c r="BH47" s="136" t="str">
        <f>IFERROR(VLOOKUP("2D02-05-04-05",pareto,18,FALSE),"-")</f>
        <v>-</v>
      </c>
      <c r="BI47" s="78"/>
      <c r="BJ47" s="78"/>
      <c r="BK47" s="78"/>
      <c r="BL47" s="78"/>
      <c r="BM47" s="144"/>
      <c r="BN47" s="136" t="str">
        <f>IFERROR(VLOOKUP("2D02-06-04-05",pareto,18,FALSE),"-")</f>
        <v>-</v>
      </c>
      <c r="BO47" s="78"/>
      <c r="BP47" s="135" t="str">
        <f>IFERROR(VLOOKUP("2D03-05-04-02",pareto,18,FALSE),"-")</f>
        <v>-</v>
      </c>
      <c r="BQ47" s="136" t="str">
        <f>IFERROR(VLOOKUP("2D03-05-04-05",pareto,18,FALSE),"-")</f>
        <v>-</v>
      </c>
      <c r="BR47" s="77"/>
      <c r="BS47" s="77"/>
      <c r="BT47" s="20"/>
      <c r="BU47" s="20"/>
      <c r="BV47" s="20"/>
      <c r="BW47" s="20"/>
      <c r="BX47" s="20"/>
      <c r="BY47" s="20"/>
      <c r="BZ47" s="20"/>
      <c r="CA47" s="20"/>
      <c r="CB47" s="20"/>
      <c r="CC47" s="20"/>
      <c r="CD47" s="20"/>
      <c r="CE47" s="20"/>
      <c r="CF47" s="20"/>
      <c r="CG47" s="20"/>
      <c r="CH47" s="20"/>
      <c r="CI47" s="20"/>
      <c r="CJ47" s="20"/>
      <c r="CK47" s="20"/>
      <c r="CL47" s="20"/>
      <c r="CM47" s="20"/>
      <c r="CN47" s="20"/>
      <c r="CO47" s="20"/>
      <c r="CP47" s="20"/>
      <c r="CQ47" s="20"/>
      <c r="CR47" s="20"/>
      <c r="CS47" s="21"/>
      <c r="CT47" s="19"/>
      <c r="CU47" s="20"/>
      <c r="CV47" s="20"/>
      <c r="CW47" s="20"/>
      <c r="CX47" s="20"/>
      <c r="CY47" s="20"/>
      <c r="CZ47" s="20"/>
      <c r="DA47" s="20"/>
      <c r="DB47" s="20"/>
      <c r="DC47" s="20"/>
      <c r="DD47" s="20"/>
      <c r="DE47" s="20"/>
      <c r="DF47" s="20"/>
      <c r="DG47" s="20"/>
      <c r="DH47" s="20"/>
      <c r="DI47" s="20"/>
      <c r="DJ47" s="20"/>
      <c r="DK47" s="20"/>
      <c r="DL47" s="20"/>
      <c r="DM47" s="20"/>
      <c r="DN47" s="20"/>
      <c r="DO47" s="196"/>
      <c r="DP47" s="197"/>
      <c r="DQ47" s="20"/>
      <c r="DR47" s="20"/>
      <c r="DS47" s="20"/>
      <c r="DT47" s="20"/>
      <c r="DU47" s="20"/>
      <c r="DV47" s="20"/>
      <c r="DW47" s="20"/>
      <c r="DX47" s="20"/>
      <c r="DY47" s="20"/>
      <c r="DZ47" s="20"/>
      <c r="EA47" s="20"/>
      <c r="EB47" s="20"/>
      <c r="EC47" s="20"/>
      <c r="ED47" s="20"/>
      <c r="EE47" s="20"/>
      <c r="EF47" s="20"/>
      <c r="EG47" s="20"/>
      <c r="EH47" s="20"/>
      <c r="EI47" s="20"/>
      <c r="EJ47" s="20"/>
      <c r="EK47" s="20"/>
      <c r="EL47" s="20"/>
      <c r="EM47" s="20"/>
      <c r="EN47" s="20"/>
      <c r="EO47" s="21"/>
      <c r="EP47" s="42" t="str">
        <f>IFERROR(VLOOKUP("4P01-43-00-01",pareto,18,FALSE),"-")</f>
        <v>-</v>
      </c>
      <c r="EQ47" s="20"/>
      <c r="ER47" s="20"/>
      <c r="ES47" s="20"/>
      <c r="ET47" s="219" t="str">
        <f>IFERROR(VLOOKUP("4P01-44-00-01",pareto,18,FALSE),"-")</f>
        <v>-</v>
      </c>
      <c r="EU47" s="42" t="str">
        <f>IFERROR(VLOOKUP("4P02-43-00-01",pareto,18,FALSE),"-")</f>
        <v>-</v>
      </c>
      <c r="EV47" s="20"/>
      <c r="EW47" s="20"/>
      <c r="EX47" s="20"/>
      <c r="EY47" s="219" t="str">
        <f>IFERROR(VLOOKUP("4P02-44-00-01",pareto,18,FALSE),"-")</f>
        <v>-</v>
      </c>
      <c r="EZ47" s="42" t="str">
        <f>IFERROR(VLOOKUP("4P03-43-00-01",pareto,18,FALSE),"-")</f>
        <v>-</v>
      </c>
      <c r="FA47" s="20"/>
      <c r="FB47" s="20"/>
      <c r="FC47" s="20"/>
      <c r="FD47" s="219" t="str">
        <f>IFERROR(VLOOKUP("4P03-44-00-01",pareto,18,FALSE),"-")</f>
        <v>-</v>
      </c>
      <c r="FE47" s="42" t="str">
        <f>IFERROR(VLOOKUP("4P04-43-00-01",pareto,18,FALSE),"-")</f>
        <v>-</v>
      </c>
      <c r="FF47" s="20"/>
      <c r="FG47" s="20"/>
      <c r="FH47" s="20"/>
      <c r="FI47" s="219" t="str">
        <f>IFERROR(VLOOKUP("4P04-44-00-01",pareto,18,FALSE),"-")</f>
        <v>-</v>
      </c>
      <c r="FJ47" s="42" t="str">
        <f>IFERROR(VLOOKUP("4P05-43-00-01",pareto,18,FALSE),"-")</f>
        <v>-</v>
      </c>
      <c r="FK47" s="20"/>
      <c r="FL47" s="20"/>
      <c r="FM47" s="20"/>
      <c r="FN47" s="219" t="str">
        <f>IFERROR(VLOOKUP("4P05-44-00-01",pareto,18,FALSE),"-")</f>
        <v>-</v>
      </c>
      <c r="FO47" s="42" t="str">
        <f>IFERROR(VLOOKUP("4P06-43-00-01",pareto,18,FALSE),"-")</f>
        <v>-</v>
      </c>
      <c r="FP47" s="20"/>
      <c r="FQ47" s="20"/>
      <c r="FR47" s="20"/>
      <c r="FS47" s="219" t="str">
        <f>IFERROR(VLOOKUP("4P06-44-00-01",pareto,18,FALSE),"-")</f>
        <v>-</v>
      </c>
      <c r="FT47" s="42" t="str">
        <f>IFERROR(VLOOKUP("4P07-43-00-01",pareto,18,FALSE),"-")</f>
        <v>-</v>
      </c>
      <c r="FU47" s="20"/>
      <c r="FV47" s="20"/>
      <c r="FW47" s="20"/>
      <c r="FX47" s="219" t="str">
        <f>IFERROR(VLOOKUP("4P07-44-00-01",pareto,18,FALSE),"-")</f>
        <v>-</v>
      </c>
      <c r="FY47" s="42" t="str">
        <f>IFERROR(VLOOKUP("4P08-43-00-01",pareto,18,FALSE),"-")</f>
        <v>-</v>
      </c>
      <c r="FZ47" s="20"/>
      <c r="GA47" s="20"/>
      <c r="GB47" s="20"/>
      <c r="GC47" s="219" t="str">
        <f>IFERROR(VLOOKUP("4P08-44-00-01",pareto,18,FALSE),"-")</f>
        <v>-</v>
      </c>
      <c r="GD47" s="42" t="str">
        <f>IFERROR(VLOOKUP("4P09-43-00-01",pareto,18,FALSE),"-")</f>
        <v>-</v>
      </c>
      <c r="GE47" s="20"/>
      <c r="GF47" s="20"/>
      <c r="GG47" s="20"/>
      <c r="GH47" s="228" t="str">
        <f>IFERROR(VLOOKUP("4P09-44-00-01",pareto,18,FALSE),"-")</f>
        <v>-</v>
      </c>
    </row>
    <row r="48" spans="3:190" ht="12" customHeight="1" thickTop="1" thickBot="1" x14ac:dyDescent="0.3">
      <c r="C48" s="270"/>
      <c r="D48" s="270"/>
      <c r="E48" s="270"/>
      <c r="F48" s="270"/>
      <c r="G48" s="270"/>
      <c r="H48" s="270"/>
      <c r="I48" s="270"/>
      <c r="J48" s="270"/>
      <c r="K48" s="270"/>
      <c r="L48" s="270"/>
      <c r="M48" s="270"/>
      <c r="N48" s="270"/>
      <c r="O48" s="270"/>
      <c r="P48" s="270"/>
      <c r="Q48" s="270"/>
      <c r="R48" s="9"/>
      <c r="S48" s="9"/>
      <c r="T48" s="9"/>
      <c r="U48" s="9"/>
      <c r="V48" s="9"/>
      <c r="W48" s="9"/>
      <c r="X48" s="9"/>
      <c r="Y48" s="9"/>
      <c r="Z48" s="9"/>
      <c r="AA48" s="271"/>
      <c r="AB48" s="271"/>
      <c r="AC48" s="271"/>
      <c r="AD48" s="271"/>
      <c r="AE48" s="271"/>
      <c r="AF48" s="271"/>
      <c r="AG48" s="271"/>
      <c r="AH48" s="271"/>
      <c r="AI48" s="271"/>
      <c r="AJ48" s="271"/>
      <c r="AK48" s="271"/>
      <c r="AL48" s="271"/>
      <c r="AM48" s="271"/>
      <c r="AN48" s="271"/>
      <c r="AO48" s="271"/>
      <c r="AP48" s="271"/>
      <c r="AQ48" s="271"/>
      <c r="AR48" s="271"/>
      <c r="AS48" s="271"/>
      <c r="AT48" s="271"/>
      <c r="AU48" s="271"/>
      <c r="AV48" s="271"/>
      <c r="AW48" s="271"/>
      <c r="AX48" s="271"/>
      <c r="AY48" s="271"/>
      <c r="AZ48" s="272"/>
      <c r="BA48" s="150" t="str">
        <f>IFERROR(VLOOKUP("2D01-05-00-02",pareto,18,FALSE),"-")</f>
        <v>-</v>
      </c>
      <c r="BB48" s="77"/>
      <c r="BC48" s="77"/>
      <c r="BD48" s="137" t="str">
        <f>IFERROR(VLOOKUP("2D01-06-04-01",pareto,18,FALSE),"-")</f>
        <v>-</v>
      </c>
      <c r="BE48" s="138" t="str">
        <f>IFERROR(VLOOKUP("2D01-06-04-04",pareto,18,FALSE),"-")</f>
        <v>-</v>
      </c>
      <c r="BF48" s="78"/>
      <c r="BG48" s="137" t="str">
        <f>IFERROR(VLOOKUP("2D02-05-04-01",pareto,18,FALSE),"-")</f>
        <v>-</v>
      </c>
      <c r="BH48" s="138" t="str">
        <f>IFERROR(VLOOKUP("2D02-05-04-04",pareto,18,FALSE),"-")</f>
        <v>-</v>
      </c>
      <c r="BI48" s="78"/>
      <c r="BJ48" s="78"/>
      <c r="BK48" s="78"/>
      <c r="BL48" s="78"/>
      <c r="BM48" s="137" t="str">
        <f>IFERROR(VLOOKUP("2D02-06-04-01",pareto,18,FALSE),"-")</f>
        <v>-</v>
      </c>
      <c r="BN48" s="138" t="str">
        <f>IFERROR(VLOOKUP("2D02-06-04-04",pareto,18,FALSE),"-")</f>
        <v>-</v>
      </c>
      <c r="BO48" s="78"/>
      <c r="BP48" s="137" t="str">
        <f>IFERROR(VLOOKUP("2D03-05-04-01",pareto,18,FALSE),"-")</f>
        <v>-</v>
      </c>
      <c r="BQ48" s="138" t="str">
        <f>IFERROR(VLOOKUP("2D03-05-04-04",pareto,18,FALSE),"-")</f>
        <v>-</v>
      </c>
      <c r="BR48" s="77"/>
      <c r="BS48" s="77"/>
      <c r="BT48" s="20"/>
      <c r="BU48" s="20"/>
      <c r="BV48" s="20"/>
      <c r="BW48" s="20"/>
      <c r="BX48" s="20"/>
      <c r="BY48" s="20"/>
      <c r="BZ48" s="20"/>
      <c r="CA48" s="20"/>
      <c r="CB48" s="20"/>
      <c r="CC48" s="20"/>
      <c r="CD48" s="20"/>
      <c r="CE48" s="20"/>
      <c r="CF48" s="20"/>
      <c r="CG48" s="20"/>
      <c r="CH48" s="20"/>
      <c r="CI48" s="20"/>
      <c r="CJ48" s="20"/>
      <c r="CK48" s="20"/>
      <c r="CL48" s="20"/>
      <c r="CM48" s="20"/>
      <c r="CN48" s="20"/>
      <c r="CO48" s="20"/>
      <c r="CP48" s="20"/>
      <c r="CQ48" s="20"/>
      <c r="CR48" s="20"/>
      <c r="CS48" s="21"/>
      <c r="CT48" s="19"/>
      <c r="CU48" s="20"/>
      <c r="CV48" s="20"/>
      <c r="CW48" s="20"/>
      <c r="CX48" s="20"/>
      <c r="CY48" s="20"/>
      <c r="CZ48" s="20"/>
      <c r="DA48" s="20"/>
      <c r="DB48" s="20"/>
      <c r="DC48" s="20"/>
      <c r="DD48" s="20"/>
      <c r="DE48" s="20"/>
      <c r="DF48" s="20"/>
      <c r="DG48" s="20"/>
      <c r="DH48" s="20"/>
      <c r="DI48" s="20"/>
      <c r="DJ48" s="20"/>
      <c r="DK48" s="20"/>
      <c r="DL48" s="20"/>
      <c r="DM48" s="20"/>
      <c r="DN48" s="20"/>
      <c r="DO48" s="198"/>
      <c r="DP48" s="199"/>
      <c r="DQ48" s="20"/>
      <c r="DR48" s="20"/>
      <c r="DS48" s="20"/>
      <c r="DT48" s="20"/>
      <c r="DU48" s="20"/>
      <c r="DV48" s="20"/>
      <c r="DW48" s="20"/>
      <c r="DX48" s="20"/>
      <c r="DY48" s="20"/>
      <c r="DZ48" s="20"/>
      <c r="EA48" s="20"/>
      <c r="EB48" s="20"/>
      <c r="EC48" s="20"/>
      <c r="ED48" s="20"/>
      <c r="EE48" s="20"/>
      <c r="EF48" s="20"/>
      <c r="EG48" s="20"/>
      <c r="EH48" s="20"/>
      <c r="EI48" s="20"/>
      <c r="EJ48" s="20"/>
      <c r="EK48" s="20"/>
      <c r="EL48" s="20"/>
      <c r="EM48" s="20"/>
      <c r="EN48" s="20"/>
      <c r="EO48" s="21"/>
      <c r="EP48" s="40" t="str">
        <f>IFERROR(VLOOKUP("4P01-41-00-03",pareto,18,FALSE),"-")</f>
        <v>-</v>
      </c>
      <c r="EQ48" s="20"/>
      <c r="ER48" s="20"/>
      <c r="ES48" s="20"/>
      <c r="ET48" s="217" t="str">
        <f>IFERROR(VLOOKUP("4P01-42-00-03",pareto,18,FALSE),"-")</f>
        <v>-</v>
      </c>
      <c r="EU48" s="40" t="str">
        <f>IFERROR(VLOOKUP("4P02-41-00-03",pareto,18,FALSE),"-")</f>
        <v>-</v>
      </c>
      <c r="EV48" s="20"/>
      <c r="EW48" s="20"/>
      <c r="EX48" s="20"/>
      <c r="EY48" s="217" t="str">
        <f>IFERROR(VLOOKUP("4P02-42-00-03",pareto,18,FALSE),"-")</f>
        <v>-</v>
      </c>
      <c r="EZ48" s="40" t="str">
        <f>IFERROR(VLOOKUP("4P03-41-00-03",pareto,18,FALSE),"-")</f>
        <v>-</v>
      </c>
      <c r="FA48" s="20"/>
      <c r="FB48" s="20"/>
      <c r="FC48" s="20"/>
      <c r="FD48" s="217" t="str">
        <f>IFERROR(VLOOKUP("4P03-42-00-03",pareto,18,FALSE),"-")</f>
        <v>-</v>
      </c>
      <c r="FE48" s="40" t="str">
        <f>IFERROR(VLOOKUP("4P04-41-00-03",pareto,18,FALSE),"-")</f>
        <v>-</v>
      </c>
      <c r="FF48" s="20"/>
      <c r="FG48" s="20"/>
      <c r="FH48" s="20"/>
      <c r="FI48" s="217" t="str">
        <f>IFERROR(VLOOKUP("4P04-42-00-03",pareto,18,FALSE),"-")</f>
        <v>-</v>
      </c>
      <c r="FJ48" s="40" t="str">
        <f>IFERROR(VLOOKUP("4P05-41-00-03",pareto,18,FALSE),"-")</f>
        <v>-</v>
      </c>
      <c r="FK48" s="20"/>
      <c r="FL48" s="20"/>
      <c r="FM48" s="20"/>
      <c r="FN48" s="217" t="str">
        <f>IFERROR(VLOOKUP("4P05-42-00-03",pareto,18,FALSE),"-")</f>
        <v>-</v>
      </c>
      <c r="FO48" s="40" t="str">
        <f>IFERROR(VLOOKUP("4P06-41-00-03",pareto,18,FALSE),"-")</f>
        <v>-</v>
      </c>
      <c r="FP48" s="20"/>
      <c r="FQ48" s="20"/>
      <c r="FR48" s="20"/>
      <c r="FS48" s="217" t="str">
        <f>IFERROR(VLOOKUP("4P06-42-00-03",pareto,18,FALSE),"-")</f>
        <v>-</v>
      </c>
      <c r="FT48" s="40" t="str">
        <f>IFERROR(VLOOKUP("4P07-41-00-03",pareto,18,FALSE),"-")</f>
        <v>-</v>
      </c>
      <c r="FU48" s="20"/>
      <c r="FV48" s="20"/>
      <c r="FW48" s="20"/>
      <c r="FX48" s="217" t="str">
        <f>IFERROR(VLOOKUP("4P07-42-00-03",pareto,18,FALSE),"-")</f>
        <v>-</v>
      </c>
      <c r="FY48" s="40" t="str">
        <f>IFERROR(VLOOKUP("4P08-41-00-03",pareto,18,FALSE),"-")</f>
        <v>-</v>
      </c>
      <c r="FZ48" s="20"/>
      <c r="GA48" s="20"/>
      <c r="GB48" s="20"/>
      <c r="GC48" s="217" t="str">
        <f>IFERROR(VLOOKUP("4P08-42-00-03",pareto,18,FALSE),"-")</f>
        <v>-</v>
      </c>
      <c r="GD48" s="40" t="str">
        <f>IFERROR(VLOOKUP("4P09-41-00-03",pareto,18,FALSE),"-")</f>
        <v>-</v>
      </c>
      <c r="GE48" s="20"/>
      <c r="GF48" s="20"/>
      <c r="GG48" s="20"/>
      <c r="GH48" s="224" t="str">
        <f>IFERROR(VLOOKUP("4P09-42-00-03",pareto,18,FALSE),"-")</f>
        <v>-</v>
      </c>
    </row>
    <row r="49" spans="3:190" ht="12" customHeight="1" thickTop="1" thickBot="1" x14ac:dyDescent="0.3">
      <c r="C49" s="270"/>
      <c r="D49" s="270"/>
      <c r="E49" s="270"/>
      <c r="F49" s="270"/>
      <c r="G49" s="270"/>
      <c r="H49" s="270"/>
      <c r="I49" s="270"/>
      <c r="J49" s="270"/>
      <c r="K49" s="270"/>
      <c r="L49" s="270"/>
      <c r="M49" s="270"/>
      <c r="N49" s="270"/>
      <c r="O49" s="270"/>
      <c r="P49" s="270"/>
      <c r="Q49" s="270"/>
      <c r="R49" s="9"/>
      <c r="S49" s="9"/>
      <c r="T49" s="9"/>
      <c r="U49" s="9"/>
      <c r="V49" s="9"/>
      <c r="W49" s="9"/>
      <c r="X49" s="9"/>
      <c r="Y49" s="9"/>
      <c r="Z49" s="9"/>
      <c r="AA49" s="271"/>
      <c r="AB49" s="271"/>
      <c r="AC49" s="271"/>
      <c r="AD49" s="271"/>
      <c r="AE49" s="271"/>
      <c r="AF49" s="271"/>
      <c r="AG49" s="271"/>
      <c r="AH49" s="271"/>
      <c r="AI49" s="271"/>
      <c r="AJ49" s="271"/>
      <c r="AK49" s="271"/>
      <c r="AL49" s="271"/>
      <c r="AM49" s="271"/>
      <c r="AN49" s="271"/>
      <c r="AO49" s="271"/>
      <c r="AP49" s="271"/>
      <c r="AQ49" s="271"/>
      <c r="AR49" s="271"/>
      <c r="AS49" s="271"/>
      <c r="AT49" s="271"/>
      <c r="AU49" s="271"/>
      <c r="AV49" s="271"/>
      <c r="AW49" s="271"/>
      <c r="AX49" s="271"/>
      <c r="AY49" s="271"/>
      <c r="AZ49" s="272"/>
      <c r="BA49" s="151" t="str">
        <f>IFERROR(VLOOKUP("2D01-05-00-01",pareto,18,FALSE),"-")</f>
        <v>-</v>
      </c>
      <c r="BB49" s="77"/>
      <c r="BC49" s="77"/>
      <c r="BD49" s="133" t="str">
        <f>IFERROR(VLOOKUP("2D01-04-04-03",pareto,18,FALSE),"-")</f>
        <v>-</v>
      </c>
      <c r="BE49" s="134" t="str">
        <f>IFERROR(VLOOKUP("2D01-04-04-06",pareto,18,FALSE),"-")</f>
        <v>-</v>
      </c>
      <c r="BF49" s="78"/>
      <c r="BG49" s="133" t="str">
        <f>IFERROR(VLOOKUP("2D02-03-04-03",pareto,18,FALSE),"-")</f>
        <v>-</v>
      </c>
      <c r="BH49" s="134" t="str">
        <f>IFERROR(VLOOKUP("2D02-03-04-06",pareto,18,FALSE),"-")</f>
        <v>-</v>
      </c>
      <c r="BI49" s="78"/>
      <c r="BJ49" s="78"/>
      <c r="BK49" s="78"/>
      <c r="BL49" s="78"/>
      <c r="BM49" s="133" t="str">
        <f>IFERROR(VLOOKUP("2D02-04-04-03",pareto,18,FALSE),"-")</f>
        <v>-</v>
      </c>
      <c r="BN49" s="134" t="str">
        <f>IFERROR(VLOOKUP("2D02-04-04-06",pareto,18,FALSE),"-")</f>
        <v>-</v>
      </c>
      <c r="BO49" s="78"/>
      <c r="BP49" s="133" t="str">
        <f>IFERROR(VLOOKUP("2D03-03-04-03",pareto,18,FALSE),"-")</f>
        <v>-</v>
      </c>
      <c r="BQ49" s="134" t="str">
        <f>IFERROR(VLOOKUP("2D03-03-04-06",pareto,18,FALSE),"-")</f>
        <v>-</v>
      </c>
      <c r="BR49" s="77"/>
      <c r="BS49" s="77">
        <v>6</v>
      </c>
      <c r="BT49" s="133" t="str">
        <f>IFERROR(VLOOKUP("2H06-02-00-01",pareto,18,FALSE),"-")</f>
        <v>-</v>
      </c>
      <c r="BU49" s="140" t="str">
        <f>IFERROR(VLOOKUP("2H06-02-00-02",pareto,18,FALSE),"-")</f>
        <v>-</v>
      </c>
      <c r="BV49" s="134" t="str">
        <f>IFERROR(VLOOKUP("2H06-02-00-03",pareto,18,FALSE),"-")</f>
        <v>-</v>
      </c>
      <c r="BW49" s="133" t="str">
        <f>IFERROR(VLOOKUP("2H06-04-00-01",pareto,18,FALSE),"-")</f>
        <v>-</v>
      </c>
      <c r="BX49" s="140" t="str">
        <f>IFERROR(VLOOKUP("2H06-04-00-02",pareto,18,FALSE),"-")</f>
        <v>-</v>
      </c>
      <c r="BY49" s="134" t="str">
        <f>IFERROR(VLOOKUP("2H06-04-00-03",pareto,18,FALSE),"-")</f>
        <v>-</v>
      </c>
      <c r="BZ49" s="133" t="str">
        <f>IFERROR(VLOOKUP("2H06-06-00-01",pareto,18,FALSE),"-")</f>
        <v>-</v>
      </c>
      <c r="CA49" s="140" t="str">
        <f>IFERROR(VLOOKUP("2H06-06-00-02",pareto,18,FALSE),"-")</f>
        <v>-</v>
      </c>
      <c r="CB49" s="134" t="str">
        <f>IFERROR(VLOOKUP("2H06-06-00-03",pareto,18,FALSE),"-")</f>
        <v>-</v>
      </c>
      <c r="CC49" s="142"/>
      <c r="CD49" s="143"/>
      <c r="CE49" s="134" t="str">
        <f>IFERROR(VLOOKUP("2H06-08-00-03",pareto,18,FALSE),"-")</f>
        <v>-</v>
      </c>
      <c r="CF49" s="133" t="str">
        <f>IFERROR(VLOOKUP("2H06-10-00-01",pareto,18,FALSE),"-")</f>
        <v>-</v>
      </c>
      <c r="CG49" s="140" t="str">
        <f>IFERROR(VLOOKUP("2H06-10-00-02",pareto,18,FALSE),"-")</f>
        <v>-</v>
      </c>
      <c r="CH49" s="134" t="str">
        <f>IFERROR(VLOOKUP("2H06-10-00-03",pareto,18,FALSE),"-")</f>
        <v>-</v>
      </c>
      <c r="CI49" s="133" t="str">
        <f>IFERROR(VLOOKUP("2H06-12-00-01",pareto,18,FALSE),"-")</f>
        <v>-</v>
      </c>
      <c r="CJ49" s="140" t="str">
        <f>IFERROR(VLOOKUP("2H06-12-00-02",pareto,18,FALSE),"-")</f>
        <v>-</v>
      </c>
      <c r="CK49" s="134" t="str">
        <f>IFERROR(VLOOKUP("2H06-12-00-03",pareto,18,FALSE),"-")</f>
        <v>-</v>
      </c>
      <c r="CL49" s="20"/>
      <c r="CM49" s="20"/>
      <c r="CN49" s="20"/>
      <c r="CO49" s="20"/>
      <c r="CP49" s="20"/>
      <c r="CQ49" s="20"/>
      <c r="CR49" s="20"/>
      <c r="CS49" s="21"/>
      <c r="CT49" s="19"/>
      <c r="CU49" s="20"/>
      <c r="CV49" s="20"/>
      <c r="CW49" s="20"/>
      <c r="CX49" s="20"/>
      <c r="CY49" s="20"/>
      <c r="CZ49" s="20"/>
      <c r="DA49" s="20"/>
      <c r="DB49" s="20"/>
      <c r="DC49" s="20"/>
      <c r="DD49" s="20"/>
      <c r="DE49" s="20"/>
      <c r="DF49" s="20"/>
      <c r="DG49" s="20"/>
      <c r="DH49" s="20"/>
      <c r="DI49" s="20"/>
      <c r="DJ49" s="20"/>
      <c r="DK49" s="20"/>
      <c r="DL49" s="20"/>
      <c r="DM49" s="20"/>
      <c r="DN49" s="20"/>
      <c r="DO49" s="200"/>
      <c r="DP49" s="87" t="s">
        <v>103</v>
      </c>
      <c r="DQ49" s="20"/>
      <c r="DR49" s="20"/>
      <c r="DS49" s="20"/>
      <c r="DT49" s="20"/>
      <c r="DU49" s="20"/>
      <c r="DV49" s="20"/>
      <c r="DW49" s="20"/>
      <c r="DX49" s="20"/>
      <c r="DY49" s="20"/>
      <c r="DZ49" s="20"/>
      <c r="EA49" s="20"/>
      <c r="EB49" s="20"/>
      <c r="EC49" s="20"/>
      <c r="ED49" s="20"/>
      <c r="EE49" s="20"/>
      <c r="EF49" s="20"/>
      <c r="EG49" s="20"/>
      <c r="EH49" s="20"/>
      <c r="EI49" s="20"/>
      <c r="EJ49" s="20"/>
      <c r="EK49" s="20"/>
      <c r="EL49" s="20"/>
      <c r="EM49" s="20"/>
      <c r="EN49" s="20"/>
      <c r="EO49" s="21"/>
      <c r="EP49" s="43" t="str">
        <f>IFERROR(VLOOKUP("4P01-41-00-02",pareto,18,FALSE),"-")</f>
        <v>-</v>
      </c>
      <c r="EQ49" s="20"/>
      <c r="ER49" s="20"/>
      <c r="ES49" s="21"/>
      <c r="ET49" s="218" t="str">
        <f>IFERROR(VLOOKUP("4P01-42-00-02",pareto,18,FALSE),"-")</f>
        <v>-</v>
      </c>
      <c r="EU49" s="41" t="str">
        <f>IFERROR(VLOOKUP("4P02-41-00-02",pareto,18,FALSE),"-")</f>
        <v>-</v>
      </c>
      <c r="EV49" s="20"/>
      <c r="EW49" s="20"/>
      <c r="EX49" s="20"/>
      <c r="EY49" s="218" t="str">
        <f>IFERROR(VLOOKUP("4P02-42-00-02",pareto,18,FALSE),"-")</f>
        <v>-</v>
      </c>
      <c r="EZ49" s="41" t="str">
        <f>IFERROR(VLOOKUP("4P03-41-00-02",pareto,18,FALSE),"-")</f>
        <v>-</v>
      </c>
      <c r="FA49" s="20"/>
      <c r="FB49" s="20"/>
      <c r="FC49" s="20"/>
      <c r="FD49" s="218" t="str">
        <f>IFERROR(VLOOKUP("4P03-42-00-02",pareto,18,FALSE),"-")</f>
        <v>-</v>
      </c>
      <c r="FE49" s="41" t="str">
        <f>IFERROR(VLOOKUP("4P04-41-00-02",pareto,18,FALSE),"-")</f>
        <v>-</v>
      </c>
      <c r="FF49" s="20"/>
      <c r="FG49" s="20"/>
      <c r="FH49" s="20"/>
      <c r="FI49" s="218" t="str">
        <f>IFERROR(VLOOKUP("4P04-42-00-02",pareto,18,FALSE),"-")</f>
        <v>-</v>
      </c>
      <c r="FJ49" s="41" t="str">
        <f>IFERROR(VLOOKUP("4P05-41-00-02",pareto,18,FALSE),"-")</f>
        <v>-</v>
      </c>
      <c r="FK49" s="20"/>
      <c r="FL49" s="20"/>
      <c r="FM49" s="20"/>
      <c r="FN49" s="218" t="str">
        <f>IFERROR(VLOOKUP("4P05-42-00-02",pareto,18,FALSE),"-")</f>
        <v>-</v>
      </c>
      <c r="FO49" s="41" t="str">
        <f>IFERROR(VLOOKUP("4P06-41-00-02",pareto,18,FALSE),"-")</f>
        <v>-</v>
      </c>
      <c r="FP49" s="20"/>
      <c r="FQ49" s="20"/>
      <c r="FR49" s="20"/>
      <c r="FS49" s="218" t="str">
        <f>IFERROR(VLOOKUP("4P06-42-00-02",pareto,18,FALSE),"-")</f>
        <v>-</v>
      </c>
      <c r="FT49" s="41" t="str">
        <f>IFERROR(VLOOKUP("4P07-41-00-02",pareto,18,FALSE),"-")</f>
        <v>-</v>
      </c>
      <c r="FU49" s="20"/>
      <c r="FV49" s="20"/>
      <c r="FW49" s="20"/>
      <c r="FX49" s="218" t="str">
        <f>IFERROR(VLOOKUP("4P07-42-00-02",pareto,18,FALSE),"-")</f>
        <v>-</v>
      </c>
      <c r="FY49" s="41" t="str">
        <f>IFERROR(VLOOKUP("4P08-41-00-02",pareto,18,FALSE),"-")</f>
        <v>-</v>
      </c>
      <c r="FZ49" s="20"/>
      <c r="GA49" s="20"/>
      <c r="GB49" s="20"/>
      <c r="GC49" s="218" t="str">
        <f>IFERROR(VLOOKUP("4P08-42-00-02",pareto,18,FALSE),"-")</f>
        <v>-</v>
      </c>
      <c r="GD49" s="41" t="str">
        <f>IFERROR(VLOOKUP("4P09-41-00-02",pareto,18,FALSE),"-")</f>
        <v>-</v>
      </c>
      <c r="GE49" s="20"/>
      <c r="GF49" s="20"/>
      <c r="GG49" s="20"/>
      <c r="GH49" s="227" t="str">
        <f>IFERROR(VLOOKUP("4P09-42-00-02",pareto,18,FALSE),"-")</f>
        <v>-</v>
      </c>
    </row>
    <row r="50" spans="3:190" ht="12" customHeight="1" thickTop="1" thickBot="1" x14ac:dyDescent="0.3">
      <c r="C50" s="270"/>
      <c r="D50" s="270"/>
      <c r="E50" s="270"/>
      <c r="F50" s="270"/>
      <c r="G50" s="270"/>
      <c r="H50" s="270"/>
      <c r="I50" s="270"/>
      <c r="J50" s="270"/>
      <c r="K50" s="270"/>
      <c r="L50" s="270"/>
      <c r="M50" s="270"/>
      <c r="N50" s="270"/>
      <c r="O50" s="270"/>
      <c r="P50" s="270"/>
      <c r="Q50" s="270"/>
      <c r="R50" s="9"/>
      <c r="S50" s="9"/>
      <c r="T50" s="9"/>
      <c r="U50" s="9"/>
      <c r="V50" s="9"/>
      <c r="W50" s="9"/>
      <c r="X50" s="9"/>
      <c r="Y50" s="9"/>
      <c r="Z50" s="9"/>
      <c r="AA50" s="271"/>
      <c r="AB50" s="271"/>
      <c r="AC50" s="271"/>
      <c r="AD50" s="271"/>
      <c r="AE50" s="271"/>
      <c r="AF50" s="271"/>
      <c r="AG50" s="271"/>
      <c r="AH50" s="271"/>
      <c r="AI50" s="271"/>
      <c r="AJ50" s="271"/>
      <c r="AK50" s="271"/>
      <c r="AL50" s="271"/>
      <c r="AM50" s="271"/>
      <c r="AN50" s="271"/>
      <c r="AO50" s="271"/>
      <c r="AP50" s="271"/>
      <c r="AQ50" s="271"/>
      <c r="AR50" s="271"/>
      <c r="AS50" s="271"/>
      <c r="AT50" s="271"/>
      <c r="AU50" s="271"/>
      <c r="AV50" s="271"/>
      <c r="AW50" s="271"/>
      <c r="AX50" s="271"/>
      <c r="AY50" s="271"/>
      <c r="AZ50" s="272"/>
      <c r="BA50" s="152" t="str">
        <f>IFERROR(VLOOKUP("2D01-03-00-03",pareto,18,FALSE),"-")</f>
        <v>-</v>
      </c>
      <c r="BB50" s="77"/>
      <c r="BC50" s="77"/>
      <c r="BD50" s="135" t="str">
        <f>IFERROR(VLOOKUP("2D01-04-04-02",pareto,18,FALSE),"-")</f>
        <v>-</v>
      </c>
      <c r="BE50" s="136" t="str">
        <f>IFERROR(VLOOKUP("2D01-04-04-05",pareto,18,FALSE),"-")</f>
        <v>-</v>
      </c>
      <c r="BF50" s="78"/>
      <c r="BG50" s="135" t="str">
        <f>IFERROR(VLOOKUP("2D02-03-04-02",pareto,18,FALSE),"-")</f>
        <v>-</v>
      </c>
      <c r="BH50" s="136" t="str">
        <f>IFERROR(VLOOKUP("2D02-03-04-05",pareto,18,FALSE),"-")</f>
        <v>-</v>
      </c>
      <c r="BI50" s="78"/>
      <c r="BJ50" s="78"/>
      <c r="BK50" s="78"/>
      <c r="BL50" s="78"/>
      <c r="BM50" s="135" t="str">
        <f>IFERROR(VLOOKUP("2D02-04-04-02",pareto,18,FALSE),"-")</f>
        <v>-</v>
      </c>
      <c r="BN50" s="136" t="str">
        <f>IFERROR(VLOOKUP("2D02-04-04-05",pareto,18,FALSE),"-")</f>
        <v>-</v>
      </c>
      <c r="BO50" s="78"/>
      <c r="BP50" s="135" t="str">
        <f>IFERROR(VLOOKUP("2D03-03-04-02",pareto,18,FALSE),"-")</f>
        <v>-</v>
      </c>
      <c r="BQ50" s="136" t="str">
        <f>IFERROR(VLOOKUP("2D03-03-04-05",pareto,18,FALSE),"-")</f>
        <v>-</v>
      </c>
      <c r="BR50" s="77"/>
      <c r="BS50" s="77">
        <v>7</v>
      </c>
      <c r="BT50" s="137" t="str">
        <f>IFERROR(VLOOKUP("2H07-01-00-01",pareto,18,FALSE),"-")</f>
        <v>-</v>
      </c>
      <c r="BU50" s="141" t="str">
        <f>IFERROR(VLOOKUP("2H07-01-00-02",pareto,18,FALSE),"-")</f>
        <v>-</v>
      </c>
      <c r="BV50" s="138" t="str">
        <f>IFERROR(VLOOKUP("2H07-01-00-03",pareto,18,FALSE),"-")</f>
        <v>-</v>
      </c>
      <c r="BW50" s="137" t="str">
        <f>IFERROR(VLOOKUP("2H07-03-00-01",pareto,18,FALSE),"-")</f>
        <v>-</v>
      </c>
      <c r="BX50" s="141" t="str">
        <f>IFERROR(VLOOKUP("2H07-03-00-02",pareto,18,FALSE),"-")</f>
        <v>-</v>
      </c>
      <c r="BY50" s="138" t="str">
        <f>IFERROR(VLOOKUP("2H07-03-00-03",pareto,18,FALSE),"-")</f>
        <v>-</v>
      </c>
      <c r="BZ50" s="137" t="str">
        <f>IFERROR(VLOOKUP("2H07-05-00-01",pareto,18,FALSE),"-")</f>
        <v>-</v>
      </c>
      <c r="CA50" s="141" t="str">
        <f>IFERROR(VLOOKUP("2H07-05-00-02",pareto,18,FALSE),"-")</f>
        <v>-</v>
      </c>
      <c r="CB50" s="138" t="str">
        <f>IFERROR(VLOOKUP("2H07-05-00-03",pareto,18,FALSE),"-")</f>
        <v>-</v>
      </c>
      <c r="CC50" s="137" t="str">
        <f>IFERROR(VLOOKUP("2H07-07-00-01",pareto,18,FALSE),"-")</f>
        <v>-</v>
      </c>
      <c r="CD50" s="141" t="str">
        <f>IFERROR(VLOOKUP("2H07-07-00-02",pareto,18,FALSE),"-")</f>
        <v>-</v>
      </c>
      <c r="CE50" s="138" t="str">
        <f>IFERROR(VLOOKUP("2H07-07-00-03",pareto,18,FALSE),"-")</f>
        <v>-</v>
      </c>
      <c r="CF50" s="137" t="str">
        <f>IFERROR(VLOOKUP("2H07-09-00-01",pareto,18,FALSE),"-")</f>
        <v>-</v>
      </c>
      <c r="CG50" s="141" t="str">
        <f>IFERROR(VLOOKUP("2H07-09-00-02",pareto,18,FALSE),"-")</f>
        <v>-</v>
      </c>
      <c r="CH50" s="138" t="str">
        <f>IFERROR(VLOOKUP("2H07-09-00-03",pareto,18,FALSE),"-")</f>
        <v>-</v>
      </c>
      <c r="CI50" s="137" t="str">
        <f>IFERROR(VLOOKUP("2H07-11-00-01",pareto,18,FALSE),"-")</f>
        <v>-</v>
      </c>
      <c r="CJ50" s="141" t="str">
        <f>IFERROR(VLOOKUP("2H07-11-00-02",pareto,18,FALSE),"-")</f>
        <v>-</v>
      </c>
      <c r="CK50" s="138" t="str">
        <f>IFERROR(VLOOKUP("2H07-11-00-03",pareto,18,FALSE),"-")</f>
        <v>-</v>
      </c>
      <c r="CL50" s="20"/>
      <c r="CM50" s="20"/>
      <c r="CN50" s="20"/>
      <c r="CO50" s="20"/>
      <c r="CP50" s="20"/>
      <c r="CQ50" s="20"/>
      <c r="CR50" s="20"/>
      <c r="CS50" s="21"/>
      <c r="CT50" s="173"/>
      <c r="CU50" s="174"/>
      <c r="CV50" s="175"/>
      <c r="CW50" s="176"/>
      <c r="CX50" s="174"/>
      <c r="CY50" s="175"/>
      <c r="CZ50" s="176"/>
      <c r="DA50" s="174"/>
      <c r="DB50" s="175"/>
      <c r="DC50" s="176"/>
      <c r="DD50" s="174"/>
      <c r="DE50" s="175"/>
      <c r="DF50" s="176"/>
      <c r="DG50" s="174"/>
      <c r="DH50" s="175"/>
      <c r="DI50" s="176"/>
      <c r="DJ50" s="174"/>
      <c r="DK50" s="177"/>
      <c r="DL50" s="91"/>
      <c r="DM50" s="91"/>
      <c r="DN50" s="91"/>
      <c r="DO50" s="196"/>
      <c r="DP50" s="88" t="s">
        <v>103</v>
      </c>
      <c r="DQ50" s="91"/>
      <c r="DR50" s="91"/>
      <c r="DS50" s="91"/>
      <c r="DT50" s="91"/>
      <c r="DU50" s="91"/>
      <c r="DV50" s="91"/>
      <c r="DW50" s="91"/>
      <c r="DX50" s="174"/>
      <c r="DY50" s="174"/>
      <c r="DZ50" s="175"/>
      <c r="EA50" s="176"/>
      <c r="EB50" s="174"/>
      <c r="EC50" s="175"/>
      <c r="ED50" s="176"/>
      <c r="EE50" s="174"/>
      <c r="EF50" s="175"/>
      <c r="EG50" s="176"/>
      <c r="EH50" s="174"/>
      <c r="EI50" s="175"/>
      <c r="EJ50" s="176"/>
      <c r="EK50" s="174"/>
      <c r="EL50" s="175"/>
      <c r="EM50" s="176"/>
      <c r="EN50" s="174"/>
      <c r="EO50" s="185"/>
      <c r="EP50" s="42" t="str">
        <f>IFERROR(VLOOKUP("4P01-41-00-01",pareto,18,FALSE),"-")</f>
        <v>-</v>
      </c>
      <c r="EQ50" s="20"/>
      <c r="ER50" s="20"/>
      <c r="ES50" s="21"/>
      <c r="ET50" s="219" t="str">
        <f>IFERROR(VLOOKUP("4P01-42-00-01",pareto,18,FALSE),"-")</f>
        <v>-</v>
      </c>
      <c r="EU50" s="42" t="str">
        <f>IFERROR(VLOOKUP("4P02-41-00-01",pareto,18,FALSE),"-")</f>
        <v>-</v>
      </c>
      <c r="EV50" s="20"/>
      <c r="EW50" s="20"/>
      <c r="EX50" s="20"/>
      <c r="EY50" s="219" t="str">
        <f>IFERROR(VLOOKUP("4P02-42-00-01",pareto,18,FALSE),"-")</f>
        <v>-</v>
      </c>
      <c r="EZ50" s="42" t="str">
        <f>IFERROR(VLOOKUP("4P03-41-00-01",pareto,18,FALSE),"-")</f>
        <v>-</v>
      </c>
      <c r="FA50" s="20"/>
      <c r="FB50" s="20"/>
      <c r="FC50" s="20"/>
      <c r="FD50" s="219" t="str">
        <f>IFERROR(VLOOKUP("4P03-42-00-01",pareto,18,FALSE),"-")</f>
        <v>-</v>
      </c>
      <c r="FE50" s="42" t="str">
        <f>IFERROR(VLOOKUP("4P04-41-00-01",pareto,18,FALSE),"-")</f>
        <v>-</v>
      </c>
      <c r="FF50" s="20"/>
      <c r="FG50" s="20"/>
      <c r="FH50" s="20"/>
      <c r="FI50" s="219" t="str">
        <f>IFERROR(VLOOKUP("4P04-42-00-01",pareto,18,FALSE),"-")</f>
        <v>-</v>
      </c>
      <c r="FJ50" s="42" t="str">
        <f>IFERROR(VLOOKUP("4P05-41-00-01",pareto,18,FALSE),"-")</f>
        <v>-</v>
      </c>
      <c r="FK50" s="20"/>
      <c r="FL50" s="20"/>
      <c r="FM50" s="20"/>
      <c r="FN50" s="219" t="str">
        <f>IFERROR(VLOOKUP("4P05-42-00-01",pareto,18,FALSE),"-")</f>
        <v>-</v>
      </c>
      <c r="FO50" s="42" t="str">
        <f>IFERROR(VLOOKUP("4P06-41-00-01",pareto,18,FALSE),"-")</f>
        <v>-</v>
      </c>
      <c r="FP50" s="20"/>
      <c r="FQ50" s="20"/>
      <c r="FR50" s="20"/>
      <c r="FS50" s="219" t="str">
        <f>IFERROR(VLOOKUP("4P06-42-00-01",pareto,18,FALSE),"-")</f>
        <v>-</v>
      </c>
      <c r="FT50" s="42" t="str">
        <f>IFERROR(VLOOKUP("4P07-41-00-01",pareto,18,FALSE),"-")</f>
        <v>-</v>
      </c>
      <c r="FU50" s="20"/>
      <c r="FV50" s="20"/>
      <c r="FW50" s="20"/>
      <c r="FX50" s="219" t="str">
        <f>IFERROR(VLOOKUP("4P07-42-00-01",pareto,18,FALSE),"-")</f>
        <v>-</v>
      </c>
      <c r="FY50" s="42" t="str">
        <f>IFERROR(VLOOKUP("4P08-41-00-01",pareto,18,FALSE),"-")</f>
        <v>-</v>
      </c>
      <c r="FZ50" s="20"/>
      <c r="GA50" s="20"/>
      <c r="GB50" s="20"/>
      <c r="GC50" s="219" t="str">
        <f>IFERROR(VLOOKUP("4P08-42-00-01",pareto,18,FALSE),"-")</f>
        <v>-</v>
      </c>
      <c r="GD50" s="42" t="str">
        <f>IFERROR(VLOOKUP("4P09-41-00-01",pareto,18,FALSE),"-")</f>
        <v>-</v>
      </c>
      <c r="GE50" s="20"/>
      <c r="GF50" s="20"/>
      <c r="GG50" s="20"/>
      <c r="GH50" s="228" t="str">
        <f>IFERROR(VLOOKUP("4P09-42-00-01",pareto,18,FALSE),"-")</f>
        <v>-</v>
      </c>
    </row>
    <row r="51" spans="3:190" ht="12" customHeight="1" thickTop="1" thickBot="1" x14ac:dyDescent="0.3">
      <c r="C51" s="270"/>
      <c r="D51" s="270"/>
      <c r="E51" s="270"/>
      <c r="F51" s="270"/>
      <c r="G51" s="270"/>
      <c r="H51" s="270"/>
      <c r="I51" s="270"/>
      <c r="J51" s="270"/>
      <c r="K51" s="270"/>
      <c r="L51" s="270"/>
      <c r="M51" s="270"/>
      <c r="N51" s="270"/>
      <c r="O51" s="270"/>
      <c r="P51" s="270"/>
      <c r="Q51" s="270"/>
      <c r="R51" s="9"/>
      <c r="S51" s="9"/>
      <c r="T51" s="9"/>
      <c r="U51" s="9"/>
      <c r="V51" s="9"/>
      <c r="W51" s="9"/>
      <c r="X51" s="9"/>
      <c r="Y51" s="9"/>
      <c r="Z51" s="9"/>
      <c r="AA51" s="271"/>
      <c r="AB51" s="271"/>
      <c r="AC51" s="271"/>
      <c r="AD51" s="271"/>
      <c r="AE51" s="271"/>
      <c r="AF51" s="271"/>
      <c r="AG51" s="271"/>
      <c r="AH51" s="271"/>
      <c r="AI51" s="271"/>
      <c r="AJ51" s="271"/>
      <c r="AK51" s="271"/>
      <c r="AL51" s="271"/>
      <c r="AM51" s="271"/>
      <c r="AN51" s="271"/>
      <c r="AO51" s="271"/>
      <c r="AP51" s="271"/>
      <c r="AQ51" s="271"/>
      <c r="AR51" s="271"/>
      <c r="AS51" s="271"/>
      <c r="AT51" s="271"/>
      <c r="AU51" s="271"/>
      <c r="AV51" s="271"/>
      <c r="AW51" s="271"/>
      <c r="AX51" s="271"/>
      <c r="AY51" s="271"/>
      <c r="AZ51" s="272"/>
      <c r="BA51" s="150" t="str">
        <f>IFERROR(VLOOKUP("2D01-03-00-02",pareto,18,FALSE),"-")</f>
        <v>-</v>
      </c>
      <c r="BB51" s="77"/>
      <c r="BC51" s="77"/>
      <c r="BD51" s="137" t="str">
        <f>IFERROR(VLOOKUP("2D01-04-04-01",pareto,18,FALSE),"-")</f>
        <v>-</v>
      </c>
      <c r="BE51" s="138" t="str">
        <f>IFERROR(VLOOKUP("2D01-04-04-04",pareto,18,FALSE),"-")</f>
        <v>-</v>
      </c>
      <c r="BF51" s="78"/>
      <c r="BG51" s="137" t="str">
        <f>IFERROR(VLOOKUP("2D02-03-04-01",pareto,18,FALSE),"-")</f>
        <v>-</v>
      </c>
      <c r="BH51" s="138" t="str">
        <f>IFERROR(VLOOKUP("2D02-03-04-04",pareto,18,FALSE),"-")</f>
        <v>-</v>
      </c>
      <c r="BI51" s="78"/>
      <c r="BJ51" s="78"/>
      <c r="BK51" s="78"/>
      <c r="BL51" s="78"/>
      <c r="BM51" s="137" t="str">
        <f>IFERROR(VLOOKUP("2D02-04-04-01",pareto,18,FALSE),"-")</f>
        <v>-</v>
      </c>
      <c r="BN51" s="138" t="str">
        <f>IFERROR(VLOOKUP("2D02-04-04-04",pareto,18,FALSE),"-")</f>
        <v>-</v>
      </c>
      <c r="BO51" s="78"/>
      <c r="BP51" s="137" t="str">
        <f>IFERROR(VLOOKUP("2D03-03-04-01",pareto,18,FALSE),"-")</f>
        <v>-</v>
      </c>
      <c r="BQ51" s="138" t="str">
        <f>IFERROR(VLOOKUP("2D03-03-04-04",pareto,18,FALSE),"-")</f>
        <v>-</v>
      </c>
      <c r="BR51" s="77"/>
      <c r="BS51" s="77"/>
      <c r="BT51" s="20"/>
      <c r="BU51" s="20"/>
      <c r="BV51" s="20"/>
      <c r="BW51" s="20"/>
      <c r="BX51" s="20"/>
      <c r="BY51" s="20"/>
      <c r="BZ51" s="20"/>
      <c r="CA51" s="20"/>
      <c r="CB51" s="20"/>
      <c r="CC51" s="20"/>
      <c r="CD51" s="20"/>
      <c r="CE51" s="20"/>
      <c r="CF51" s="20"/>
      <c r="CG51" s="20"/>
      <c r="CH51" s="20"/>
      <c r="CI51" s="20"/>
      <c r="CJ51" s="20"/>
      <c r="CK51" s="20"/>
      <c r="CL51" s="20"/>
      <c r="CM51" s="20"/>
      <c r="CN51" s="20"/>
      <c r="CO51" s="20"/>
      <c r="CP51" s="20"/>
      <c r="CQ51" s="20"/>
      <c r="CR51" s="20"/>
      <c r="CS51" s="21"/>
      <c r="CT51" s="178"/>
      <c r="CU51" s="179"/>
      <c r="CV51" s="180"/>
      <c r="CW51" s="181"/>
      <c r="CX51" s="179"/>
      <c r="CY51" s="180"/>
      <c r="CZ51" s="181"/>
      <c r="DA51" s="179"/>
      <c r="DB51" s="180"/>
      <c r="DC51" s="181"/>
      <c r="DD51" s="179"/>
      <c r="DE51" s="180"/>
      <c r="DF51" s="181"/>
      <c r="DG51" s="179"/>
      <c r="DH51" s="180"/>
      <c r="DI51" s="181"/>
      <c r="DJ51" s="179"/>
      <c r="DK51" s="182"/>
      <c r="DL51" s="20"/>
      <c r="DM51" s="20"/>
      <c r="DN51" s="20"/>
      <c r="DO51" s="20"/>
      <c r="DP51" s="20"/>
      <c r="DQ51" s="20"/>
      <c r="DR51" s="20"/>
      <c r="DS51" s="20"/>
      <c r="DT51" s="20"/>
      <c r="DU51" s="181"/>
      <c r="DV51" s="179"/>
      <c r="DW51" s="180"/>
      <c r="DX51" s="179"/>
      <c r="DY51" s="179"/>
      <c r="DZ51" s="180"/>
      <c r="EA51" s="181"/>
      <c r="EB51" s="179"/>
      <c r="EC51" s="180"/>
      <c r="ED51" s="181"/>
      <c r="EE51" s="179"/>
      <c r="EF51" s="180"/>
      <c r="EG51" s="181"/>
      <c r="EH51" s="179"/>
      <c r="EI51" s="180"/>
      <c r="EJ51" s="181"/>
      <c r="EK51" s="179"/>
      <c r="EL51" s="180"/>
      <c r="EM51" s="181"/>
      <c r="EN51" s="179"/>
      <c r="EO51" s="186"/>
      <c r="EP51" s="40" t="str">
        <f>IFERROR(VLOOKUP("4P01-39-00-03",pareto,18,FALSE),"-")</f>
        <v>-</v>
      </c>
      <c r="EQ51" s="20"/>
      <c r="ER51" s="20"/>
      <c r="ES51" s="21"/>
      <c r="ET51" s="217" t="str">
        <f>IFERROR(VLOOKUP("4P01-40-00-03",pareto,18,FALSE),"-")</f>
        <v>-</v>
      </c>
      <c r="EU51" s="40" t="str">
        <f>IFERROR(VLOOKUP("4P02-39-00-03",pareto,18,FALSE),"-")</f>
        <v>-</v>
      </c>
      <c r="EV51" s="20"/>
      <c r="EW51" s="20"/>
      <c r="EX51" s="20"/>
      <c r="EY51" s="217" t="str">
        <f>IFERROR(VLOOKUP("4P02-40-00-03",pareto,18,FALSE),"-")</f>
        <v>-</v>
      </c>
      <c r="EZ51" s="40" t="str">
        <f>IFERROR(VLOOKUP("4P03-39-00-03",pareto,18,FALSE),"-")</f>
        <v>-</v>
      </c>
      <c r="FA51" s="20"/>
      <c r="FB51" s="20"/>
      <c r="FC51" s="20"/>
      <c r="FD51" s="217" t="str">
        <f>IFERROR(VLOOKUP("4P03-40-00-03",pareto,18,FALSE),"-")</f>
        <v>-</v>
      </c>
      <c r="FE51" s="40" t="str">
        <f>IFERROR(VLOOKUP("4P04-39-00-03",pareto,18,FALSE),"-")</f>
        <v>-</v>
      </c>
      <c r="FF51" s="20"/>
      <c r="FG51" s="20"/>
      <c r="FH51" s="20"/>
      <c r="FI51" s="217" t="str">
        <f>IFERROR(VLOOKUP("4P04-40-00-03",pareto,18,FALSE),"-")</f>
        <v>-</v>
      </c>
      <c r="FJ51" s="40" t="str">
        <f>IFERROR(VLOOKUP("4P05-39-00-03",pareto,18,FALSE),"-")</f>
        <v>-</v>
      </c>
      <c r="FK51" s="20"/>
      <c r="FL51" s="20"/>
      <c r="FM51" s="20"/>
      <c r="FN51" s="217" t="str">
        <f>IFERROR(VLOOKUP("4P05-40-00-03",pareto,18,FALSE),"-")</f>
        <v>-</v>
      </c>
      <c r="FO51" s="40" t="str">
        <f>IFERROR(VLOOKUP("4P06-39-00-03",pareto,18,FALSE),"-")</f>
        <v>-</v>
      </c>
      <c r="FP51" s="20"/>
      <c r="FQ51" s="20"/>
      <c r="FR51" s="20"/>
      <c r="FS51" s="217" t="str">
        <f>IFERROR(VLOOKUP("4P06-40-00-03",pareto,18,FALSE),"-")</f>
        <v>-</v>
      </c>
      <c r="FT51" s="40" t="str">
        <f>IFERROR(VLOOKUP("4P07-39-00-03",pareto,18,FALSE),"-")</f>
        <v>-</v>
      </c>
      <c r="FU51" s="20"/>
      <c r="FV51" s="20"/>
      <c r="FW51" s="20"/>
      <c r="FX51" s="217" t="str">
        <f>IFERROR(VLOOKUP("4P07-40-00-03",pareto,18,FALSE),"-")</f>
        <v>-</v>
      </c>
      <c r="FY51" s="40" t="str">
        <f>IFERROR(VLOOKUP("4P08-39-00-03",pareto,18,FALSE),"-")</f>
        <v>-</v>
      </c>
      <c r="FZ51" s="20"/>
      <c r="GA51" s="20"/>
      <c r="GB51" s="20"/>
      <c r="GC51" s="217" t="str">
        <f>IFERROR(VLOOKUP("4P08-40-00-03",pareto,18,FALSE),"-")</f>
        <v>-</v>
      </c>
      <c r="GD51" s="40" t="str">
        <f>IFERROR(VLOOKUP("4P09-39-00-03",pareto,18,FALSE),"-")</f>
        <v>-</v>
      </c>
      <c r="GE51" s="20"/>
      <c r="GF51" s="20"/>
      <c r="GG51" s="20"/>
      <c r="GH51" s="224" t="str">
        <f>IFERROR(VLOOKUP("4P09-40-00-03",pareto,18,FALSE),"-")</f>
        <v>-</v>
      </c>
    </row>
    <row r="52" spans="3:190" ht="12" customHeight="1" thickTop="1" thickBot="1" x14ac:dyDescent="0.3">
      <c r="C52" s="270"/>
      <c r="D52" s="270"/>
      <c r="E52" s="270"/>
      <c r="F52" s="270"/>
      <c r="G52" s="270"/>
      <c r="H52" s="270"/>
      <c r="I52" s="270"/>
      <c r="J52" s="270"/>
      <c r="K52" s="270"/>
      <c r="L52" s="270"/>
      <c r="M52" s="270"/>
      <c r="N52" s="270"/>
      <c r="O52" s="270"/>
      <c r="P52" s="270"/>
      <c r="Q52" s="270"/>
      <c r="R52" s="9"/>
      <c r="S52" s="9"/>
      <c r="T52" s="9"/>
      <c r="U52" s="9"/>
      <c r="V52" s="9"/>
      <c r="W52" s="9"/>
      <c r="X52" s="9"/>
      <c r="Y52" s="9"/>
      <c r="Z52" s="9"/>
      <c r="AA52" s="271"/>
      <c r="AB52" s="271"/>
      <c r="AC52" s="271"/>
      <c r="AD52" s="271"/>
      <c r="AE52" s="271"/>
      <c r="AF52" s="271"/>
      <c r="AG52" s="271"/>
      <c r="AH52" s="271"/>
      <c r="AI52" s="271"/>
      <c r="AJ52" s="271"/>
      <c r="AK52" s="271"/>
      <c r="AL52" s="271"/>
      <c r="AM52" s="271"/>
      <c r="AN52" s="271"/>
      <c r="AO52" s="271"/>
      <c r="AP52" s="271"/>
      <c r="AQ52" s="271"/>
      <c r="AR52" s="271"/>
      <c r="AS52" s="271"/>
      <c r="AT52" s="271"/>
      <c r="AU52" s="271"/>
      <c r="AV52" s="271"/>
      <c r="AW52" s="271"/>
      <c r="AX52" s="271"/>
      <c r="AY52" s="271"/>
      <c r="AZ52" s="272"/>
      <c r="BA52" s="151" t="str">
        <f>IFERROR(VLOOKUP("2D01-03-00-01",pareto,18,FALSE),"-")</f>
        <v>-</v>
      </c>
      <c r="BB52" s="77"/>
      <c r="BC52" s="77"/>
      <c r="BD52" s="133" t="str">
        <f>IFERROR(VLOOKUP("2D01-02-04-03",pareto,18,FALSE),"-")</f>
        <v>-</v>
      </c>
      <c r="BE52" s="134" t="str">
        <f>IFERROR(VLOOKUP("2D01-02-04-06",pareto,18,FALSE),"-")</f>
        <v>-</v>
      </c>
      <c r="BF52" s="78"/>
      <c r="BG52" s="133" t="str">
        <f>IFERROR(VLOOKUP("2D02-01-04-03",pareto,18,FALSE),"-")</f>
        <v>-</v>
      </c>
      <c r="BH52" s="134" t="str">
        <f>IFERROR(VLOOKUP("2D02-01-04-06",pareto,18,FALSE),"-")</f>
        <v>-</v>
      </c>
      <c r="BI52" s="78"/>
      <c r="BJ52" s="78"/>
      <c r="BK52" s="78"/>
      <c r="BL52" s="78"/>
      <c r="BM52" s="133" t="str">
        <f>IFERROR(VLOOKUP("2D02-02-04-03",pareto,18,FALSE),"-")</f>
        <v>-</v>
      </c>
      <c r="BN52" s="134" t="str">
        <f>IFERROR(VLOOKUP("2D02-02-04-06",pareto,18,FALSE),"-")</f>
        <v>-</v>
      </c>
      <c r="BO52" s="78"/>
      <c r="BP52" s="133" t="str">
        <f>IFERROR(VLOOKUP("2D03-01-04-03",pareto,18,FALSE),"-")</f>
        <v>-</v>
      </c>
      <c r="BQ52" s="134" t="str">
        <f>IFERROR(VLOOKUP("2D03-01-04-06",pareto,18,FALSE),"-")</f>
        <v>-</v>
      </c>
      <c r="BR52" s="77"/>
      <c r="BS52" s="77"/>
      <c r="BT52" s="20"/>
      <c r="BU52" s="20"/>
      <c r="BV52" s="20"/>
      <c r="BW52" s="20"/>
      <c r="BX52" s="20"/>
      <c r="BY52" s="20"/>
      <c r="BZ52" s="20"/>
      <c r="CA52" s="20"/>
      <c r="CB52" s="20"/>
      <c r="CC52" s="20"/>
      <c r="CD52" s="20"/>
      <c r="CE52" s="20"/>
      <c r="CF52" s="20"/>
      <c r="CG52" s="20"/>
      <c r="CH52" s="20"/>
      <c r="CI52" s="20"/>
      <c r="CJ52" s="20"/>
      <c r="CK52" s="20"/>
      <c r="CL52" s="20"/>
      <c r="CM52" s="20"/>
      <c r="CN52" s="20"/>
      <c r="CO52" s="20"/>
      <c r="CP52" s="20"/>
      <c r="CQ52" s="20"/>
      <c r="CR52" s="20"/>
      <c r="CS52" s="21"/>
      <c r="CT52" s="19"/>
      <c r="CU52" s="20"/>
      <c r="CV52" s="20"/>
      <c r="CW52" s="20"/>
      <c r="CX52" s="20"/>
      <c r="CY52" s="20"/>
      <c r="CZ52" s="20"/>
      <c r="DA52" s="20"/>
      <c r="DB52" s="20"/>
      <c r="DC52" s="20"/>
      <c r="DD52" s="20"/>
      <c r="DE52" s="20"/>
      <c r="DF52" s="20"/>
      <c r="DG52" s="20"/>
      <c r="DH52" s="20"/>
      <c r="DI52" s="20"/>
      <c r="DJ52" s="20"/>
      <c r="DK52" s="20"/>
      <c r="DL52" s="20"/>
      <c r="DM52" s="20"/>
      <c r="DN52" s="20"/>
      <c r="DO52" s="20"/>
      <c r="DP52" s="20"/>
      <c r="DQ52" s="20"/>
      <c r="DR52" s="20"/>
      <c r="DS52" s="20"/>
      <c r="DT52" s="20"/>
      <c r="DU52" s="20"/>
      <c r="DV52" s="20"/>
      <c r="DW52" s="20"/>
      <c r="DX52" s="20"/>
      <c r="DY52" s="20"/>
      <c r="DZ52" s="20"/>
      <c r="EA52" s="20"/>
      <c r="EB52" s="20"/>
      <c r="EC52" s="20"/>
      <c r="ED52" s="20"/>
      <c r="EE52" s="20"/>
      <c r="EF52" s="20"/>
      <c r="EG52" s="20"/>
      <c r="EH52" s="20"/>
      <c r="EI52" s="20"/>
      <c r="EJ52" s="20"/>
      <c r="EK52" s="20"/>
      <c r="EL52" s="20"/>
      <c r="EM52" s="20"/>
      <c r="EN52" s="20"/>
      <c r="EO52" s="21"/>
      <c r="EP52" s="43" t="str">
        <f>IFERROR(VLOOKUP("4P01-39-00-02",pareto,18,FALSE),"-")</f>
        <v>-</v>
      </c>
      <c r="EQ52" s="20"/>
      <c r="ER52" s="20"/>
      <c r="ES52" s="20"/>
      <c r="ET52" s="218" t="str">
        <f>IFERROR(VLOOKUP("4P01-40-00-02",pareto,18,FALSE),"-")</f>
        <v>-</v>
      </c>
      <c r="EU52" s="41" t="str">
        <f>IFERROR(VLOOKUP("4P02-39-00-02",pareto,18,FALSE),"-")</f>
        <v>-</v>
      </c>
      <c r="EV52" s="20"/>
      <c r="EW52" s="20"/>
      <c r="EX52" s="20"/>
      <c r="EY52" s="218" t="str">
        <f>IFERROR(VLOOKUP("4P02-40-00-02",pareto,18,FALSE),"-")</f>
        <v>-</v>
      </c>
      <c r="EZ52" s="41" t="str">
        <f>IFERROR(VLOOKUP("4P03-39-00-02",pareto,18,FALSE),"-")</f>
        <v>-</v>
      </c>
      <c r="FA52" s="20"/>
      <c r="FB52" s="20"/>
      <c r="FC52" s="20"/>
      <c r="FD52" s="218" t="str">
        <f>IFERROR(VLOOKUP("4P03-40-00-02",pareto,18,FALSE),"-")</f>
        <v>-</v>
      </c>
      <c r="FE52" s="41" t="str">
        <f>IFERROR(VLOOKUP("4P04-39-00-02",pareto,18,FALSE),"-")</f>
        <v>-</v>
      </c>
      <c r="FF52" s="20"/>
      <c r="FG52" s="20"/>
      <c r="FH52" s="20"/>
      <c r="FI52" s="218" t="str">
        <f>IFERROR(VLOOKUP("4P04-40-00-02",pareto,18,FALSE),"-")</f>
        <v>-</v>
      </c>
      <c r="FJ52" s="41" t="str">
        <f>IFERROR(VLOOKUP("4P05-39-00-02",pareto,18,FALSE),"-")</f>
        <v>-</v>
      </c>
      <c r="FK52" s="20"/>
      <c r="FL52" s="20"/>
      <c r="FM52" s="20"/>
      <c r="FN52" s="218" t="str">
        <f>IFERROR(VLOOKUP("4P05-40-00-02",pareto,18,FALSE),"-")</f>
        <v>-</v>
      </c>
      <c r="FO52" s="41" t="str">
        <f>IFERROR(VLOOKUP("4P06-39-00-02",pareto,18,FALSE),"-")</f>
        <v>-</v>
      </c>
      <c r="FP52" s="20"/>
      <c r="FQ52" s="20"/>
      <c r="FR52" s="20"/>
      <c r="FS52" s="218" t="str">
        <f>IFERROR(VLOOKUP("4P06-40-00-02",pareto,18,FALSE),"-")</f>
        <v>-</v>
      </c>
      <c r="FT52" s="41" t="str">
        <f>IFERROR(VLOOKUP("4P07-39-00-02",pareto,18,FALSE),"-")</f>
        <v>-</v>
      </c>
      <c r="FU52" s="20"/>
      <c r="FV52" s="20"/>
      <c r="FW52" s="20"/>
      <c r="FX52" s="218" t="str">
        <f>IFERROR(VLOOKUP("4P07-40-00-02",pareto,18,FALSE),"-")</f>
        <v>-</v>
      </c>
      <c r="FY52" s="41" t="str">
        <f>IFERROR(VLOOKUP("4P08-39-00-02",pareto,18,FALSE),"-")</f>
        <v>-</v>
      </c>
      <c r="FZ52" s="20"/>
      <c r="GA52" s="20"/>
      <c r="GB52" s="20"/>
      <c r="GC52" s="218" t="str">
        <f>IFERROR(VLOOKUP("4P08-40-00-02",pareto,18,FALSE),"-")</f>
        <v>-</v>
      </c>
      <c r="GD52" s="41" t="str">
        <f>IFERROR(VLOOKUP("4P09-39-00-02",pareto,18,FALSE),"-")</f>
        <v>-</v>
      </c>
      <c r="GE52" s="20"/>
      <c r="GF52" s="20"/>
      <c r="GG52" s="20"/>
      <c r="GH52" s="227" t="str">
        <f>IFERROR(VLOOKUP("4P09-40-00-02",pareto,18,FALSE),"-")</f>
        <v>-</v>
      </c>
    </row>
    <row r="53" spans="3:190" ht="12" customHeight="1" thickTop="1" thickBot="1" x14ac:dyDescent="0.3">
      <c r="C53" s="270"/>
      <c r="D53" s="270"/>
      <c r="E53" s="270"/>
      <c r="F53" s="270"/>
      <c r="G53" s="270"/>
      <c r="H53" s="270"/>
      <c r="I53" s="270"/>
      <c r="J53" s="270"/>
      <c r="K53" s="270"/>
      <c r="L53" s="270"/>
      <c r="M53" s="270"/>
      <c r="N53" s="270"/>
      <c r="O53" s="270"/>
      <c r="P53" s="270"/>
      <c r="Q53" s="270"/>
      <c r="R53" s="9"/>
      <c r="S53" s="9"/>
      <c r="T53" s="9"/>
      <c r="U53" s="9"/>
      <c r="V53" s="9"/>
      <c r="W53" s="9"/>
      <c r="X53" s="9"/>
      <c r="Y53" s="9"/>
      <c r="Z53" s="9"/>
      <c r="AA53" s="271"/>
      <c r="AB53" s="271"/>
      <c r="AC53" s="271"/>
      <c r="AD53" s="271"/>
      <c r="AE53" s="271"/>
      <c r="AF53" s="271"/>
      <c r="AG53" s="271"/>
      <c r="AH53" s="271"/>
      <c r="AI53" s="271"/>
      <c r="AJ53" s="271"/>
      <c r="AK53" s="271"/>
      <c r="AL53" s="271"/>
      <c r="AM53" s="271"/>
      <c r="AN53" s="271"/>
      <c r="AO53" s="271"/>
      <c r="AP53" s="271"/>
      <c r="AQ53" s="271"/>
      <c r="AR53" s="271"/>
      <c r="AS53" s="271"/>
      <c r="AT53" s="271"/>
      <c r="AU53" s="271"/>
      <c r="AV53" s="271"/>
      <c r="AW53" s="271"/>
      <c r="AX53" s="271"/>
      <c r="AY53" s="271"/>
      <c r="AZ53" s="272"/>
      <c r="BA53" s="152" t="str">
        <f>IFERROR(VLOOKUP("2D01-01-00-03",pareto,18,FALSE),"-")</f>
        <v>-</v>
      </c>
      <c r="BB53" s="77"/>
      <c r="BC53" s="77"/>
      <c r="BD53" s="135" t="str">
        <f>IFERROR(VLOOKUP("2D01-02-04-02",pareto,18,FALSE),"-")</f>
        <v>-</v>
      </c>
      <c r="BE53" s="136" t="str">
        <f>IFERROR(VLOOKUP("2D01-02-04-05",pareto,18,FALSE),"-")</f>
        <v>-</v>
      </c>
      <c r="BF53" s="78"/>
      <c r="BG53" s="135" t="str">
        <f>IFERROR(VLOOKUP("2D02-01-04-02",pareto,18,FALSE),"-")</f>
        <v>-</v>
      </c>
      <c r="BH53" s="136" t="str">
        <f>IFERROR(VLOOKUP("2D02-01-04-05",pareto,18,FALSE),"-")</f>
        <v>-</v>
      </c>
      <c r="BI53" s="78"/>
      <c r="BJ53" s="78"/>
      <c r="BK53" s="78"/>
      <c r="BL53" s="78"/>
      <c r="BM53" s="135" t="str">
        <f>IFERROR(VLOOKUP("2D02-02-04-02",pareto,18,FALSE),"-")</f>
        <v>-</v>
      </c>
      <c r="BN53" s="136" t="str">
        <f>IFERROR(VLOOKUP("2D02-02-04-05",pareto,18,FALSE),"-")</f>
        <v>-</v>
      </c>
      <c r="BO53" s="78"/>
      <c r="BP53" s="135" t="str">
        <f>IFERROR(VLOOKUP("2D03-01-04-02",pareto,18,FALSE),"-")</f>
        <v>-</v>
      </c>
      <c r="BQ53" s="136" t="str">
        <f>IFERROR(VLOOKUP("2D03-01-04-05",pareto,18,FALSE),"-")</f>
        <v>-</v>
      </c>
      <c r="BR53" s="77"/>
      <c r="BS53" s="77"/>
      <c r="BT53" s="20"/>
      <c r="BU53" s="20"/>
      <c r="BV53" s="20"/>
      <c r="BW53" s="20"/>
      <c r="BX53" s="20"/>
      <c r="BY53" s="20"/>
      <c r="BZ53" s="20"/>
      <c r="CA53" s="20"/>
      <c r="CB53" s="20"/>
      <c r="CC53" s="20"/>
      <c r="CD53" s="20"/>
      <c r="CE53" s="20"/>
      <c r="CF53" s="20"/>
      <c r="CG53" s="20"/>
      <c r="CH53" s="20"/>
      <c r="CI53" s="20"/>
      <c r="CJ53" s="20"/>
      <c r="CK53" s="20"/>
      <c r="CL53" s="20"/>
      <c r="CM53" s="20"/>
      <c r="CN53" s="20"/>
      <c r="CO53" s="20"/>
      <c r="CP53" s="20"/>
      <c r="CQ53" s="20"/>
      <c r="CR53" s="20"/>
      <c r="CS53" s="21"/>
      <c r="CT53" s="19"/>
      <c r="CU53" s="20"/>
      <c r="CV53" s="20"/>
      <c r="CW53" s="20"/>
      <c r="CX53" s="20"/>
      <c r="CY53" s="20"/>
      <c r="CZ53" s="20"/>
      <c r="DA53" s="20"/>
      <c r="DB53" s="20"/>
      <c r="DC53" s="20"/>
      <c r="DD53" s="20"/>
      <c r="DE53" s="20"/>
      <c r="DF53" s="20"/>
      <c r="DG53" s="20"/>
      <c r="DH53" s="20"/>
      <c r="DI53" s="20"/>
      <c r="DJ53" s="20"/>
      <c r="DK53" s="20"/>
      <c r="DL53" s="20"/>
      <c r="DM53" s="20"/>
      <c r="DN53" s="20"/>
      <c r="DO53" s="20"/>
      <c r="DP53" s="20"/>
      <c r="DQ53" s="20"/>
      <c r="DR53" s="20"/>
      <c r="DS53" s="20"/>
      <c r="DT53" s="20"/>
      <c r="DU53" s="20"/>
      <c r="DV53" s="20"/>
      <c r="DW53" s="20"/>
      <c r="DX53" s="20"/>
      <c r="DY53" s="20"/>
      <c r="DZ53" s="20"/>
      <c r="EA53" s="20"/>
      <c r="EB53" s="20"/>
      <c r="EC53" s="20"/>
      <c r="ED53" s="20"/>
      <c r="EE53" s="20"/>
      <c r="EF53" s="20"/>
      <c r="EG53" s="20"/>
      <c r="EH53" s="20"/>
      <c r="EI53" s="20"/>
      <c r="EJ53" s="20"/>
      <c r="EK53" s="20"/>
      <c r="EL53" s="20"/>
      <c r="EM53" s="20"/>
      <c r="EN53" s="20"/>
      <c r="EO53" s="21"/>
      <c r="EP53" s="42" t="str">
        <f>IFERROR(VLOOKUP("4P01-39-00-01",pareto,18,FALSE),"-")</f>
        <v>-</v>
      </c>
      <c r="EQ53" s="20"/>
      <c r="ER53" s="20"/>
      <c r="ES53" s="20"/>
      <c r="ET53" s="219" t="str">
        <f>IFERROR(VLOOKUP("4P01-40-00-01",pareto,18,FALSE),"-")</f>
        <v>-</v>
      </c>
      <c r="EU53" s="42" t="str">
        <f>IFERROR(VLOOKUP("4P02-39-00-01",pareto,18,FALSE),"-")</f>
        <v>-</v>
      </c>
      <c r="EV53" s="20"/>
      <c r="EW53" s="20"/>
      <c r="EX53" s="20"/>
      <c r="EY53" s="219" t="str">
        <f>IFERROR(VLOOKUP("4P02-40-00-01",pareto,18,FALSE),"-")</f>
        <v>-</v>
      </c>
      <c r="EZ53" s="42" t="str">
        <f>IFERROR(VLOOKUP("4P03-39-00-01",pareto,18,FALSE),"-")</f>
        <v>-</v>
      </c>
      <c r="FA53" s="20"/>
      <c r="FB53" s="20"/>
      <c r="FC53" s="20"/>
      <c r="FD53" s="219" t="str">
        <f>IFERROR(VLOOKUP("4P03-40-00-01",pareto,18,FALSE),"-")</f>
        <v>-</v>
      </c>
      <c r="FE53" s="42" t="str">
        <f>IFERROR(VLOOKUP("4P04-39-00-01",pareto,18,FALSE),"-")</f>
        <v>-</v>
      </c>
      <c r="FF53" s="20"/>
      <c r="FG53" s="20"/>
      <c r="FH53" s="20"/>
      <c r="FI53" s="219" t="str">
        <f>IFERROR(VLOOKUP("4P04-40-00-01",pareto,18,FALSE),"-")</f>
        <v>-</v>
      </c>
      <c r="FJ53" s="42" t="str">
        <f>IFERROR(VLOOKUP("4P05-39-00-01",pareto,18,FALSE),"-")</f>
        <v>-</v>
      </c>
      <c r="FK53" s="20"/>
      <c r="FL53" s="20"/>
      <c r="FM53" s="20"/>
      <c r="FN53" s="219" t="str">
        <f>IFERROR(VLOOKUP("4P05-40-00-01",pareto,18,FALSE),"-")</f>
        <v>-</v>
      </c>
      <c r="FO53" s="42" t="str">
        <f>IFERROR(VLOOKUP("4P06-39-00-01",pareto,18,FALSE),"-")</f>
        <v>-</v>
      </c>
      <c r="FP53" s="20"/>
      <c r="FQ53" s="20"/>
      <c r="FR53" s="20"/>
      <c r="FS53" s="219" t="str">
        <f>IFERROR(VLOOKUP("4P06-40-00-01",pareto,18,FALSE),"-")</f>
        <v>-</v>
      </c>
      <c r="FT53" s="42" t="str">
        <f>IFERROR(VLOOKUP("4P07-39-00-01",pareto,18,FALSE),"-")</f>
        <v>-</v>
      </c>
      <c r="FU53" s="20"/>
      <c r="FV53" s="20"/>
      <c r="FW53" s="20"/>
      <c r="FX53" s="219" t="str">
        <f>IFERROR(VLOOKUP("4P07-40-00-01",pareto,18,FALSE),"-")</f>
        <v>-</v>
      </c>
      <c r="FY53" s="42" t="str">
        <f>IFERROR(VLOOKUP("4P08-39-00-01",pareto,18,FALSE),"-")</f>
        <v>-</v>
      </c>
      <c r="FZ53" s="20"/>
      <c r="GA53" s="20"/>
      <c r="GB53" s="20"/>
      <c r="GC53" s="219" t="str">
        <f>IFERROR(VLOOKUP("4P08-40-00-01",pareto,18,FALSE),"-")</f>
        <v>-</v>
      </c>
      <c r="GD53" s="42" t="str">
        <f>IFERROR(VLOOKUP("4P09-39-00-01",pareto,18,FALSE),"-")</f>
        <v>-</v>
      </c>
      <c r="GE53" s="20"/>
      <c r="GF53" s="20"/>
      <c r="GG53" s="20"/>
      <c r="GH53" s="228" t="str">
        <f>IFERROR(VLOOKUP("4P09-40-00-01",pareto,18,FALSE),"-")</f>
        <v>-</v>
      </c>
    </row>
    <row r="54" spans="3:190" ht="12" customHeight="1" thickTop="1" thickBot="1" x14ac:dyDescent="0.3">
      <c r="C54" s="270"/>
      <c r="D54" s="270"/>
      <c r="E54" s="270"/>
      <c r="F54" s="270"/>
      <c r="G54" s="270"/>
      <c r="H54" s="270"/>
      <c r="I54" s="270"/>
      <c r="J54" s="270"/>
      <c r="K54" s="270"/>
      <c r="L54" s="270"/>
      <c r="M54" s="270"/>
      <c r="N54" s="270"/>
      <c r="O54" s="270"/>
      <c r="P54" s="270"/>
      <c r="Q54" s="270"/>
      <c r="R54" s="9"/>
      <c r="S54" s="9"/>
      <c r="T54" s="9"/>
      <c r="U54" s="9"/>
      <c r="V54" s="9"/>
      <c r="W54" s="9"/>
      <c r="X54" s="9"/>
      <c r="Y54" s="9"/>
      <c r="Z54" s="9"/>
      <c r="AA54" s="271"/>
      <c r="AB54" s="271"/>
      <c r="AC54" s="271"/>
      <c r="AD54" s="271"/>
      <c r="AE54" s="271"/>
      <c r="AF54" s="271"/>
      <c r="AG54" s="271"/>
      <c r="AH54" s="271"/>
      <c r="AI54" s="271"/>
      <c r="AJ54" s="271"/>
      <c r="AK54" s="271"/>
      <c r="AL54" s="271"/>
      <c r="AM54" s="271"/>
      <c r="AN54" s="271"/>
      <c r="AO54" s="271"/>
      <c r="AP54" s="271"/>
      <c r="AQ54" s="271"/>
      <c r="AR54" s="271"/>
      <c r="AS54" s="271"/>
      <c r="AT54" s="271"/>
      <c r="AU54" s="271"/>
      <c r="AV54" s="271"/>
      <c r="AW54" s="271"/>
      <c r="AX54" s="271"/>
      <c r="AY54" s="271"/>
      <c r="AZ54" s="272"/>
      <c r="BA54" s="150" t="str">
        <f>IFERROR(VLOOKUP("2D01-01-00-02",pareto,18,FALSE),"-")</f>
        <v>-</v>
      </c>
      <c r="BB54" s="77"/>
      <c r="BC54" s="77"/>
      <c r="BD54" s="137" t="str">
        <f>IFERROR(VLOOKUP("2D01-02-04-01",pareto,18,FALSE),"-")</f>
        <v>-</v>
      </c>
      <c r="BE54" s="138" t="str">
        <f>IFERROR(VLOOKUP("2D01-02-04-04",pareto,18,FALSE),"-")</f>
        <v>-</v>
      </c>
      <c r="BF54" s="78"/>
      <c r="BG54" s="137" t="str">
        <f>IFERROR(VLOOKUP("2D02-01-04-01",pareto,18,FALSE),"-")</f>
        <v>-</v>
      </c>
      <c r="BH54" s="138" t="str">
        <f>IFERROR(VLOOKUP("2D02-01-04-04",pareto,18,FALSE),"-")</f>
        <v>-</v>
      </c>
      <c r="BI54" s="78"/>
      <c r="BJ54" s="78"/>
      <c r="BK54" s="78"/>
      <c r="BL54" s="78"/>
      <c r="BM54" s="137" t="str">
        <f>IFERROR(VLOOKUP("2D02-02-04-01",pareto,18,FALSE),"-")</f>
        <v>-</v>
      </c>
      <c r="BN54" s="138" t="str">
        <f>IFERROR(VLOOKUP("2D02-02-04-04",pareto,18,FALSE),"-")</f>
        <v>-</v>
      </c>
      <c r="BO54" s="78"/>
      <c r="BP54" s="137" t="str">
        <f>IFERROR(VLOOKUP("2D03-01-04-01",pareto,18,FALSE),"-")</f>
        <v>-</v>
      </c>
      <c r="BQ54" s="138" t="str">
        <f>IFERROR(VLOOKUP("2D03-01-04-04",pareto,18,FALSE),"-")</f>
        <v>-</v>
      </c>
      <c r="BR54" s="77"/>
      <c r="BS54" s="77"/>
      <c r="BT54" s="20"/>
      <c r="BU54" s="20"/>
      <c r="BV54" s="20"/>
      <c r="BW54" s="20"/>
      <c r="BX54" s="20"/>
      <c r="BY54" s="20">
        <v>7</v>
      </c>
      <c r="BZ54" s="133" t="str">
        <f>IFERROR(VLOOKUP("2H07-06-00-01",pareto,18,FALSE),"-")</f>
        <v>-</v>
      </c>
      <c r="CA54" s="140" t="str">
        <f>IFERROR(VLOOKUP("2H07-06-00-02",pareto,18,FALSE),"-")</f>
        <v>-</v>
      </c>
      <c r="CB54" s="134" t="str">
        <f>IFERROR(VLOOKUP("2H07-06-00-03",pareto,18,FALSE),"-")</f>
        <v>-</v>
      </c>
      <c r="CC54" s="133" t="str">
        <f>IFERROR(VLOOKUP("2H07-08-00-01",pareto,18,FALSE),"-")</f>
        <v>-</v>
      </c>
      <c r="CD54" s="140" t="str">
        <f>IFERROR(VLOOKUP("2H07-08-00-02",pareto,18,FALSE),"-")</f>
        <v>-</v>
      </c>
      <c r="CE54" s="134" t="str">
        <f>IFERROR(VLOOKUP("2H07-08-00-03",pareto,18,FALSE),"-")</f>
        <v>-</v>
      </c>
      <c r="CF54" s="133" t="str">
        <f>IFERROR(VLOOKUP("2H07-10-00-01",pareto,18,FALSE),"-")</f>
        <v>-</v>
      </c>
      <c r="CG54" s="140" t="str">
        <f>IFERROR(VLOOKUP("2H07-10-00-02",pareto,18,FALSE),"-")</f>
        <v>-</v>
      </c>
      <c r="CH54" s="134" t="str">
        <f>IFERROR(VLOOKUP("2H07-10-00-03",pareto,18,FALSE),"-")</f>
        <v>-</v>
      </c>
      <c r="CI54" s="133" t="str">
        <f>IFERROR(VLOOKUP("2H07-12-00-01",pareto,18,FALSE),"-")</f>
        <v>-</v>
      </c>
      <c r="CJ54" s="140" t="str">
        <f>IFERROR(VLOOKUP("2H07-12-00-02",pareto,18,FALSE),"-")</f>
        <v>-</v>
      </c>
      <c r="CK54" s="134" t="str">
        <f>IFERROR(VLOOKUP("2H07-12-00-03",pareto,18,FALSE),"-")</f>
        <v>-</v>
      </c>
      <c r="CL54" s="133" t="str">
        <f>IFERROR(VLOOKUP("2H07-14-00-01",pareto,18,FALSE),"-")</f>
        <v>-</v>
      </c>
      <c r="CM54" s="140" t="str">
        <f>IFERROR(VLOOKUP("2H07-14-00-02",pareto,18,FALSE),"-")</f>
        <v>-</v>
      </c>
      <c r="CN54" s="134" t="str">
        <f>IFERROR(VLOOKUP("2H07-14-00-03",pareto,18,FALSE),"-")</f>
        <v>-</v>
      </c>
      <c r="CO54" s="133" t="str">
        <f>IFERROR(VLOOKUP("2H07-16-00-01",pareto,18,FALSE),"-")</f>
        <v>-</v>
      </c>
      <c r="CP54" s="140" t="str">
        <f>IFERROR(VLOOKUP("2H07-16-00-02",pareto,18,FALSE),"-")</f>
        <v>-</v>
      </c>
      <c r="CQ54" s="134" t="str">
        <f>IFERROR(VLOOKUP("2H07-16-00-03",pareto,18,FALSE),"-")</f>
        <v>-</v>
      </c>
      <c r="CR54" s="20"/>
      <c r="CS54" s="21"/>
      <c r="CT54" s="19"/>
      <c r="CU54" s="20"/>
      <c r="CV54" s="20"/>
      <c r="CW54" s="20"/>
      <c r="CX54" s="20"/>
      <c r="CY54" s="20"/>
      <c r="CZ54" s="20"/>
      <c r="DA54" s="20"/>
      <c r="DB54" s="20"/>
      <c r="DC54" s="20"/>
      <c r="DD54" s="20"/>
      <c r="DE54" s="20"/>
      <c r="DF54" s="20"/>
      <c r="DG54" s="20"/>
      <c r="DH54" s="20"/>
      <c r="DI54" s="20"/>
      <c r="DJ54" s="20"/>
      <c r="DK54" s="20"/>
      <c r="DL54" s="20"/>
      <c r="DM54" s="20"/>
      <c r="DN54" s="20"/>
      <c r="DO54" s="20"/>
      <c r="DP54" s="20"/>
      <c r="DQ54" s="20"/>
      <c r="DR54" s="20"/>
      <c r="DS54" s="20"/>
      <c r="DT54" s="20"/>
      <c r="DU54" s="20"/>
      <c r="DV54" s="20"/>
      <c r="DW54" s="20"/>
      <c r="DX54" s="20"/>
      <c r="DY54" s="20"/>
      <c r="DZ54" s="20"/>
      <c r="EA54" s="20"/>
      <c r="EB54" s="20"/>
      <c r="EC54" s="20"/>
      <c r="ED54" s="20"/>
      <c r="EE54" s="20"/>
      <c r="EF54" s="20"/>
      <c r="EG54" s="20"/>
      <c r="EH54" s="20"/>
      <c r="EI54" s="20"/>
      <c r="EJ54" s="20"/>
      <c r="EK54" s="20"/>
      <c r="EL54" s="20"/>
      <c r="EM54" s="20"/>
      <c r="EN54" s="20"/>
      <c r="EO54" s="21"/>
      <c r="EP54" s="40" t="str">
        <f>IFERROR(VLOOKUP("4P01-37-00-03",pareto,18,FALSE),"-")</f>
        <v>-</v>
      </c>
      <c r="EQ54" s="20"/>
      <c r="ER54" s="20"/>
      <c r="ES54" s="20"/>
      <c r="ET54" s="217" t="str">
        <f>IFERROR(VLOOKUP("4P01-38-00-03",pareto,18,FALSE),"-")</f>
        <v>-</v>
      </c>
      <c r="EU54" s="40" t="str">
        <f>IFERROR(VLOOKUP("4P02-37-00-03",pareto,18,FALSE),"-")</f>
        <v>-</v>
      </c>
      <c r="EV54" s="20"/>
      <c r="EW54" s="20"/>
      <c r="EX54" s="20"/>
      <c r="EY54" s="217" t="str">
        <f>IFERROR(VLOOKUP("4P02-38-00-03",pareto,18,FALSE),"-")</f>
        <v>-</v>
      </c>
      <c r="EZ54" s="40" t="str">
        <f>IFERROR(VLOOKUP("4P03-37-00-03",pareto,18,FALSE),"-")</f>
        <v>-</v>
      </c>
      <c r="FA54" s="20"/>
      <c r="FB54" s="20"/>
      <c r="FC54" s="20"/>
      <c r="FD54" s="221"/>
      <c r="FE54" s="40" t="str">
        <f>IFERROR(VLOOKUP("4P04-37-00-03",pareto,18,FALSE),"-")</f>
        <v>-</v>
      </c>
      <c r="FF54" s="20"/>
      <c r="FG54" s="20"/>
      <c r="FH54" s="20"/>
      <c r="FI54" s="217" t="str">
        <f>IFERROR(VLOOKUP("4P04-38-00-03",pareto,18,FALSE),"-")</f>
        <v>-</v>
      </c>
      <c r="FJ54" s="40" t="str">
        <f>IFERROR(VLOOKUP("4P05-37-00-03",pareto,18,FALSE),"-")</f>
        <v>-</v>
      </c>
      <c r="FK54" s="20"/>
      <c r="FL54" s="20"/>
      <c r="FM54" s="20"/>
      <c r="FN54" s="217" t="str">
        <f>IFERROR(VLOOKUP("4P05-38-00-03",pareto,18,FALSE),"-")</f>
        <v>-</v>
      </c>
      <c r="FO54" s="40" t="str">
        <f>IFERROR(VLOOKUP("4P06-37-00-03",pareto,18,FALSE),"-")</f>
        <v>-</v>
      </c>
      <c r="FP54" s="20"/>
      <c r="FQ54" s="20"/>
      <c r="FR54" s="20"/>
      <c r="FS54" s="217" t="str">
        <f>IFERROR(VLOOKUP("4P06-38-00-03",pareto,18,FALSE),"-")</f>
        <v>-</v>
      </c>
      <c r="FT54" s="66"/>
      <c r="FU54" s="20"/>
      <c r="FV54" s="20"/>
      <c r="FW54" s="20"/>
      <c r="FX54" s="217" t="str">
        <f>IFERROR(VLOOKUP("4P07-38-00-03",pareto,18,FALSE),"-")</f>
        <v>-</v>
      </c>
      <c r="FY54" s="40" t="str">
        <f>IFERROR(VLOOKUP("4P08-37-00-03",pareto,18,FALSE),"-")</f>
        <v>-</v>
      </c>
      <c r="FZ54" s="20"/>
      <c r="GA54" s="20"/>
      <c r="GB54" s="20"/>
      <c r="GC54" s="217" t="str">
        <f>IFERROR(VLOOKUP("4P08-38-00-03",pareto,18,FALSE),"-")</f>
        <v>-</v>
      </c>
      <c r="GD54" s="40" t="str">
        <f>IFERROR(VLOOKUP("4P09-37-00-03",pareto,18,FALSE),"-")</f>
        <v>-</v>
      </c>
      <c r="GE54" s="20"/>
      <c r="GF54" s="20"/>
      <c r="GG54" s="20"/>
      <c r="GH54" s="224" t="str">
        <f>IFERROR(VLOOKUP("4P09-38-00-03",pareto,18,FALSE),"-")</f>
        <v>-</v>
      </c>
    </row>
    <row r="55" spans="3:190" ht="12" customHeight="1" thickTop="1" thickBot="1" x14ac:dyDescent="0.3">
      <c r="C55" s="270"/>
      <c r="D55" s="270"/>
      <c r="E55" s="270"/>
      <c r="F55" s="270"/>
      <c r="G55" s="270"/>
      <c r="H55" s="270"/>
      <c r="I55" s="270"/>
      <c r="J55" s="270"/>
      <c r="K55" s="270"/>
      <c r="L55" s="270"/>
      <c r="M55" s="270"/>
      <c r="N55" s="270"/>
      <c r="O55" s="270"/>
      <c r="P55" s="270"/>
      <c r="Q55" s="270"/>
      <c r="R55" s="9"/>
      <c r="S55" s="9"/>
      <c r="T55" s="9"/>
      <c r="U55" s="9"/>
      <c r="V55" s="9"/>
      <c r="W55" s="9"/>
      <c r="X55" s="9"/>
      <c r="Y55" s="9"/>
      <c r="Z55" s="9"/>
      <c r="AA55" s="271"/>
      <c r="AB55" s="271"/>
      <c r="AC55" s="271"/>
      <c r="AD55" s="271"/>
      <c r="AE55" s="271"/>
      <c r="AF55" s="271"/>
      <c r="AG55" s="271"/>
      <c r="AH55" s="271"/>
      <c r="AI55" s="271"/>
      <c r="AJ55" s="271"/>
      <c r="AK55" s="271"/>
      <c r="AL55" s="271"/>
      <c r="AM55" s="271"/>
      <c r="AN55" s="271"/>
      <c r="AO55" s="271"/>
      <c r="AP55" s="271"/>
      <c r="AQ55" s="271"/>
      <c r="AR55" s="271"/>
      <c r="AS55" s="271"/>
      <c r="AT55" s="271"/>
      <c r="AU55" s="271"/>
      <c r="AV55" s="271"/>
      <c r="AW55" s="271"/>
      <c r="AX55" s="271"/>
      <c r="AY55" s="271"/>
      <c r="AZ55" s="272"/>
      <c r="BA55" s="155" t="str">
        <f>IFERROR(VLOOKUP("2D01-01-00-01",pareto,18,FALSE),"-")</f>
        <v>-</v>
      </c>
      <c r="BB55" s="77"/>
      <c r="BC55" s="77"/>
      <c r="BD55" s="78"/>
      <c r="BE55" s="78"/>
      <c r="BF55" s="78"/>
      <c r="BG55" s="78"/>
      <c r="BH55" s="78"/>
      <c r="BI55" s="78"/>
      <c r="BJ55" s="78"/>
      <c r="BK55" s="78"/>
      <c r="BL55" s="78"/>
      <c r="BM55" s="78"/>
      <c r="BN55" s="78"/>
      <c r="BO55" s="78"/>
      <c r="BP55" s="78"/>
      <c r="BQ55" s="78"/>
      <c r="BR55" s="77"/>
      <c r="BS55" s="77"/>
      <c r="BT55" s="20"/>
      <c r="BU55" s="20"/>
      <c r="BV55" s="20"/>
      <c r="BW55" s="20"/>
      <c r="BX55" s="20"/>
      <c r="BY55" s="147" t="s">
        <v>105</v>
      </c>
      <c r="BZ55" s="79"/>
      <c r="CA55" s="81"/>
      <c r="CB55" s="82"/>
      <c r="CC55" s="79"/>
      <c r="CD55" s="81"/>
      <c r="CE55" s="82"/>
      <c r="CF55" s="79"/>
      <c r="CG55" s="81"/>
      <c r="CH55" s="82"/>
      <c r="CI55" s="79"/>
      <c r="CJ55" s="81"/>
      <c r="CK55" s="82"/>
      <c r="CL55" s="79"/>
      <c r="CM55" s="81"/>
      <c r="CN55" s="82"/>
      <c r="CO55" s="79"/>
      <c r="CP55" s="81"/>
      <c r="CQ55" s="82"/>
      <c r="CR55" s="20"/>
      <c r="CS55" s="21"/>
      <c r="CT55" s="183"/>
      <c r="CU55" s="179"/>
      <c r="CV55" s="180"/>
      <c r="CW55" s="184"/>
      <c r="CX55" s="179"/>
      <c r="CY55" s="180"/>
      <c r="CZ55" s="184"/>
      <c r="DA55" s="179"/>
      <c r="DB55" s="180"/>
      <c r="DC55" s="184"/>
      <c r="DD55" s="179"/>
      <c r="DE55" s="180"/>
      <c r="DF55" s="184"/>
      <c r="DG55" s="179"/>
      <c r="DH55" s="180"/>
      <c r="DI55" s="184"/>
      <c r="DJ55" s="179"/>
      <c r="DK55" s="182"/>
      <c r="DL55" s="20"/>
      <c r="DM55" s="20"/>
      <c r="DN55" s="20"/>
      <c r="DO55" s="20"/>
      <c r="DP55" s="20"/>
      <c r="DQ55" s="20"/>
      <c r="DR55" s="20"/>
      <c r="DS55" s="20"/>
      <c r="DT55" s="20"/>
      <c r="DU55" s="103"/>
      <c r="DV55" s="169"/>
      <c r="DW55" s="170"/>
      <c r="DX55" s="103"/>
      <c r="DY55" s="169"/>
      <c r="DZ55" s="170"/>
      <c r="EA55" s="103"/>
      <c r="EB55" s="169"/>
      <c r="EC55" s="170"/>
      <c r="ED55" s="103"/>
      <c r="EE55" s="169"/>
      <c r="EF55" s="170"/>
      <c r="EG55" s="103"/>
      <c r="EH55" s="169"/>
      <c r="EI55" s="170"/>
      <c r="EJ55" s="103"/>
      <c r="EK55" s="169"/>
      <c r="EL55" s="170"/>
      <c r="EM55" s="103"/>
      <c r="EN55" s="169"/>
      <c r="EO55" s="170"/>
      <c r="EP55" s="43" t="str">
        <f>IFERROR(VLOOKUP("4P01-37-00-02",pareto,18,FALSE),"-")</f>
        <v>-</v>
      </c>
      <c r="EQ55" s="20"/>
      <c r="ER55" s="20"/>
      <c r="ES55" s="20"/>
      <c r="ET55" s="218" t="str">
        <f>IFERROR(VLOOKUP("4P01-38-00-02",pareto,18,FALSE),"-")</f>
        <v>-</v>
      </c>
      <c r="EU55" s="41" t="str">
        <f>IFERROR(VLOOKUP("4P02-37-00-02",pareto,18,FALSE),"-")</f>
        <v>-</v>
      </c>
      <c r="EV55" s="20"/>
      <c r="EW55" s="20"/>
      <c r="EX55" s="20"/>
      <c r="EY55" s="218" t="str">
        <f>IFERROR(VLOOKUP("4P02-38-00-02",pareto,18,FALSE),"-")</f>
        <v>-</v>
      </c>
      <c r="EZ55" s="41" t="str">
        <f>IFERROR(VLOOKUP("4P03-37-00-02",pareto,18,FALSE),"-")</f>
        <v>-</v>
      </c>
      <c r="FA55" s="20"/>
      <c r="FB55" s="20"/>
      <c r="FC55" s="20"/>
      <c r="FD55" s="218" t="str">
        <f>IFERROR(VLOOKUP("4P03-38-00-02",pareto,18,FALSE),"-")</f>
        <v>-</v>
      </c>
      <c r="FE55" s="41" t="str">
        <f>IFERROR(VLOOKUP("4P04-37-00-02",pareto,18,FALSE),"-")</f>
        <v>-</v>
      </c>
      <c r="FF55" s="20"/>
      <c r="FG55" s="20"/>
      <c r="FH55" s="20"/>
      <c r="FI55" s="218" t="str">
        <f>IFERROR(VLOOKUP("4P04-38-00-02",pareto,18,FALSE),"-")</f>
        <v>-</v>
      </c>
      <c r="FJ55" s="41" t="str">
        <f>IFERROR(VLOOKUP("4P05-37-00-02",pareto,18,FALSE),"-")</f>
        <v>-</v>
      </c>
      <c r="FK55" s="20"/>
      <c r="FL55" s="20"/>
      <c r="FM55" s="20"/>
      <c r="FN55" s="218" t="str">
        <f>IFERROR(VLOOKUP("4P05-38-00-02",pareto,18,FALSE),"-")</f>
        <v>-</v>
      </c>
      <c r="FO55" s="41" t="str">
        <f>IFERROR(VLOOKUP("4P06-37-00-02",pareto,18,FALSE),"-")</f>
        <v>-</v>
      </c>
      <c r="FP55" s="20"/>
      <c r="FQ55" s="20"/>
      <c r="FR55" s="20"/>
      <c r="FS55" s="218" t="str">
        <f>IFERROR(VLOOKUP("4P06-38-00-02",pareto,18,FALSE),"-")</f>
        <v>-</v>
      </c>
      <c r="FT55" s="41" t="str">
        <f>IFERROR(VLOOKUP("4P07-37-00-02",pareto,18,FALSE),"-")</f>
        <v>-</v>
      </c>
      <c r="FU55" s="20"/>
      <c r="FV55" s="20"/>
      <c r="FW55" s="20"/>
      <c r="FX55" s="218" t="str">
        <f>IFERROR(VLOOKUP("4P07-38-00-02",pareto,18,FALSE),"-")</f>
        <v>-</v>
      </c>
      <c r="FY55" s="41" t="str">
        <f>IFERROR(VLOOKUP("4P08-37-00-02",pareto,18,FALSE),"-")</f>
        <v>-</v>
      </c>
      <c r="FZ55" s="20"/>
      <c r="GA55" s="20"/>
      <c r="GB55" s="20"/>
      <c r="GC55" s="218" t="str">
        <f>IFERROR(VLOOKUP("4P08-38-00-02",pareto,18,FALSE),"-")</f>
        <v>-</v>
      </c>
      <c r="GD55" s="41" t="str">
        <f>IFERROR(VLOOKUP("4P09-37-00-02",pareto,18,FALSE),"-")</f>
        <v>-</v>
      </c>
      <c r="GE55" s="20"/>
      <c r="GF55" s="20"/>
      <c r="GG55" s="20"/>
      <c r="GH55" s="227" t="str">
        <f>IFERROR(VLOOKUP("4P09-38-00-02",pareto,18,FALSE),"-")</f>
        <v>-</v>
      </c>
    </row>
    <row r="56" spans="3:190" ht="12" customHeight="1" thickTop="1" thickBot="1" x14ac:dyDescent="0.3">
      <c r="C56" s="270"/>
      <c r="D56" s="270"/>
      <c r="E56" s="270"/>
      <c r="F56" s="270"/>
      <c r="G56" s="270"/>
      <c r="H56" s="270"/>
      <c r="I56" s="270"/>
      <c r="J56" s="270"/>
      <c r="K56" s="270"/>
      <c r="L56" s="270"/>
      <c r="M56" s="270"/>
      <c r="N56" s="270"/>
      <c r="O56" s="270"/>
      <c r="P56" s="270"/>
      <c r="Q56" s="270"/>
      <c r="R56" s="9"/>
      <c r="S56" s="9"/>
      <c r="T56" s="9"/>
      <c r="U56" s="9"/>
      <c r="V56" s="9"/>
      <c r="W56" s="9"/>
      <c r="X56" s="9"/>
      <c r="Y56" s="9"/>
      <c r="Z56" s="9"/>
      <c r="AA56" s="271"/>
      <c r="AB56" s="271"/>
      <c r="AC56" s="271"/>
      <c r="AD56" s="271"/>
      <c r="AE56" s="271"/>
      <c r="AF56" s="271"/>
      <c r="AG56" s="271"/>
      <c r="AH56" s="271"/>
      <c r="AI56" s="271"/>
      <c r="AJ56" s="271"/>
      <c r="AK56" s="271"/>
      <c r="AL56" s="271"/>
      <c r="AM56" s="271"/>
      <c r="AN56" s="271"/>
      <c r="AO56" s="271"/>
      <c r="AP56" s="271"/>
      <c r="AQ56" s="271"/>
      <c r="AR56" s="271"/>
      <c r="AS56" s="271"/>
      <c r="AT56" s="271"/>
      <c r="AU56" s="271"/>
      <c r="AV56" s="271"/>
      <c r="AW56" s="271"/>
      <c r="AX56" s="271"/>
      <c r="AY56" s="271"/>
      <c r="AZ56" s="271"/>
      <c r="BA56" s="19"/>
      <c r="BB56" s="77"/>
      <c r="BC56" s="77"/>
      <c r="BD56" s="78"/>
      <c r="BE56" s="78"/>
      <c r="BF56" s="78"/>
      <c r="BG56" s="78"/>
      <c r="BH56" s="78"/>
      <c r="BI56" s="78"/>
      <c r="BJ56" s="78"/>
      <c r="BK56" s="78"/>
      <c r="BL56" s="78"/>
      <c r="BM56" s="78"/>
      <c r="BN56" s="78"/>
      <c r="BO56" s="78"/>
      <c r="BP56" s="78"/>
      <c r="BQ56" s="78"/>
      <c r="BR56" s="77"/>
      <c r="BS56" s="77"/>
      <c r="BT56" s="20"/>
      <c r="BU56" s="20"/>
      <c r="BV56" s="20"/>
      <c r="BW56" s="20"/>
      <c r="BX56" s="20"/>
      <c r="BY56" s="20"/>
      <c r="BZ56" s="20"/>
      <c r="CA56" s="20"/>
      <c r="CB56" s="20"/>
      <c r="CC56" s="20"/>
      <c r="CD56" s="20"/>
      <c r="CE56" s="20"/>
      <c r="CF56" s="20"/>
      <c r="CG56" s="20"/>
      <c r="CH56" s="20"/>
      <c r="CI56" s="20"/>
      <c r="CJ56" s="20"/>
      <c r="CK56" s="20"/>
      <c r="CL56" s="20"/>
      <c r="CM56" s="20"/>
      <c r="CN56" s="20"/>
      <c r="CO56" s="20"/>
      <c r="CP56" s="20"/>
      <c r="CQ56" s="20"/>
      <c r="CR56" s="20"/>
      <c r="CS56" s="21"/>
      <c r="CT56" s="19"/>
      <c r="CU56" s="20"/>
      <c r="CV56" s="20"/>
      <c r="CW56" s="20"/>
      <c r="CX56" s="20"/>
      <c r="CY56" s="20"/>
      <c r="CZ56" s="20"/>
      <c r="DA56" s="20"/>
      <c r="DB56" s="20"/>
      <c r="DC56" s="20"/>
      <c r="DD56" s="20"/>
      <c r="DE56" s="20"/>
      <c r="DF56" s="20"/>
      <c r="DG56" s="20"/>
      <c r="DH56" s="20"/>
      <c r="DI56" s="20"/>
      <c r="DJ56" s="20"/>
      <c r="DK56" s="20"/>
      <c r="DL56" s="20"/>
      <c r="DM56" s="20"/>
      <c r="DN56" s="20"/>
      <c r="DO56" s="20"/>
      <c r="DP56" s="20"/>
      <c r="DQ56" s="20"/>
      <c r="DR56" s="20"/>
      <c r="DS56" s="20"/>
      <c r="DT56" s="20"/>
      <c r="DU56" s="107"/>
      <c r="DV56" s="171"/>
      <c r="DW56" s="172"/>
      <c r="DX56" s="107"/>
      <c r="DY56" s="171"/>
      <c r="DZ56" s="172"/>
      <c r="EA56" s="107"/>
      <c r="EB56" s="171"/>
      <c r="EC56" s="172"/>
      <c r="ED56" s="107"/>
      <c r="EE56" s="171"/>
      <c r="EF56" s="172"/>
      <c r="EG56" s="107"/>
      <c r="EH56" s="171"/>
      <c r="EI56" s="172"/>
      <c r="EJ56" s="107"/>
      <c r="EK56" s="171"/>
      <c r="EL56" s="172"/>
      <c r="EM56" s="107"/>
      <c r="EN56" s="171"/>
      <c r="EO56" s="172"/>
      <c r="EP56" s="42" t="str">
        <f>IFERROR(VLOOKUP("4P01-37-00-01",pareto,18,FALSE),"-")</f>
        <v>-</v>
      </c>
      <c r="EQ56" s="20"/>
      <c r="ER56" s="20"/>
      <c r="ES56" s="20"/>
      <c r="ET56" s="219" t="str">
        <f>IFERROR(VLOOKUP("4P01-38-00-01",pareto,18,FALSE),"-")</f>
        <v>-</v>
      </c>
      <c r="EU56" s="42" t="str">
        <f>IFERROR(VLOOKUP("4P02-37-00-01",pareto,18,FALSE),"-")</f>
        <v>-</v>
      </c>
      <c r="EV56" s="20"/>
      <c r="EW56" s="20"/>
      <c r="EX56" s="20"/>
      <c r="EY56" s="219" t="str">
        <f>IFERROR(VLOOKUP("4P02-38-00-01",pareto,18,FALSE),"-")</f>
        <v>-</v>
      </c>
      <c r="EZ56" s="42" t="str">
        <f>IFERROR(VLOOKUP("4P03-37-00-01",pareto,18,FALSE),"-")</f>
        <v>-</v>
      </c>
      <c r="FA56" s="20"/>
      <c r="FB56" s="20"/>
      <c r="FC56" s="20"/>
      <c r="FD56" s="219" t="str">
        <f>IFERROR(VLOOKUP("4P03-38-00-01",pareto,18,FALSE),"-")</f>
        <v>-</v>
      </c>
      <c r="FE56" s="42" t="str">
        <f>IFERROR(VLOOKUP("4P04-37-00-01",pareto,18,FALSE),"-")</f>
        <v>-</v>
      </c>
      <c r="FF56" s="20"/>
      <c r="FG56" s="20"/>
      <c r="FH56" s="20"/>
      <c r="FI56" s="219" t="str">
        <f>IFERROR(VLOOKUP("4P04-38-00-01",pareto,18,FALSE),"-")</f>
        <v>-</v>
      </c>
      <c r="FJ56" s="42" t="str">
        <f>IFERROR(VLOOKUP("4P05-37-00-01",pareto,18,FALSE),"-")</f>
        <v>-</v>
      </c>
      <c r="FK56" s="20"/>
      <c r="FL56" s="20"/>
      <c r="FM56" s="20"/>
      <c r="FN56" s="219" t="str">
        <f>IFERROR(VLOOKUP("4P05-38-00-01",pareto,18,FALSE),"-")</f>
        <v>-</v>
      </c>
      <c r="FO56" s="42" t="str">
        <f>IFERROR(VLOOKUP("4P06-37-00-01",pareto,18,FALSE),"-")</f>
        <v>-</v>
      </c>
      <c r="FP56" s="20"/>
      <c r="FQ56" s="20"/>
      <c r="FR56" s="20"/>
      <c r="FS56" s="219" t="str">
        <f>IFERROR(VLOOKUP("4P06-38-00-01",pareto,18,FALSE),"-")</f>
        <v>-</v>
      </c>
      <c r="FT56" s="42" t="str">
        <f>IFERROR(VLOOKUP("4P07-37-00-01",pareto,18,FALSE),"-")</f>
        <v>-</v>
      </c>
      <c r="FU56" s="20"/>
      <c r="FV56" s="20"/>
      <c r="FW56" s="20"/>
      <c r="FX56" s="219" t="str">
        <f>IFERROR(VLOOKUP("4P07-38-00-01",pareto,18,FALSE),"-")</f>
        <v>-</v>
      </c>
      <c r="FY56" s="42" t="str">
        <f>IFERROR(VLOOKUP("4P08-37-00-01",pareto,18,FALSE),"-")</f>
        <v>-</v>
      </c>
      <c r="FZ56" s="20"/>
      <c r="GA56" s="20"/>
      <c r="GB56" s="20"/>
      <c r="GC56" s="219" t="str">
        <f>IFERROR(VLOOKUP("4P08-38-00-01",pareto,18,FALSE),"-")</f>
        <v>-</v>
      </c>
      <c r="GD56" s="42" t="str">
        <f>IFERROR(VLOOKUP("4P09-37-00-01",pareto,18,FALSE),"-")</f>
        <v>-</v>
      </c>
      <c r="GE56" s="20"/>
      <c r="GF56" s="20"/>
      <c r="GG56" s="20"/>
      <c r="GH56" s="228" t="str">
        <f>IFERROR(VLOOKUP("4P09-38-00-01",pareto,18,FALSE),"-")</f>
        <v>-</v>
      </c>
    </row>
    <row r="57" spans="3:190" ht="12" customHeight="1" thickTop="1" thickBot="1" x14ac:dyDescent="0.3">
      <c r="C57" s="270"/>
      <c r="D57" s="270"/>
      <c r="E57" s="270"/>
      <c r="F57" s="270"/>
      <c r="G57" s="270"/>
      <c r="H57" s="270"/>
      <c r="I57" s="270"/>
      <c r="J57" s="270"/>
      <c r="K57" s="270"/>
      <c r="L57" s="270"/>
      <c r="M57" s="270"/>
      <c r="N57" s="270"/>
      <c r="O57" s="270"/>
      <c r="P57" s="270"/>
      <c r="Q57" s="270"/>
      <c r="R57" s="9"/>
      <c r="S57" s="9"/>
      <c r="T57" s="9"/>
      <c r="U57" s="9"/>
      <c r="V57" s="9"/>
      <c r="W57" s="9"/>
      <c r="X57" s="9"/>
      <c r="Y57" s="9"/>
      <c r="Z57" s="9"/>
      <c r="AA57" s="271"/>
      <c r="AB57" s="271"/>
      <c r="AC57" s="271"/>
      <c r="AD57" s="271"/>
      <c r="AE57" s="271"/>
      <c r="AF57" s="271"/>
      <c r="AG57" s="271"/>
      <c r="AH57" s="271"/>
      <c r="AI57" s="271"/>
      <c r="AJ57" s="271"/>
      <c r="AK57" s="271"/>
      <c r="AL57" s="271"/>
      <c r="AM57" s="271"/>
      <c r="AN57" s="271"/>
      <c r="AO57" s="271"/>
      <c r="AP57" s="271"/>
      <c r="AQ57" s="271"/>
      <c r="AR57" s="271"/>
      <c r="AS57" s="271"/>
      <c r="AT57" s="271"/>
      <c r="AU57" s="271"/>
      <c r="AV57" s="271"/>
      <c r="AW57" s="271"/>
      <c r="AX57" s="271"/>
      <c r="AY57" s="271"/>
      <c r="AZ57" s="271"/>
      <c r="BA57" s="92"/>
      <c r="BB57" s="77"/>
      <c r="BC57" s="77"/>
      <c r="BD57" s="78"/>
      <c r="BE57" s="78"/>
      <c r="BF57" s="78"/>
      <c r="BG57" s="78"/>
      <c r="BH57" s="78"/>
      <c r="BI57" s="78"/>
      <c r="BJ57" s="78"/>
      <c r="BK57" s="78"/>
      <c r="BL57" s="78"/>
      <c r="BM57" s="78"/>
      <c r="BN57" s="78"/>
      <c r="BO57" s="78"/>
      <c r="BP57" s="78"/>
      <c r="BQ57" s="78"/>
      <c r="BR57" s="77"/>
      <c r="BS57" s="77"/>
      <c r="BT57" s="77"/>
      <c r="BU57" s="77"/>
      <c r="BV57" s="20"/>
      <c r="BW57" s="20"/>
      <c r="BX57" s="20"/>
      <c r="BY57" s="20"/>
      <c r="BZ57" s="20"/>
      <c r="CA57" s="20"/>
      <c r="CB57" s="20"/>
      <c r="CC57" s="20"/>
      <c r="CD57" s="20"/>
      <c r="CE57" s="20"/>
      <c r="CF57" s="20"/>
      <c r="CG57" s="20"/>
      <c r="CH57" s="20"/>
      <c r="CI57" s="20"/>
      <c r="CJ57" s="20"/>
      <c r="CK57" s="20"/>
      <c r="CL57" s="20"/>
      <c r="CM57" s="20"/>
      <c r="CN57" s="20"/>
      <c r="CO57" s="20"/>
      <c r="CP57" s="20"/>
      <c r="CQ57" s="20"/>
      <c r="CR57" s="20"/>
      <c r="CS57" s="21"/>
      <c r="CT57" s="19"/>
      <c r="CU57" s="20"/>
      <c r="CV57" s="20"/>
      <c r="CW57" s="20"/>
      <c r="CX57" s="20"/>
      <c r="CY57" s="20"/>
      <c r="CZ57" s="20"/>
      <c r="DA57" s="20"/>
      <c r="DB57" s="20"/>
      <c r="DC57" s="20"/>
      <c r="DD57" s="20"/>
      <c r="DE57" s="20"/>
      <c r="DF57" s="20"/>
      <c r="DG57" s="20"/>
      <c r="DH57" s="20"/>
      <c r="DI57" s="20"/>
      <c r="DJ57" s="20"/>
      <c r="DK57" s="20"/>
      <c r="DL57" s="20"/>
      <c r="DM57" s="20"/>
      <c r="DN57" s="20"/>
      <c r="DO57" s="20"/>
      <c r="DP57" s="20"/>
      <c r="DQ57" s="20"/>
      <c r="DR57" s="20"/>
      <c r="DS57" s="20"/>
      <c r="DT57" s="20"/>
      <c r="DU57" s="20"/>
      <c r="DV57" s="20"/>
      <c r="DW57" s="20"/>
      <c r="DX57" s="20"/>
      <c r="DY57" s="20"/>
      <c r="DZ57" s="20"/>
      <c r="EA57" s="20"/>
      <c r="EB57" s="20"/>
      <c r="EC57" s="20"/>
      <c r="ED57" s="20"/>
      <c r="EE57" s="20"/>
      <c r="EF57" s="20"/>
      <c r="EG57" s="20"/>
      <c r="EH57" s="20"/>
      <c r="EI57" s="20"/>
      <c r="EJ57" s="20"/>
      <c r="EK57" s="20"/>
      <c r="EL57" s="20"/>
      <c r="EM57" s="20"/>
      <c r="EN57" s="20"/>
      <c r="EO57" s="21"/>
      <c r="EP57" s="40" t="str">
        <f>IFERROR(VLOOKUP("4P01-35-00-03",pareto,18,FALSE),"-")</f>
        <v>-</v>
      </c>
      <c r="EQ57" s="20"/>
      <c r="ER57" s="20"/>
      <c r="ES57" s="20"/>
      <c r="ET57" s="217" t="str">
        <f>IFERROR(VLOOKUP("4P01-36-00-03",pareto,18,FALSE),"-")</f>
        <v>-</v>
      </c>
      <c r="EU57" s="40" t="str">
        <f>IFERROR(VLOOKUP("4P02-35-00-03",pareto,18,FALSE),"-")</f>
        <v>-</v>
      </c>
      <c r="EV57" s="20"/>
      <c r="EW57" s="20"/>
      <c r="EX57" s="20"/>
      <c r="EY57" s="217" t="str">
        <f>IFERROR(VLOOKUP("4P02-36-00-03",pareto,18,FALSE),"-")</f>
        <v>-</v>
      </c>
      <c r="EZ57" s="40" t="str">
        <f>IFERROR(VLOOKUP("4P03-35-00-03",pareto,18,FALSE),"-")</f>
        <v>-</v>
      </c>
      <c r="FA57" s="20"/>
      <c r="FB57" s="20"/>
      <c r="FC57" s="20"/>
      <c r="FD57" s="217" t="str">
        <f>IFERROR(VLOOKUP("4P03-36-00-03",pareto,18,FALSE),"-")</f>
        <v>-</v>
      </c>
      <c r="FE57" s="40" t="str">
        <f>IFERROR(VLOOKUP("4P04-35-00-03",pareto,18,FALSE),"-")</f>
        <v>-</v>
      </c>
      <c r="FF57" s="20"/>
      <c r="FG57" s="20"/>
      <c r="FH57" s="20"/>
      <c r="FI57" s="217" t="str">
        <f>IFERROR(VLOOKUP("4P04-36-00-03",pareto,18,FALSE),"-")</f>
        <v>-</v>
      </c>
      <c r="FJ57" s="40" t="str">
        <f>IFERROR(VLOOKUP("4P05-35-00-03",pareto,18,FALSE),"-")</f>
        <v>-</v>
      </c>
      <c r="FK57" s="20"/>
      <c r="FL57" s="20"/>
      <c r="FM57" s="20"/>
      <c r="FN57" s="217" t="str">
        <f>IFERROR(VLOOKUP("4P05-36-00-03",pareto,18,FALSE),"-")</f>
        <v>-</v>
      </c>
      <c r="FO57" s="40" t="str">
        <f>IFERROR(VLOOKUP("4P06-35-00-03",pareto,18,FALSE),"-")</f>
        <v>-</v>
      </c>
      <c r="FP57" s="20"/>
      <c r="FQ57" s="20"/>
      <c r="FR57" s="20"/>
      <c r="FS57" s="217" t="str">
        <f>IFERROR(VLOOKUP("4P06-36-00-03",pareto,18,FALSE),"-")</f>
        <v>-</v>
      </c>
      <c r="FT57" s="40" t="str">
        <f>IFERROR(VLOOKUP("4P07-35-00-03",pareto,18,FALSE),"-")</f>
        <v>-</v>
      </c>
      <c r="FU57" s="20"/>
      <c r="FV57" s="20"/>
      <c r="FW57" s="20"/>
      <c r="FX57" s="217" t="str">
        <f>IFERROR(VLOOKUP("4P07-36-00-03",pareto,18,FALSE),"-")</f>
        <v>-</v>
      </c>
      <c r="FY57" s="40" t="str">
        <f>IFERROR(VLOOKUP("4P08-35-00-03",pareto,18,FALSE),"-")</f>
        <v>-</v>
      </c>
      <c r="FZ57" s="20"/>
      <c r="GA57" s="20"/>
      <c r="GB57" s="20"/>
      <c r="GC57" s="217" t="str">
        <f>IFERROR(VLOOKUP("4P08-36-00-03",pareto,18,FALSE),"-")</f>
        <v>-</v>
      </c>
      <c r="GD57" s="40" t="str">
        <f>IFERROR(VLOOKUP("4P09-35-00-03",pareto,18,FALSE),"-")</f>
        <v>-</v>
      </c>
      <c r="GE57" s="20"/>
      <c r="GF57" s="20"/>
      <c r="GG57" s="20"/>
      <c r="GH57" s="224" t="str">
        <f>IFERROR(VLOOKUP("4P09-36-00-03",pareto,18,FALSE),"-")</f>
        <v>-</v>
      </c>
    </row>
    <row r="58" spans="3:190" ht="12" customHeight="1" thickTop="1" thickBot="1" x14ac:dyDescent="0.3">
      <c r="C58" s="270"/>
      <c r="D58" s="270"/>
      <c r="E58" s="270"/>
      <c r="F58" s="270"/>
      <c r="G58" s="270"/>
      <c r="H58" s="270"/>
      <c r="I58" s="270"/>
      <c r="J58" s="270"/>
      <c r="K58" s="270"/>
      <c r="L58" s="270"/>
      <c r="M58" s="270"/>
      <c r="N58" s="270"/>
      <c r="O58" s="270"/>
      <c r="P58" s="270"/>
      <c r="Q58" s="270"/>
      <c r="R58" s="9"/>
      <c r="S58" s="9"/>
      <c r="T58" s="9"/>
      <c r="U58" s="9"/>
      <c r="V58" s="9"/>
      <c r="W58" s="9"/>
      <c r="X58" s="9"/>
      <c r="Y58" s="9"/>
      <c r="Z58" s="9"/>
      <c r="AA58" s="271"/>
      <c r="AB58" s="271"/>
      <c r="AC58" s="271"/>
      <c r="AD58" s="271"/>
      <c r="AE58" s="271"/>
      <c r="AF58" s="271"/>
      <c r="AG58" s="271"/>
      <c r="AH58" s="271"/>
      <c r="AI58" s="271"/>
      <c r="AJ58" s="271"/>
      <c r="AK58" s="271"/>
      <c r="AL58" s="271"/>
      <c r="AM58" s="271"/>
      <c r="AN58" s="271"/>
      <c r="AO58" s="271"/>
      <c r="AP58" s="271"/>
      <c r="AQ58" s="271"/>
      <c r="AR58" s="271"/>
      <c r="AS58" s="271"/>
      <c r="AT58" s="271"/>
      <c r="AU58" s="271"/>
      <c r="AV58" s="271"/>
      <c r="AW58" s="271"/>
      <c r="AX58" s="271"/>
      <c r="AY58" s="271"/>
      <c r="AZ58" s="271"/>
      <c r="BA58" s="92"/>
      <c r="BB58" s="77"/>
      <c r="BC58" s="77"/>
      <c r="BD58" s="78"/>
      <c r="BE58" s="78"/>
      <c r="BF58" s="78"/>
      <c r="BG58" s="78"/>
      <c r="BH58" s="78"/>
      <c r="BI58" s="78"/>
      <c r="BJ58" s="78"/>
      <c r="BK58" s="78"/>
      <c r="BL58" s="78"/>
      <c r="BM58" s="78"/>
      <c r="BN58" s="78"/>
      <c r="BO58" s="78"/>
      <c r="BP58" s="78"/>
      <c r="BQ58" s="78"/>
      <c r="BR58" s="77"/>
      <c r="BS58" s="77"/>
      <c r="BT58" s="77"/>
      <c r="BU58" s="77"/>
      <c r="BV58" s="20"/>
      <c r="BW58" s="20"/>
      <c r="BX58" s="20"/>
      <c r="BY58" s="20"/>
      <c r="BZ58" s="20"/>
      <c r="CA58" s="20"/>
      <c r="CB58" s="20"/>
      <c r="CC58" s="20"/>
      <c r="CD58" s="20"/>
      <c r="CE58" s="20"/>
      <c r="CF58" s="20"/>
      <c r="CG58" s="20"/>
      <c r="CH58" s="20"/>
      <c r="CI58" s="20"/>
      <c r="CJ58" s="20"/>
      <c r="CK58" s="20"/>
      <c r="CL58" s="20"/>
      <c r="CM58" s="20"/>
      <c r="CN58" s="20"/>
      <c r="CO58" s="20"/>
      <c r="CP58" s="20"/>
      <c r="CQ58" s="20"/>
      <c r="CR58" s="20"/>
      <c r="CS58" s="21"/>
      <c r="CT58" s="19"/>
      <c r="CU58" s="20"/>
      <c r="CV58" s="20"/>
      <c r="CW58" s="20"/>
      <c r="CX58" s="20"/>
      <c r="CY58" s="20"/>
      <c r="CZ58" s="20"/>
      <c r="DA58" s="20"/>
      <c r="DB58" s="20"/>
      <c r="DC58" s="20"/>
      <c r="DD58" s="20"/>
      <c r="DE58" s="20"/>
      <c r="DF58" s="20"/>
      <c r="DG58" s="20"/>
      <c r="DH58" s="20"/>
      <c r="DI58" s="20"/>
      <c r="DJ58" s="20"/>
      <c r="DK58" s="20"/>
      <c r="DL58" s="20"/>
      <c r="DM58" s="20"/>
      <c r="DN58" s="20"/>
      <c r="DO58" s="20"/>
      <c r="DP58" s="20"/>
      <c r="DQ58" s="20"/>
      <c r="DR58" s="20"/>
      <c r="DS58" s="20"/>
      <c r="DT58" s="20"/>
      <c r="DU58" s="20"/>
      <c r="DV58" s="20"/>
      <c r="DW58" s="20"/>
      <c r="DX58" s="20"/>
      <c r="DY58" s="20"/>
      <c r="DZ58" s="20"/>
      <c r="EA58" s="20"/>
      <c r="EB58" s="20"/>
      <c r="EC58" s="20"/>
      <c r="ED58" s="20"/>
      <c r="EE58" s="20"/>
      <c r="EF58" s="20"/>
      <c r="EG58" s="20"/>
      <c r="EH58" s="20"/>
      <c r="EI58" s="20"/>
      <c r="EJ58" s="20"/>
      <c r="EK58" s="20"/>
      <c r="EL58" s="20"/>
      <c r="EM58" s="20"/>
      <c r="EN58" s="20"/>
      <c r="EO58" s="21"/>
      <c r="EP58" s="43" t="str">
        <f>IFERROR(VLOOKUP("4P01-35-00-02",pareto,18,FALSE),"-")</f>
        <v>-</v>
      </c>
      <c r="EQ58" s="20"/>
      <c r="ER58" s="20"/>
      <c r="ES58" s="20"/>
      <c r="ET58" s="218" t="str">
        <f>IFERROR(VLOOKUP("4P01-36-00-02",pareto,18,FALSE),"-")</f>
        <v>-</v>
      </c>
      <c r="EU58" s="41" t="str">
        <f>IFERROR(VLOOKUP("4P02-35-00-02",pareto,18,FALSE),"-")</f>
        <v>-</v>
      </c>
      <c r="EV58" s="20"/>
      <c r="EW58" s="20"/>
      <c r="EX58" s="20"/>
      <c r="EY58" s="218" t="str">
        <f>IFERROR(VLOOKUP("4P02-36-00-02",pareto,18,FALSE),"-")</f>
        <v>-</v>
      </c>
      <c r="EZ58" s="41" t="str">
        <f>IFERROR(VLOOKUP("4P03-35-00-02",pareto,18,FALSE),"-")</f>
        <v>-</v>
      </c>
      <c r="FA58" s="20"/>
      <c r="FB58" s="20"/>
      <c r="FC58" s="20"/>
      <c r="FD58" s="218" t="str">
        <f>IFERROR(VLOOKUP("4P03-36-00-02",pareto,18,FALSE),"-")</f>
        <v>-</v>
      </c>
      <c r="FE58" s="41" t="str">
        <f>IFERROR(VLOOKUP("4P04-35-00-02",pareto,18,FALSE),"-")</f>
        <v>-</v>
      </c>
      <c r="FF58" s="20"/>
      <c r="FG58" s="20"/>
      <c r="FH58" s="20"/>
      <c r="FI58" s="218" t="str">
        <f>IFERROR(VLOOKUP("4P04-36-00-02",pareto,18,FALSE),"-")</f>
        <v>-</v>
      </c>
      <c r="FJ58" s="41" t="str">
        <f>IFERROR(VLOOKUP("4P05-35-00-02",pareto,18,FALSE),"-")</f>
        <v>-</v>
      </c>
      <c r="FK58" s="20"/>
      <c r="FL58" s="20"/>
      <c r="FM58" s="20"/>
      <c r="FN58" s="218" t="str">
        <f>IFERROR(VLOOKUP("4P05-36-00-02",pareto,18,FALSE),"-")</f>
        <v>-</v>
      </c>
      <c r="FO58" s="41" t="str">
        <f>IFERROR(VLOOKUP("4P06-35-00-02",pareto,18,FALSE),"-")</f>
        <v>-</v>
      </c>
      <c r="FP58" s="20"/>
      <c r="FQ58" s="20"/>
      <c r="FR58" s="20"/>
      <c r="FS58" s="218" t="str">
        <f>IFERROR(VLOOKUP("4P06-36-00-02",pareto,18,FALSE),"-")</f>
        <v>-</v>
      </c>
      <c r="FT58" s="41" t="str">
        <f>IFERROR(VLOOKUP("4P07-35-00-02",pareto,18,FALSE),"-")</f>
        <v>-</v>
      </c>
      <c r="FU58" s="20"/>
      <c r="FV58" s="20"/>
      <c r="FW58" s="20"/>
      <c r="FX58" s="218" t="str">
        <f>IFERROR(VLOOKUP("4P07-36-00-02",pareto,18,FALSE),"-")</f>
        <v>-</v>
      </c>
      <c r="FY58" s="41" t="str">
        <f>IFERROR(VLOOKUP("4P08-35-00-02",pareto,18,FALSE),"-")</f>
        <v>-</v>
      </c>
      <c r="FZ58" s="20"/>
      <c r="GA58" s="20"/>
      <c r="GB58" s="20"/>
      <c r="GC58" s="218" t="str">
        <f>IFERROR(VLOOKUP("4P08-36-00-02",pareto,18,FALSE),"-")</f>
        <v>-</v>
      </c>
      <c r="GD58" s="41" t="str">
        <f>IFERROR(VLOOKUP("4P09-35-00-02",pareto,18,FALSE),"-")</f>
        <v>-</v>
      </c>
      <c r="GE58" s="20"/>
      <c r="GF58" s="20"/>
      <c r="GG58" s="20"/>
      <c r="GH58" s="227" t="str">
        <f>IFERROR(VLOOKUP("4P09-36-00-02",pareto,18,FALSE),"-")</f>
        <v>-</v>
      </c>
    </row>
    <row r="59" spans="3:190" ht="12" customHeight="1" thickTop="1" thickBot="1" x14ac:dyDescent="0.3">
      <c r="C59" s="270"/>
      <c r="D59" s="270"/>
      <c r="E59" s="270"/>
      <c r="F59" s="270"/>
      <c r="G59" s="270"/>
      <c r="H59" s="270"/>
      <c r="I59" s="270"/>
      <c r="J59" s="270"/>
      <c r="K59" s="270"/>
      <c r="L59" s="270"/>
      <c r="M59" s="270"/>
      <c r="N59" s="270"/>
      <c r="O59" s="270"/>
      <c r="P59" s="270"/>
      <c r="Q59" s="270"/>
      <c r="R59" s="9"/>
      <c r="S59" s="9"/>
      <c r="T59" s="9"/>
      <c r="U59" s="9"/>
      <c r="V59" s="9"/>
      <c r="W59" s="9"/>
      <c r="X59" s="9"/>
      <c r="Y59" s="9"/>
      <c r="Z59" s="9"/>
      <c r="AA59" s="271"/>
      <c r="AB59" s="271"/>
      <c r="AC59" s="271"/>
      <c r="AD59" s="271"/>
      <c r="AE59" s="271"/>
      <c r="AF59" s="271"/>
      <c r="AG59" s="271"/>
      <c r="AH59" s="271"/>
      <c r="AI59" s="271"/>
      <c r="AJ59" s="271"/>
      <c r="AK59" s="271"/>
      <c r="AL59" s="271"/>
      <c r="AM59" s="271"/>
      <c r="AN59" s="271"/>
      <c r="AO59" s="271"/>
      <c r="AP59" s="271"/>
      <c r="AQ59" s="271"/>
      <c r="AR59" s="271"/>
      <c r="AS59" s="271"/>
      <c r="AT59" s="271"/>
      <c r="AU59" s="271"/>
      <c r="AV59" s="271"/>
      <c r="AW59" s="271"/>
      <c r="AX59" s="271"/>
      <c r="AY59" s="271"/>
      <c r="AZ59" s="271"/>
      <c r="BA59" s="92"/>
      <c r="BB59" s="77"/>
      <c r="BC59" s="77"/>
      <c r="BD59" s="78"/>
      <c r="BE59" s="78"/>
      <c r="BF59" s="78"/>
      <c r="BG59" s="78"/>
      <c r="BH59" s="78"/>
      <c r="BI59" s="78"/>
      <c r="BJ59" s="78"/>
      <c r="BK59" s="78"/>
      <c r="BL59" s="78"/>
      <c r="BM59" s="78"/>
      <c r="BN59" s="78"/>
      <c r="BO59" s="78"/>
      <c r="BP59" s="78"/>
      <c r="BQ59" s="78"/>
      <c r="BR59" s="77"/>
      <c r="BS59" s="77"/>
      <c r="BT59" s="77"/>
      <c r="BU59" s="77"/>
      <c r="BV59" s="20"/>
      <c r="BW59" s="20"/>
      <c r="BX59" s="20"/>
      <c r="BY59" s="20"/>
      <c r="BZ59" s="20"/>
      <c r="CA59" s="20"/>
      <c r="CB59" s="20"/>
      <c r="CC59" s="20"/>
      <c r="CD59" s="20"/>
      <c r="CE59" s="20"/>
      <c r="CF59" s="20"/>
      <c r="CG59" s="20"/>
      <c r="CH59" s="20"/>
      <c r="CI59" s="20"/>
      <c r="CJ59" s="20"/>
      <c r="CK59" s="20"/>
      <c r="CL59" s="20"/>
      <c r="CM59" s="20"/>
      <c r="CN59" s="20"/>
      <c r="CO59" s="20"/>
      <c r="CP59" s="20"/>
      <c r="CQ59" s="20"/>
      <c r="CR59" s="20"/>
      <c r="CS59" s="21"/>
      <c r="CT59" s="19"/>
      <c r="CU59" s="20"/>
      <c r="CV59" s="20"/>
      <c r="CW59" s="20"/>
      <c r="CX59" s="20"/>
      <c r="CY59" s="20"/>
      <c r="CZ59" s="20"/>
      <c r="DA59" s="20"/>
      <c r="DB59" s="20"/>
      <c r="DC59" s="20"/>
      <c r="DD59" s="20"/>
      <c r="DE59" s="20"/>
      <c r="DF59" s="20"/>
      <c r="DG59" s="20"/>
      <c r="DH59" s="20"/>
      <c r="DI59" s="20"/>
      <c r="DJ59" s="20"/>
      <c r="DK59" s="20"/>
      <c r="DL59" s="20"/>
      <c r="DM59" s="20"/>
      <c r="DN59" s="20"/>
      <c r="DO59" s="20"/>
      <c r="DP59" s="20"/>
      <c r="DQ59" s="20"/>
      <c r="DR59" s="20"/>
      <c r="DS59" s="20"/>
      <c r="DT59" s="20"/>
      <c r="DU59" s="20"/>
      <c r="DV59" s="20"/>
      <c r="DW59" s="20"/>
      <c r="DX59" s="20"/>
      <c r="DY59" s="20"/>
      <c r="DZ59" s="20"/>
      <c r="EA59" s="20"/>
      <c r="EB59" s="20"/>
      <c r="EC59" s="20"/>
      <c r="ED59" s="20"/>
      <c r="EE59" s="20"/>
      <c r="EF59" s="20"/>
      <c r="EG59" s="20"/>
      <c r="EH59" s="20"/>
      <c r="EI59" s="20"/>
      <c r="EJ59" s="20"/>
      <c r="EK59" s="20"/>
      <c r="EL59" s="20"/>
      <c r="EM59" s="20"/>
      <c r="EN59" s="20"/>
      <c r="EO59" s="21"/>
      <c r="EP59" s="42" t="str">
        <f>IFERROR(VLOOKUP("4P01-35-00-01",pareto,18,FALSE),"-")</f>
        <v>-</v>
      </c>
      <c r="EQ59" s="20"/>
      <c r="ER59" s="20"/>
      <c r="ES59" s="20"/>
      <c r="ET59" s="219" t="str">
        <f>IFERROR(VLOOKUP("4P01-36-00-01",pareto,18,FALSE),"-")</f>
        <v>-</v>
      </c>
      <c r="EU59" s="42" t="str">
        <f>IFERROR(VLOOKUP("4P02-35-00-01",pareto,18,FALSE),"-")</f>
        <v>-</v>
      </c>
      <c r="EV59" s="20"/>
      <c r="EW59" s="20"/>
      <c r="EX59" s="20"/>
      <c r="EY59" s="219" t="str">
        <f>IFERROR(VLOOKUP("4P02-36-00-01",pareto,18,FALSE),"-")</f>
        <v>-</v>
      </c>
      <c r="EZ59" s="42" t="str">
        <f>IFERROR(VLOOKUP("4P03-35-00-01",pareto,18,FALSE),"-")</f>
        <v>-</v>
      </c>
      <c r="FA59" s="20"/>
      <c r="FB59" s="20"/>
      <c r="FC59" s="20"/>
      <c r="FD59" s="219" t="str">
        <f>IFERROR(VLOOKUP("4P03-36-00-01",pareto,18,FALSE),"-")</f>
        <v>-</v>
      </c>
      <c r="FE59" s="42" t="str">
        <f>IFERROR(VLOOKUP("4P04-35-00-01",pareto,18,FALSE),"-")</f>
        <v>-</v>
      </c>
      <c r="FF59" s="20"/>
      <c r="FG59" s="20"/>
      <c r="FH59" s="20"/>
      <c r="FI59" s="219" t="str">
        <f>IFERROR(VLOOKUP("4P04-36-00-01",pareto,18,FALSE),"-")</f>
        <v>-</v>
      </c>
      <c r="FJ59" s="42" t="str">
        <f>IFERROR(VLOOKUP("4P05-35-00-01",pareto,18,FALSE),"-")</f>
        <v>-</v>
      </c>
      <c r="FK59" s="20"/>
      <c r="FL59" s="20"/>
      <c r="FM59" s="20"/>
      <c r="FN59" s="219" t="str">
        <f>IFERROR(VLOOKUP("4P05-36-00-01",pareto,18,FALSE),"-")</f>
        <v>-</v>
      </c>
      <c r="FO59" s="42" t="str">
        <f>IFERROR(VLOOKUP("4P06-35-00-01",pareto,18,FALSE),"-")</f>
        <v>-</v>
      </c>
      <c r="FP59" s="20"/>
      <c r="FQ59" s="20"/>
      <c r="FR59" s="20"/>
      <c r="FS59" s="219" t="str">
        <f>IFERROR(VLOOKUP("4P06-36-00-01",pareto,18,FALSE),"-")</f>
        <v>-</v>
      </c>
      <c r="FT59" s="42" t="str">
        <f>IFERROR(VLOOKUP("4P07-35-00-01",pareto,18,FALSE),"-")</f>
        <v>-</v>
      </c>
      <c r="FU59" s="20"/>
      <c r="FV59" s="20"/>
      <c r="FW59" s="20"/>
      <c r="FX59" s="219" t="str">
        <f>IFERROR(VLOOKUP("4P07-36-00-01",pareto,18,FALSE),"-")</f>
        <v>-</v>
      </c>
      <c r="FY59" s="42" t="str">
        <f>IFERROR(VLOOKUP("4P08-35-00-01",pareto,18,FALSE),"-")</f>
        <v>-</v>
      </c>
      <c r="FZ59" s="20"/>
      <c r="GA59" s="20"/>
      <c r="GB59" s="20"/>
      <c r="GC59" s="219" t="str">
        <f>IFERROR(VLOOKUP("4P08-36-00-01",pareto,18,FALSE),"-")</f>
        <v>-</v>
      </c>
      <c r="GD59" s="42" t="str">
        <f>IFERROR(VLOOKUP("4P09-35-00-01",pareto,18,FALSE),"-")</f>
        <v>-</v>
      </c>
      <c r="GE59" s="20"/>
      <c r="GF59" s="20"/>
      <c r="GG59" s="20"/>
      <c r="GH59" s="228" t="str">
        <f>IFERROR(VLOOKUP("4P09-36-00-01",pareto,18,FALSE),"-")</f>
        <v>-</v>
      </c>
    </row>
    <row r="60" spans="3:190" ht="12" customHeight="1" thickTop="1" thickBot="1" x14ac:dyDescent="0.3">
      <c r="C60" s="270"/>
      <c r="D60" s="270"/>
      <c r="E60" s="270"/>
      <c r="F60" s="270"/>
      <c r="G60" s="270"/>
      <c r="H60" s="270"/>
      <c r="I60" s="270"/>
      <c r="J60" s="270"/>
      <c r="K60" s="270"/>
      <c r="L60" s="270"/>
      <c r="M60" s="270"/>
      <c r="N60" s="270"/>
      <c r="O60" s="270"/>
      <c r="P60" s="270"/>
      <c r="Q60" s="270"/>
      <c r="R60" s="9"/>
      <c r="S60" s="9"/>
      <c r="T60" s="9"/>
      <c r="U60" s="9"/>
      <c r="V60" s="9"/>
      <c r="W60" s="9"/>
      <c r="X60" s="9"/>
      <c r="Y60" s="9"/>
      <c r="Z60" s="9"/>
      <c r="AA60" s="271"/>
      <c r="AB60" s="271"/>
      <c r="AC60" s="271"/>
      <c r="AD60" s="271"/>
      <c r="AE60" s="271"/>
      <c r="AF60" s="271"/>
      <c r="AG60" s="271"/>
      <c r="AH60" s="271"/>
      <c r="AI60" s="271"/>
      <c r="AJ60" s="271"/>
      <c r="AK60" s="271"/>
      <c r="AL60" s="271"/>
      <c r="AM60" s="271"/>
      <c r="AN60" s="271"/>
      <c r="AO60" s="271"/>
      <c r="AP60" s="271"/>
      <c r="AQ60" s="271"/>
      <c r="AR60" s="271"/>
      <c r="AS60" s="271"/>
      <c r="AT60" s="271"/>
      <c r="AU60" s="271"/>
      <c r="AV60" s="271"/>
      <c r="AW60" s="271"/>
      <c r="AX60" s="271"/>
      <c r="AY60" s="271"/>
      <c r="AZ60" s="271"/>
      <c r="BA60" s="92"/>
      <c r="BB60" s="77"/>
      <c r="BC60" s="77"/>
      <c r="BD60" s="78"/>
      <c r="BE60" s="78"/>
      <c r="BF60" s="78"/>
      <c r="BG60" s="78"/>
      <c r="BH60" s="78"/>
      <c r="BI60" s="78"/>
      <c r="BJ60" s="78"/>
      <c r="BK60" s="78"/>
      <c r="BL60" s="78"/>
      <c r="BM60" s="78"/>
      <c r="BN60" s="78"/>
      <c r="BO60" s="78"/>
      <c r="BP60" s="78"/>
      <c r="BQ60" s="78"/>
      <c r="BR60" s="77"/>
      <c r="BS60" s="77"/>
      <c r="BT60" s="77"/>
      <c r="BU60" s="77"/>
      <c r="BV60" s="20"/>
      <c r="BW60" s="20"/>
      <c r="BX60" s="20"/>
      <c r="BY60" s="20"/>
      <c r="BZ60" s="20"/>
      <c r="CA60" s="20"/>
      <c r="CB60" s="20"/>
      <c r="CC60" s="20"/>
      <c r="CD60" s="20"/>
      <c r="CE60" s="20"/>
      <c r="CF60" s="20"/>
      <c r="CG60" s="20"/>
      <c r="CH60" s="20"/>
      <c r="CI60" s="20"/>
      <c r="CJ60" s="20"/>
      <c r="CK60" s="20"/>
      <c r="CL60" s="20"/>
      <c r="CM60" s="20"/>
      <c r="CN60" s="20"/>
      <c r="CO60" s="20"/>
      <c r="CP60" s="20"/>
      <c r="CQ60" s="20"/>
      <c r="CR60" s="20"/>
      <c r="CS60" s="21"/>
      <c r="CT60" s="19"/>
      <c r="CU60" s="20"/>
      <c r="CV60" s="20"/>
      <c r="CW60" s="20"/>
      <c r="CX60" s="20"/>
      <c r="CY60" s="20"/>
      <c r="CZ60" s="20"/>
      <c r="DA60" s="20"/>
      <c r="DB60" s="20"/>
      <c r="DC60" s="20"/>
      <c r="DD60" s="20"/>
      <c r="DE60" s="20"/>
      <c r="DF60" s="20"/>
      <c r="DG60" s="20"/>
      <c r="DH60" s="20"/>
      <c r="DI60" s="20"/>
      <c r="DJ60" s="20"/>
      <c r="DK60" s="20"/>
      <c r="DL60" s="20"/>
      <c r="DM60" s="20"/>
      <c r="DN60" s="20"/>
      <c r="DO60" s="20"/>
      <c r="DP60" s="20"/>
      <c r="DQ60" s="20"/>
      <c r="DR60" s="20"/>
      <c r="DS60" s="20"/>
      <c r="DT60" s="20"/>
      <c r="DU60" s="20"/>
      <c r="DV60" s="20"/>
      <c r="DW60" s="20"/>
      <c r="DX60" s="20"/>
      <c r="DY60" s="20"/>
      <c r="DZ60" s="20"/>
      <c r="EA60" s="20"/>
      <c r="EB60" s="20"/>
      <c r="EC60" s="20"/>
      <c r="ED60" s="20"/>
      <c r="EE60" s="20"/>
      <c r="EF60" s="20"/>
      <c r="EG60" s="20"/>
      <c r="EH60" s="20"/>
      <c r="EI60" s="20"/>
      <c r="EJ60" s="20"/>
      <c r="EK60" s="20"/>
      <c r="EL60" s="20"/>
      <c r="EM60" s="20"/>
      <c r="EN60" s="20"/>
      <c r="EO60" s="21"/>
      <c r="EP60" s="40" t="str">
        <f>IFERROR(VLOOKUP("4P01-33-00-03",pareto,18,FALSE),"-")</f>
        <v>-</v>
      </c>
      <c r="EQ60" s="20"/>
      <c r="ER60" s="20"/>
      <c r="ES60" s="20"/>
      <c r="ET60" s="217" t="str">
        <f>IFERROR(VLOOKUP("4P01-34-00-03",pareto,18,FALSE),"-")</f>
        <v>-</v>
      </c>
      <c r="EU60" s="40" t="str">
        <f>IFERROR(VLOOKUP("4P02-33-00-03",pareto,18,FALSE),"-")</f>
        <v>-</v>
      </c>
      <c r="EV60" s="20"/>
      <c r="EW60" s="20"/>
      <c r="EX60" s="20"/>
      <c r="EY60" s="217" t="str">
        <f>IFERROR(VLOOKUP("4P02-34-00-03",pareto,18,FALSE),"-")</f>
        <v>-</v>
      </c>
      <c r="EZ60" s="40" t="str">
        <f>IFERROR(VLOOKUP("4P03-33-00-03",pareto,18,FALSE),"-")</f>
        <v>-</v>
      </c>
      <c r="FA60" s="20"/>
      <c r="FB60" s="20"/>
      <c r="FC60" s="20"/>
      <c r="FD60" s="217" t="str">
        <f>IFERROR(VLOOKUP("4P03-34-00-03",pareto,18,FALSE),"-")</f>
        <v>-</v>
      </c>
      <c r="FE60" s="40" t="str">
        <f>IFERROR(VLOOKUP("4P04-33-00-03",pareto,18,FALSE),"-")</f>
        <v>-</v>
      </c>
      <c r="FF60" s="20"/>
      <c r="FG60" s="20"/>
      <c r="FH60" s="20"/>
      <c r="FI60" s="217" t="str">
        <f>IFERROR(VLOOKUP("4P04-34-00-03",pareto,18,FALSE),"-")</f>
        <v>-</v>
      </c>
      <c r="FJ60" s="40" t="str">
        <f>IFERROR(VLOOKUP("4P05-33-00-03",pareto,18,FALSE),"-")</f>
        <v>-</v>
      </c>
      <c r="FK60" s="20"/>
      <c r="FL60" s="20"/>
      <c r="FM60" s="20"/>
      <c r="FN60" s="217" t="str">
        <f>IFERROR(VLOOKUP("4P05-34-00-03",pareto,18,FALSE),"-")</f>
        <v>-</v>
      </c>
      <c r="FO60" s="40" t="str">
        <f>IFERROR(VLOOKUP("4P06-33-00-03",pareto,18,FALSE),"-")</f>
        <v>-</v>
      </c>
      <c r="FP60" s="20"/>
      <c r="FQ60" s="20"/>
      <c r="FR60" s="20"/>
      <c r="FS60" s="217" t="str">
        <f>IFERROR(VLOOKUP("4P06-34-00-03",pareto,18,FALSE),"-")</f>
        <v>-</v>
      </c>
      <c r="FT60" s="40" t="str">
        <f>IFERROR(VLOOKUP("4P07-33-00-03",pareto,18,FALSE),"-")</f>
        <v>-</v>
      </c>
      <c r="FU60" s="20"/>
      <c r="FV60" s="20"/>
      <c r="FW60" s="20"/>
      <c r="FX60" s="217" t="str">
        <f>IFERROR(VLOOKUP("4P07-34-00-03",pareto,18,FALSE),"-")</f>
        <v>-</v>
      </c>
      <c r="FY60" s="40" t="str">
        <f>IFERROR(VLOOKUP("4P08-33-00-03",pareto,18,FALSE),"-")</f>
        <v>-</v>
      </c>
      <c r="FZ60" s="20"/>
      <c r="GA60" s="20"/>
      <c r="GB60" s="20"/>
      <c r="GC60" s="217" t="str">
        <f>IFERROR(VLOOKUP("4P08-34-00-03",pareto,18,FALSE),"-")</f>
        <v>-</v>
      </c>
      <c r="GD60" s="40" t="str">
        <f>IFERROR(VLOOKUP("4P09-33-00-03",pareto,18,FALSE),"-")</f>
        <v>-</v>
      </c>
      <c r="GE60" s="20"/>
      <c r="GF60" s="20"/>
      <c r="GG60" s="20"/>
      <c r="GH60" s="224" t="str">
        <f>IFERROR(VLOOKUP("4P09-34-00-03",pareto,18,FALSE),"-")</f>
        <v>-</v>
      </c>
    </row>
    <row r="61" spans="3:190" ht="12" customHeight="1" thickTop="1" thickBot="1" x14ac:dyDescent="0.3">
      <c r="C61" s="270"/>
      <c r="D61" s="270"/>
      <c r="E61" s="270"/>
      <c r="F61" s="270"/>
      <c r="G61" s="270"/>
      <c r="H61" s="270"/>
      <c r="I61" s="270"/>
      <c r="J61" s="270"/>
      <c r="K61" s="270"/>
      <c r="L61" s="270"/>
      <c r="M61" s="270"/>
      <c r="N61" s="270"/>
      <c r="O61" s="270"/>
      <c r="P61" s="270"/>
      <c r="Q61" s="270"/>
      <c r="R61" s="9"/>
      <c r="S61" s="9"/>
      <c r="T61" s="9"/>
      <c r="U61" s="9"/>
      <c r="V61" s="9"/>
      <c r="W61" s="9"/>
      <c r="X61" s="9"/>
      <c r="Y61" s="9"/>
      <c r="Z61" s="9"/>
      <c r="AA61" s="271"/>
      <c r="AB61" s="271"/>
      <c r="AC61" s="271"/>
      <c r="AD61" s="271"/>
      <c r="AE61" s="271"/>
      <c r="AF61" s="271"/>
      <c r="AG61" s="271"/>
      <c r="AH61" s="271"/>
      <c r="AI61" s="271"/>
      <c r="AJ61" s="271"/>
      <c r="AK61" s="271"/>
      <c r="AL61" s="271"/>
      <c r="AM61" s="271"/>
      <c r="AN61" s="271"/>
      <c r="AO61" s="271"/>
      <c r="AP61" s="271"/>
      <c r="AQ61" s="271"/>
      <c r="AR61" s="271"/>
      <c r="AS61" s="271"/>
      <c r="AT61" s="271"/>
      <c r="AU61" s="271"/>
      <c r="AV61" s="271"/>
      <c r="AW61" s="271"/>
      <c r="AX61" s="271"/>
      <c r="AY61" s="271"/>
      <c r="AZ61" s="271"/>
      <c r="BA61" s="92"/>
      <c r="BB61" s="77"/>
      <c r="BC61" s="77"/>
      <c r="BD61" s="78"/>
      <c r="BE61" s="78"/>
      <c r="BF61" s="78"/>
      <c r="BG61" s="78"/>
      <c r="BH61" s="78"/>
      <c r="BI61" s="78"/>
      <c r="BJ61" s="78"/>
      <c r="BK61" s="78"/>
      <c r="BL61" s="78"/>
      <c r="BM61" s="78"/>
      <c r="BN61" s="78"/>
      <c r="BO61" s="78"/>
      <c r="BP61" s="78"/>
      <c r="BQ61" s="78"/>
      <c r="BR61" s="77"/>
      <c r="BS61" s="77"/>
      <c r="BT61" s="77"/>
      <c r="BU61" s="77"/>
      <c r="BV61" s="20"/>
      <c r="BW61" s="20"/>
      <c r="BX61" s="20"/>
      <c r="BY61" s="20"/>
      <c r="BZ61" s="20"/>
      <c r="CA61" s="20"/>
      <c r="CB61" s="20"/>
      <c r="CC61" s="20"/>
      <c r="CD61" s="20"/>
      <c r="CE61" s="20"/>
      <c r="CF61" s="20"/>
      <c r="CG61" s="20"/>
      <c r="CH61" s="20"/>
      <c r="CI61" s="20"/>
      <c r="CJ61" s="20"/>
      <c r="CK61" s="20"/>
      <c r="CL61" s="20"/>
      <c r="CM61" s="20"/>
      <c r="CN61" s="20"/>
      <c r="CO61" s="20"/>
      <c r="CP61" s="20"/>
      <c r="CQ61" s="20"/>
      <c r="CR61" s="20"/>
      <c r="CS61" s="21"/>
      <c r="CT61" s="19"/>
      <c r="CU61" s="20"/>
      <c r="CV61" s="20"/>
      <c r="CW61" s="20"/>
      <c r="CX61" s="20"/>
      <c r="CY61" s="20"/>
      <c r="CZ61" s="20"/>
      <c r="DA61" s="20"/>
      <c r="DB61" s="20"/>
      <c r="DC61" s="20"/>
      <c r="DD61" s="20"/>
      <c r="DE61" s="20"/>
      <c r="DF61" s="20"/>
      <c r="DG61" s="20"/>
      <c r="DH61" s="20"/>
      <c r="DI61" s="20"/>
      <c r="DJ61" s="20"/>
      <c r="DK61" s="20"/>
      <c r="DL61" s="20"/>
      <c r="DM61" s="20"/>
      <c r="DN61" s="20"/>
      <c r="DO61" s="20"/>
      <c r="DP61" s="20"/>
      <c r="DQ61" s="20"/>
      <c r="DR61" s="20"/>
      <c r="DS61" s="20"/>
      <c r="DT61" s="20"/>
      <c r="DU61" s="20"/>
      <c r="DV61" s="20"/>
      <c r="DW61" s="20"/>
      <c r="DX61" s="20"/>
      <c r="DY61" s="20"/>
      <c r="DZ61" s="20"/>
      <c r="EA61" s="20"/>
      <c r="EB61" s="20"/>
      <c r="EC61" s="20"/>
      <c r="ED61" s="20"/>
      <c r="EE61" s="20"/>
      <c r="EF61" s="20"/>
      <c r="EG61" s="20"/>
      <c r="EH61" s="20"/>
      <c r="EI61" s="20"/>
      <c r="EJ61" s="20"/>
      <c r="EK61" s="20"/>
      <c r="EL61" s="20"/>
      <c r="EM61" s="20"/>
      <c r="EN61" s="20"/>
      <c r="EO61" s="21"/>
      <c r="EP61" s="43" t="str">
        <f>IFERROR(VLOOKUP("4P01-33-00-02",pareto,18,FALSE),"-")</f>
        <v>-</v>
      </c>
      <c r="EQ61" s="20"/>
      <c r="ER61" s="20"/>
      <c r="ES61" s="20"/>
      <c r="ET61" s="218" t="str">
        <f>IFERROR(VLOOKUP("4P01-34-00-02",pareto,18,FALSE),"-")</f>
        <v>-</v>
      </c>
      <c r="EU61" s="41" t="str">
        <f>IFERROR(VLOOKUP("4P02-33-00-02",pareto,18,FALSE),"-")</f>
        <v>-</v>
      </c>
      <c r="EV61" s="20"/>
      <c r="EW61" s="20"/>
      <c r="EX61" s="20"/>
      <c r="EY61" s="218" t="str">
        <f>IFERROR(VLOOKUP("4P02-34-00-02",pareto,18,FALSE),"-")</f>
        <v>-</v>
      </c>
      <c r="EZ61" s="41" t="str">
        <f>IFERROR(VLOOKUP("4P03-33-00-02",pareto,18,FALSE),"-")</f>
        <v>-</v>
      </c>
      <c r="FA61" s="20"/>
      <c r="FB61" s="20"/>
      <c r="FC61" s="20"/>
      <c r="FD61" s="218" t="str">
        <f>IFERROR(VLOOKUP("4P03-34-00-02",pareto,18,FALSE),"-")</f>
        <v>-</v>
      </c>
      <c r="FE61" s="41" t="str">
        <f>IFERROR(VLOOKUP("4P04-33-00-02",pareto,18,FALSE),"-")</f>
        <v>-</v>
      </c>
      <c r="FF61" s="20"/>
      <c r="FG61" s="20"/>
      <c r="FH61" s="20"/>
      <c r="FI61" s="218" t="str">
        <f>IFERROR(VLOOKUP("4P04-34-00-02",pareto,18,FALSE),"-")</f>
        <v>-</v>
      </c>
      <c r="FJ61" s="41" t="str">
        <f>IFERROR(VLOOKUP("4P05-33-00-02",pareto,18,FALSE),"-")</f>
        <v>-</v>
      </c>
      <c r="FK61" s="20"/>
      <c r="FL61" s="20"/>
      <c r="FM61" s="20"/>
      <c r="FN61" s="218" t="str">
        <f>IFERROR(VLOOKUP("4P05-34-00-02",pareto,18,FALSE),"-")</f>
        <v>-</v>
      </c>
      <c r="FO61" s="41" t="str">
        <f>IFERROR(VLOOKUP("4P06-33-00-02",pareto,18,FALSE),"-")</f>
        <v>-</v>
      </c>
      <c r="FP61" s="20"/>
      <c r="FQ61" s="20"/>
      <c r="FR61" s="20"/>
      <c r="FS61" s="218" t="str">
        <f>IFERROR(VLOOKUP("4P06-34-00-02",pareto,18,FALSE),"-")</f>
        <v>-</v>
      </c>
      <c r="FT61" s="41" t="str">
        <f>IFERROR(VLOOKUP("4P07-33-00-02",pareto,18,FALSE),"-")</f>
        <v>-</v>
      </c>
      <c r="FU61" s="20"/>
      <c r="FV61" s="20"/>
      <c r="FW61" s="20"/>
      <c r="FX61" s="218" t="str">
        <f>IFERROR(VLOOKUP("4P07-34-00-02",pareto,18,FALSE),"-")</f>
        <v>-</v>
      </c>
      <c r="FY61" s="41" t="str">
        <f>IFERROR(VLOOKUP("4P08-33-00-02",pareto,18,FALSE),"-")</f>
        <v>-</v>
      </c>
      <c r="FZ61" s="20"/>
      <c r="GA61" s="20"/>
      <c r="GB61" s="20"/>
      <c r="GC61" s="218" t="str">
        <f>IFERROR(VLOOKUP("4P08-34-00-02",pareto,18,FALSE),"-")</f>
        <v>-</v>
      </c>
      <c r="GD61" s="41" t="str">
        <f>IFERROR(VLOOKUP("4P09-33-00-02",pareto,18,FALSE),"-")</f>
        <v>-</v>
      </c>
      <c r="GE61" s="20"/>
      <c r="GF61" s="20"/>
      <c r="GG61" s="20"/>
      <c r="GH61" s="227" t="str">
        <f>IFERROR(VLOOKUP("4P09-34-00-02",pareto,18,FALSE),"-")</f>
        <v>-</v>
      </c>
    </row>
    <row r="62" spans="3:190" ht="12" customHeight="1" thickTop="1" thickBot="1" x14ac:dyDescent="0.3">
      <c r="C62" s="270"/>
      <c r="D62" s="270"/>
      <c r="E62" s="270"/>
      <c r="F62" s="270"/>
      <c r="G62" s="270"/>
      <c r="H62" s="270"/>
      <c r="I62" s="270"/>
      <c r="J62" s="270"/>
      <c r="K62" s="270"/>
      <c r="L62" s="270"/>
      <c r="M62" s="270"/>
      <c r="N62" s="270"/>
      <c r="O62" s="270"/>
      <c r="P62" s="270"/>
      <c r="Q62" s="270"/>
      <c r="R62" s="9"/>
      <c r="S62" s="9"/>
      <c r="T62" s="9"/>
      <c r="U62" s="9"/>
      <c r="V62" s="9"/>
      <c r="W62" s="9"/>
      <c r="X62" s="9"/>
      <c r="Y62" s="9"/>
      <c r="Z62" s="9"/>
      <c r="AA62" s="271"/>
      <c r="AB62" s="271"/>
      <c r="AC62" s="271"/>
      <c r="AD62" s="271"/>
      <c r="AE62" s="271"/>
      <c r="AF62" s="271"/>
      <c r="AG62" s="271"/>
      <c r="AH62" s="271"/>
      <c r="AI62" s="271"/>
      <c r="AJ62" s="271"/>
      <c r="AK62" s="271"/>
      <c r="AL62" s="271"/>
      <c r="AM62" s="271"/>
      <c r="AN62" s="271"/>
      <c r="AO62" s="271"/>
      <c r="AP62" s="271"/>
      <c r="AQ62" s="271"/>
      <c r="AR62" s="271"/>
      <c r="AS62" s="271"/>
      <c r="AT62" s="271"/>
      <c r="AU62" s="271"/>
      <c r="AV62" s="271"/>
      <c r="AW62" s="271"/>
      <c r="AX62" s="271"/>
      <c r="AY62" s="271"/>
      <c r="AZ62" s="271"/>
      <c r="BA62" s="92"/>
      <c r="BB62" s="77"/>
      <c r="BC62" s="77"/>
      <c r="BD62" s="78"/>
      <c r="BE62" s="78"/>
      <c r="BF62" s="78"/>
      <c r="BG62" s="78"/>
      <c r="BH62" s="78"/>
      <c r="BI62" s="78"/>
      <c r="BJ62" s="78"/>
      <c r="BK62" s="78"/>
      <c r="BL62" s="78"/>
      <c r="BM62" s="78"/>
      <c r="BN62" s="78"/>
      <c r="BO62" s="78"/>
      <c r="BP62" s="78"/>
      <c r="BQ62" s="78"/>
      <c r="BR62" s="77"/>
      <c r="BS62" s="77"/>
      <c r="BT62" s="77"/>
      <c r="BU62" s="77"/>
      <c r="BV62" s="20"/>
      <c r="BW62" s="20"/>
      <c r="BX62" s="20"/>
      <c r="BY62" s="20"/>
      <c r="BZ62" s="20"/>
      <c r="CA62" s="20"/>
      <c r="CB62" s="20"/>
      <c r="CC62" s="20"/>
      <c r="CD62" s="20"/>
      <c r="CE62" s="20"/>
      <c r="CF62" s="20"/>
      <c r="CG62" s="20"/>
      <c r="CH62" s="20"/>
      <c r="CI62" s="20"/>
      <c r="CJ62" s="20"/>
      <c r="CK62" s="20"/>
      <c r="CL62" s="20"/>
      <c r="CM62" s="20"/>
      <c r="CN62" s="20"/>
      <c r="CO62" s="20"/>
      <c r="CP62" s="20"/>
      <c r="CQ62" s="20"/>
      <c r="CR62" s="20"/>
      <c r="CS62" s="21"/>
      <c r="CT62" s="19"/>
      <c r="CU62" s="20"/>
      <c r="CV62" s="20"/>
      <c r="CW62" s="20"/>
      <c r="CX62" s="20"/>
      <c r="CY62" s="20"/>
      <c r="CZ62" s="20"/>
      <c r="DA62" s="20"/>
      <c r="DB62" s="20"/>
      <c r="DC62" s="20"/>
      <c r="DD62" s="20"/>
      <c r="DE62" s="20"/>
      <c r="DF62" s="20"/>
      <c r="DG62" s="20"/>
      <c r="DH62" s="20"/>
      <c r="DI62" s="20"/>
      <c r="DJ62" s="20"/>
      <c r="DK62" s="20"/>
      <c r="DL62" s="20"/>
      <c r="DM62" s="20"/>
      <c r="DN62" s="20"/>
      <c r="DO62" s="20"/>
      <c r="DP62" s="20"/>
      <c r="DQ62" s="20"/>
      <c r="DR62" s="20"/>
      <c r="DS62" s="20"/>
      <c r="DT62" s="20"/>
      <c r="DU62" s="20"/>
      <c r="DV62" s="20"/>
      <c r="DW62" s="20"/>
      <c r="DX62" s="20"/>
      <c r="DY62" s="20"/>
      <c r="DZ62" s="20"/>
      <c r="EA62" s="20"/>
      <c r="EB62" s="20"/>
      <c r="EC62" s="20"/>
      <c r="ED62" s="20"/>
      <c r="EE62" s="20"/>
      <c r="EF62" s="20"/>
      <c r="EG62" s="20"/>
      <c r="EH62" s="20"/>
      <c r="EI62" s="20"/>
      <c r="EJ62" s="20"/>
      <c r="EK62" s="20"/>
      <c r="EL62" s="20"/>
      <c r="EM62" s="20"/>
      <c r="EN62" s="20"/>
      <c r="EO62" s="21"/>
      <c r="EP62" s="42" t="str">
        <f>IFERROR(VLOOKUP("4P01-33-00-01",pareto,18,FALSE),"-")</f>
        <v>-</v>
      </c>
      <c r="EQ62" s="20"/>
      <c r="ER62" s="20"/>
      <c r="ES62" s="20"/>
      <c r="ET62" s="219" t="str">
        <f>IFERROR(VLOOKUP("4P01-34-00-01",pareto,18,FALSE),"-")</f>
        <v>-</v>
      </c>
      <c r="EU62" s="42" t="str">
        <f>IFERROR(VLOOKUP("4P02-33-00-01",pareto,18,FALSE),"-")</f>
        <v>-</v>
      </c>
      <c r="EV62" s="20"/>
      <c r="EW62" s="20"/>
      <c r="EX62" s="20"/>
      <c r="EY62" s="219" t="str">
        <f>IFERROR(VLOOKUP("4P02-34-00-01",pareto,18,FALSE),"-")</f>
        <v>-</v>
      </c>
      <c r="EZ62" s="42" t="str">
        <f>IFERROR(VLOOKUP("4P03-33-00-01",pareto,18,FALSE),"-")</f>
        <v>-</v>
      </c>
      <c r="FA62" s="20"/>
      <c r="FB62" s="20"/>
      <c r="FC62" s="20"/>
      <c r="FD62" s="219" t="str">
        <f>IFERROR(VLOOKUP("4P03-34-00-01",pareto,18,FALSE),"-")</f>
        <v>-</v>
      </c>
      <c r="FE62" s="42" t="str">
        <f>IFERROR(VLOOKUP("4P04-33-00-01",pareto,18,FALSE),"-")</f>
        <v>-</v>
      </c>
      <c r="FF62" s="20"/>
      <c r="FG62" s="20"/>
      <c r="FH62" s="20"/>
      <c r="FI62" s="219" t="str">
        <f>IFERROR(VLOOKUP("4P04-34-00-01",pareto,18,FALSE),"-")</f>
        <v>-</v>
      </c>
      <c r="FJ62" s="42" t="str">
        <f>IFERROR(VLOOKUP("4P05-33-00-01",pareto,18,FALSE),"-")</f>
        <v>-</v>
      </c>
      <c r="FK62" s="20"/>
      <c r="FL62" s="20"/>
      <c r="FM62" s="20"/>
      <c r="FN62" s="219" t="str">
        <f>IFERROR(VLOOKUP("4P05-34-00-01",pareto,18,FALSE),"-")</f>
        <v>-</v>
      </c>
      <c r="FO62" s="42" t="str">
        <f>IFERROR(VLOOKUP("4P06-33-00-01",pareto,18,FALSE),"-")</f>
        <v>-</v>
      </c>
      <c r="FP62" s="20"/>
      <c r="FQ62" s="20"/>
      <c r="FR62" s="20"/>
      <c r="FS62" s="219" t="str">
        <f>IFERROR(VLOOKUP("4P06-34-00-01",pareto,18,FALSE),"-")</f>
        <v>-</v>
      </c>
      <c r="FT62" s="42" t="str">
        <f>IFERROR(VLOOKUP("4P07-33-00-01",pareto,18,FALSE),"-")</f>
        <v>-</v>
      </c>
      <c r="FU62" s="20"/>
      <c r="FV62" s="20"/>
      <c r="FW62" s="20"/>
      <c r="FX62" s="219" t="str">
        <f>IFERROR(VLOOKUP("4P07-34-00-01",pareto,18,FALSE),"-")</f>
        <v>-</v>
      </c>
      <c r="FY62" s="42" t="str">
        <f>IFERROR(VLOOKUP("4P08-33-00-01",pareto,18,FALSE),"-")</f>
        <v>-</v>
      </c>
      <c r="FZ62" s="20"/>
      <c r="GA62" s="20"/>
      <c r="GB62" s="20"/>
      <c r="GC62" s="219" t="str">
        <f>IFERROR(VLOOKUP("4P08-34-00-01",pareto,18,FALSE),"-")</f>
        <v>-</v>
      </c>
      <c r="GD62" s="42" t="str">
        <f>IFERROR(VLOOKUP("4P09-33-00-01",pareto,18,FALSE),"-")</f>
        <v>-</v>
      </c>
      <c r="GE62" s="20"/>
      <c r="GF62" s="20"/>
      <c r="GG62" s="20"/>
      <c r="GH62" s="228" t="str">
        <f>IFERROR(VLOOKUP("4P09-34-00-01",pareto,18,FALSE),"-")</f>
        <v>-</v>
      </c>
    </row>
    <row r="63" spans="3:190" ht="12" customHeight="1" thickTop="1" thickBot="1" x14ac:dyDescent="0.3">
      <c r="C63" s="270"/>
      <c r="D63" s="270"/>
      <c r="E63" s="270"/>
      <c r="F63" s="270"/>
      <c r="G63" s="270"/>
      <c r="H63" s="270"/>
      <c r="I63" s="270"/>
      <c r="J63" s="270"/>
      <c r="K63" s="270"/>
      <c r="L63" s="270"/>
      <c r="M63" s="270"/>
      <c r="N63" s="270"/>
      <c r="O63" s="270"/>
      <c r="P63" s="270"/>
      <c r="Q63" s="270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17"/>
      <c r="BA63" s="19"/>
      <c r="BB63" s="20"/>
      <c r="BC63" s="20"/>
      <c r="BD63" s="78"/>
      <c r="BE63" s="78"/>
      <c r="BF63" s="78"/>
      <c r="BG63" s="78"/>
      <c r="BH63" s="78"/>
      <c r="BI63" s="78"/>
      <c r="BJ63" s="78"/>
      <c r="BK63" s="78"/>
      <c r="BL63" s="78"/>
      <c r="BM63" s="78"/>
      <c r="BN63" s="78"/>
      <c r="BO63" s="78"/>
      <c r="BP63" s="78"/>
      <c r="BQ63" s="78"/>
      <c r="BR63" s="20"/>
      <c r="BS63" s="20"/>
      <c r="BT63" s="20"/>
      <c r="BU63" s="20"/>
      <c r="BV63" s="20"/>
      <c r="BW63" s="20"/>
      <c r="BX63" s="20"/>
      <c r="BY63" s="20"/>
      <c r="BZ63" s="20"/>
      <c r="CA63" s="20"/>
      <c r="CB63" s="20"/>
      <c r="CC63" s="20"/>
      <c r="CD63" s="20"/>
      <c r="CE63" s="20"/>
      <c r="CF63" s="20"/>
      <c r="CG63" s="20"/>
      <c r="CH63" s="20"/>
      <c r="CI63" s="20"/>
      <c r="CJ63" s="20"/>
      <c r="CK63" s="20"/>
      <c r="CL63" s="20"/>
      <c r="CM63" s="20"/>
      <c r="CN63" s="20"/>
      <c r="CO63" s="20"/>
      <c r="CP63" s="20"/>
      <c r="CQ63" s="20"/>
      <c r="CR63" s="20"/>
      <c r="CS63" s="21"/>
      <c r="CT63" s="19"/>
      <c r="CU63" s="20"/>
      <c r="CV63" s="20"/>
      <c r="CW63" s="20"/>
      <c r="CX63" s="20"/>
      <c r="CY63" s="20"/>
      <c r="CZ63" s="20"/>
      <c r="DA63" s="20"/>
      <c r="DB63" s="20"/>
      <c r="DC63" s="20"/>
      <c r="DD63" s="20"/>
      <c r="DE63" s="20"/>
      <c r="DF63" s="20"/>
      <c r="DG63" s="20"/>
      <c r="DH63" s="20"/>
      <c r="DI63" s="20"/>
      <c r="DJ63" s="20"/>
      <c r="DK63" s="20"/>
      <c r="DL63" s="20"/>
      <c r="DM63" s="20"/>
      <c r="DN63" s="20"/>
      <c r="DO63" s="20"/>
      <c r="DP63" s="20"/>
      <c r="DQ63" s="20"/>
      <c r="DR63" s="20"/>
      <c r="DS63" s="20"/>
      <c r="DT63" s="20"/>
      <c r="DU63" s="20"/>
      <c r="DV63" s="20"/>
      <c r="DW63" s="20"/>
      <c r="DX63" s="20"/>
      <c r="DY63" s="20"/>
      <c r="DZ63" s="20"/>
      <c r="EA63" s="20"/>
      <c r="EB63" s="20"/>
      <c r="EC63" s="20"/>
      <c r="ED63" s="20"/>
      <c r="EE63" s="20"/>
      <c r="EF63" s="20"/>
      <c r="EG63" s="20"/>
      <c r="EH63" s="20"/>
      <c r="EI63" s="20"/>
      <c r="EJ63" s="20"/>
      <c r="EK63" s="20"/>
      <c r="EL63" s="20"/>
      <c r="EM63" s="20"/>
      <c r="EN63" s="20"/>
      <c r="EO63" s="21"/>
      <c r="EP63" s="40" t="str">
        <f>IFERROR(VLOOKUP("4P01-31-00-03",pareto,18,FALSE),"-")</f>
        <v>-</v>
      </c>
      <c r="EQ63" s="20"/>
      <c r="ER63" s="20"/>
      <c r="ES63" s="20"/>
      <c r="ET63" s="217" t="str">
        <f>IFERROR(VLOOKUP("4P01-32-00-03",pareto,18,FALSE),"-")</f>
        <v>-</v>
      </c>
      <c r="EU63" s="40" t="str">
        <f>IFERROR(VLOOKUP("4P02-31-00-03",pareto,18,FALSE),"-")</f>
        <v>-</v>
      </c>
      <c r="EV63" s="20"/>
      <c r="EW63" s="20"/>
      <c r="EX63" s="20"/>
      <c r="EY63" s="217" t="str">
        <f>IFERROR(VLOOKUP("4P02-32-00-03",pareto,18,FALSE),"-")</f>
        <v>-</v>
      </c>
      <c r="EZ63" s="40" t="str">
        <f>IFERROR(VLOOKUP("4P03-31-00-03",pareto,18,FALSE),"-")</f>
        <v>-</v>
      </c>
      <c r="FA63" s="20"/>
      <c r="FB63" s="20"/>
      <c r="FC63" s="20"/>
      <c r="FD63" s="217" t="str">
        <f>IFERROR(VLOOKUP("4P03-32-00-03",pareto,18,FALSE),"-")</f>
        <v>-</v>
      </c>
      <c r="FE63" s="40" t="str">
        <f>IFERROR(VLOOKUP("4P04-31-00-03",pareto,18,FALSE),"-")</f>
        <v>-</v>
      </c>
      <c r="FF63" s="20"/>
      <c r="FG63" s="20"/>
      <c r="FH63" s="20"/>
      <c r="FI63" s="217" t="str">
        <f>IFERROR(VLOOKUP("4P04-32-00-03",pareto,18,FALSE),"-")</f>
        <v>-</v>
      </c>
      <c r="FJ63" s="40" t="str">
        <f>IFERROR(VLOOKUP("4P05-31-00-03",pareto,18,FALSE),"-")</f>
        <v>-</v>
      </c>
      <c r="FK63" s="20"/>
      <c r="FL63" s="20"/>
      <c r="FM63" s="20"/>
      <c r="FN63" s="217" t="str">
        <f>IFERROR(VLOOKUP("4P05-32-00-03",pareto,18,FALSE),"-")</f>
        <v>-</v>
      </c>
      <c r="FO63" s="40" t="str">
        <f>IFERROR(VLOOKUP("4P06-31-00-03",pareto,18,FALSE),"-")</f>
        <v>-</v>
      </c>
      <c r="FP63" s="20"/>
      <c r="FQ63" s="20"/>
      <c r="FR63" s="20"/>
      <c r="FS63" s="217" t="str">
        <f>IFERROR(VLOOKUP("4P06-32-00-03",pareto,18,FALSE),"-")</f>
        <v>-</v>
      </c>
      <c r="FT63" s="40" t="str">
        <f>IFERROR(VLOOKUP("4P07-31-00-03",pareto,18,FALSE),"-")</f>
        <v>-</v>
      </c>
      <c r="FU63" s="20"/>
      <c r="FV63" s="20"/>
      <c r="FW63" s="20"/>
      <c r="FX63" s="217" t="str">
        <f>IFERROR(VLOOKUP("4P07-32-00-03",pareto,18,FALSE),"-")</f>
        <v>-</v>
      </c>
      <c r="FY63" s="40" t="str">
        <f>IFERROR(VLOOKUP("4P08-31-00-03",pareto,18,FALSE),"-")</f>
        <v>-</v>
      </c>
      <c r="FZ63" s="20"/>
      <c r="GA63" s="20"/>
      <c r="GB63" s="20"/>
      <c r="GC63" s="217" t="str">
        <f>IFERROR(VLOOKUP("4P08-32-00-03",pareto,18,FALSE),"-")</f>
        <v>-</v>
      </c>
      <c r="GD63" s="40" t="str">
        <f>IFERROR(VLOOKUP("4P09-31-00-03",pareto,18,FALSE),"-")</f>
        <v>-</v>
      </c>
      <c r="GE63" s="20"/>
      <c r="GF63" s="20"/>
      <c r="GG63" s="20"/>
      <c r="GH63" s="224" t="str">
        <f>IFERROR(VLOOKUP("4P09-32-00-03",pareto,18,FALSE),"-")</f>
        <v>-</v>
      </c>
    </row>
    <row r="64" spans="3:190" ht="12" customHeight="1" thickTop="1" thickBot="1" x14ac:dyDescent="0.3">
      <c r="C64" s="270"/>
      <c r="D64" s="270"/>
      <c r="E64" s="270"/>
      <c r="F64" s="270"/>
      <c r="G64" s="270"/>
      <c r="H64" s="270"/>
      <c r="I64" s="270"/>
      <c r="J64" s="270"/>
      <c r="K64" s="270"/>
      <c r="L64" s="270"/>
      <c r="M64" s="270"/>
      <c r="N64" s="270"/>
      <c r="O64" s="270"/>
      <c r="P64" s="270"/>
      <c r="Q64" s="270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17"/>
      <c r="BA64" s="19"/>
      <c r="BB64" s="20"/>
      <c r="BC64" s="20"/>
      <c r="BD64" s="78"/>
      <c r="BE64" s="78"/>
      <c r="BF64" s="78"/>
      <c r="BG64" s="78"/>
      <c r="BH64" s="78"/>
      <c r="BI64" s="78"/>
      <c r="BJ64" s="78"/>
      <c r="BK64" s="78"/>
      <c r="BL64" s="78"/>
      <c r="BM64" s="78"/>
      <c r="BN64" s="78"/>
      <c r="BO64" s="78"/>
      <c r="BP64" s="78"/>
      <c r="BQ64" s="78"/>
      <c r="BR64" s="20"/>
      <c r="BS64" s="20"/>
      <c r="BT64" s="20"/>
      <c r="BU64" s="20"/>
      <c r="BV64" s="20"/>
      <c r="BW64" s="20"/>
      <c r="BX64" s="20"/>
      <c r="BY64" s="20"/>
      <c r="BZ64" s="20"/>
      <c r="CA64" s="20"/>
      <c r="CB64" s="20"/>
      <c r="CC64" s="20"/>
      <c r="CD64" s="20"/>
      <c r="CE64" s="20"/>
      <c r="CF64" s="20"/>
      <c r="CG64" s="20"/>
      <c r="CH64" s="20"/>
      <c r="CI64" s="20"/>
      <c r="CJ64" s="20"/>
      <c r="CK64" s="20"/>
      <c r="CL64" s="20"/>
      <c r="CM64" s="20"/>
      <c r="CN64" s="20"/>
      <c r="CO64" s="20"/>
      <c r="CP64" s="20"/>
      <c r="CQ64" s="20"/>
      <c r="CR64" s="20"/>
      <c r="CS64" s="21"/>
      <c r="CT64" s="19"/>
      <c r="CU64" s="20"/>
      <c r="CV64" s="20"/>
      <c r="CW64" s="20"/>
      <c r="CX64" s="20"/>
      <c r="CY64" s="20"/>
      <c r="CZ64" s="20"/>
      <c r="DA64" s="20"/>
      <c r="DB64" s="20"/>
      <c r="DC64" s="20"/>
      <c r="DD64" s="20"/>
      <c r="DE64" s="20"/>
      <c r="DF64" s="20"/>
      <c r="DG64" s="20"/>
      <c r="DH64" s="20"/>
      <c r="DI64" s="20"/>
      <c r="DJ64" s="20"/>
      <c r="DK64" s="20"/>
      <c r="DL64" s="20"/>
      <c r="DM64" s="20"/>
      <c r="DN64" s="20"/>
      <c r="DO64" s="20"/>
      <c r="DP64" s="20"/>
      <c r="DQ64" s="20"/>
      <c r="DR64" s="20"/>
      <c r="DS64" s="20"/>
      <c r="DT64" s="20"/>
      <c r="DU64" s="20"/>
      <c r="DV64" s="20"/>
      <c r="DW64" s="20"/>
      <c r="DX64" s="20"/>
      <c r="DY64" s="20"/>
      <c r="DZ64" s="20"/>
      <c r="EA64" s="20"/>
      <c r="EB64" s="20"/>
      <c r="EC64" s="20"/>
      <c r="ED64" s="20"/>
      <c r="EE64" s="20"/>
      <c r="EF64" s="20"/>
      <c r="EG64" s="20"/>
      <c r="EH64" s="20"/>
      <c r="EI64" s="20"/>
      <c r="EJ64" s="20"/>
      <c r="EK64" s="20"/>
      <c r="EL64" s="20"/>
      <c r="EM64" s="20"/>
      <c r="EN64" s="20"/>
      <c r="EO64" s="21"/>
      <c r="EP64" s="43" t="str">
        <f>IFERROR(VLOOKUP("4P01-31-00-02",pareto,18,FALSE),"-")</f>
        <v>-</v>
      </c>
      <c r="EQ64" s="20"/>
      <c r="ER64" s="20"/>
      <c r="ES64" s="20"/>
      <c r="ET64" s="218" t="str">
        <f>IFERROR(VLOOKUP("4P01-32-00-02",pareto,18,FALSE),"-")</f>
        <v>-</v>
      </c>
      <c r="EU64" s="41" t="str">
        <f>IFERROR(VLOOKUP("4P02-31-00-02",pareto,18,FALSE),"-")</f>
        <v>-</v>
      </c>
      <c r="EV64" s="20"/>
      <c r="EW64" s="20"/>
      <c r="EX64" s="20"/>
      <c r="EY64" s="218" t="str">
        <f>IFERROR(VLOOKUP("4P02-32-00-02",pareto,18,FALSE),"-")</f>
        <v>-</v>
      </c>
      <c r="EZ64" s="41" t="str">
        <f>IFERROR(VLOOKUP("4P03-31-00-02",pareto,18,FALSE),"-")</f>
        <v>-</v>
      </c>
      <c r="FA64" s="20"/>
      <c r="FB64" s="20"/>
      <c r="FC64" s="20"/>
      <c r="FD64" s="218" t="str">
        <f>IFERROR(VLOOKUP("4P03-32-00-02",pareto,18,FALSE),"-")</f>
        <v>-</v>
      </c>
      <c r="FE64" s="41" t="str">
        <f>IFERROR(VLOOKUP("4P04-31-00-02",pareto,18,FALSE),"-")</f>
        <v>-</v>
      </c>
      <c r="FF64" s="20"/>
      <c r="FG64" s="20"/>
      <c r="FH64" s="20"/>
      <c r="FI64" s="218" t="str">
        <f>IFERROR(VLOOKUP("4P04-32-00-02",pareto,18,FALSE),"-")</f>
        <v>-</v>
      </c>
      <c r="FJ64" s="41" t="str">
        <f>IFERROR(VLOOKUP("4P05-31-00-02",pareto,18,FALSE),"-")</f>
        <v>-</v>
      </c>
      <c r="FK64" s="20"/>
      <c r="FL64" s="20"/>
      <c r="FM64" s="20"/>
      <c r="FN64" s="218" t="str">
        <f>IFERROR(VLOOKUP("4P05-32-00-02",pareto,18,FALSE),"-")</f>
        <v>-</v>
      </c>
      <c r="FO64" s="41" t="str">
        <f>IFERROR(VLOOKUP("4P06-31-00-02",pareto,18,FALSE),"-")</f>
        <v>-</v>
      </c>
      <c r="FP64" s="20"/>
      <c r="FQ64" s="20"/>
      <c r="FR64" s="20"/>
      <c r="FS64" s="218" t="str">
        <f>IFERROR(VLOOKUP("4P06-32-00-02",pareto,18,FALSE),"-")</f>
        <v>-</v>
      </c>
      <c r="FT64" s="41" t="str">
        <f>IFERROR(VLOOKUP("4P07-31-00-02",pareto,18,FALSE),"-")</f>
        <v>-</v>
      </c>
      <c r="FU64" s="20"/>
      <c r="FV64" s="20"/>
      <c r="FW64" s="20"/>
      <c r="FX64" s="218" t="str">
        <f>IFERROR(VLOOKUP("4P07-32-00-02",pareto,18,FALSE),"-")</f>
        <v>-</v>
      </c>
      <c r="FY64" s="41" t="str">
        <f>IFERROR(VLOOKUP("4P08-31-00-02",pareto,18,FALSE),"-")</f>
        <v>-</v>
      </c>
      <c r="FZ64" s="20"/>
      <c r="GA64" s="20"/>
      <c r="GB64" s="20"/>
      <c r="GC64" s="218" t="str">
        <f>IFERROR(VLOOKUP("4P08-32-00-02",pareto,18,FALSE),"-")</f>
        <v>-</v>
      </c>
      <c r="GD64" s="41" t="str">
        <f>IFERROR(VLOOKUP("4P09-31-00-02",pareto,18,FALSE),"-")</f>
        <v>-</v>
      </c>
      <c r="GE64" s="20"/>
      <c r="GF64" s="20"/>
      <c r="GG64" s="20"/>
      <c r="GH64" s="227" t="str">
        <f>IFERROR(VLOOKUP("4P09-32-00-02",pareto,18,FALSE),"-")</f>
        <v>-</v>
      </c>
    </row>
    <row r="65" spans="3:190" ht="12" customHeight="1" thickTop="1" thickBot="1" x14ac:dyDescent="0.3">
      <c r="C65" s="270"/>
      <c r="D65" s="270"/>
      <c r="E65" s="270"/>
      <c r="F65" s="270"/>
      <c r="G65" s="270"/>
      <c r="H65" s="270"/>
      <c r="I65" s="270"/>
      <c r="J65" s="270"/>
      <c r="K65" s="270"/>
      <c r="L65" s="270"/>
      <c r="M65" s="270"/>
      <c r="N65" s="270"/>
      <c r="O65" s="270"/>
      <c r="P65" s="270"/>
      <c r="Q65" s="270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17"/>
      <c r="BA65" s="19"/>
      <c r="BB65" s="20"/>
      <c r="BC65" s="20"/>
      <c r="BD65" s="93"/>
      <c r="BE65" s="93"/>
      <c r="BF65" s="93"/>
      <c r="BG65" s="93"/>
      <c r="BH65" s="93"/>
      <c r="BI65" s="93"/>
      <c r="BJ65" s="93"/>
      <c r="BK65" s="93"/>
      <c r="BL65" s="93"/>
      <c r="BM65" s="93"/>
      <c r="BN65" s="93"/>
      <c r="BO65" s="93"/>
      <c r="BP65" s="93"/>
      <c r="BQ65" s="93"/>
      <c r="BR65" s="20"/>
      <c r="BS65" s="20"/>
      <c r="BT65" s="20"/>
      <c r="BU65" s="20"/>
      <c r="BV65" s="20"/>
      <c r="BW65" s="20"/>
      <c r="BX65" s="20"/>
      <c r="BY65" s="20"/>
      <c r="BZ65" s="20"/>
      <c r="CA65" s="20"/>
      <c r="CB65" s="20"/>
      <c r="CC65" s="20"/>
      <c r="CD65" s="20"/>
      <c r="CE65" s="20"/>
      <c r="CF65" s="20"/>
      <c r="CG65" s="20"/>
      <c r="CH65" s="20"/>
      <c r="CI65" s="20"/>
      <c r="CJ65" s="20"/>
      <c r="CK65" s="20"/>
      <c r="CL65" s="20"/>
      <c r="CM65" s="20"/>
      <c r="CN65" s="20"/>
      <c r="CO65" s="20"/>
      <c r="CP65" s="20"/>
      <c r="CQ65" s="20"/>
      <c r="CR65" s="20"/>
      <c r="CS65" s="21"/>
      <c r="CT65" s="19"/>
      <c r="CU65" s="20"/>
      <c r="CV65" s="20"/>
      <c r="CW65" s="20"/>
      <c r="CX65" s="20"/>
      <c r="CY65" s="20"/>
      <c r="CZ65" s="20"/>
      <c r="DA65" s="20"/>
      <c r="DB65" s="20"/>
      <c r="DC65" s="20"/>
      <c r="DD65" s="20"/>
      <c r="DE65" s="20"/>
      <c r="DF65" s="20"/>
      <c r="DG65" s="20"/>
      <c r="DH65" s="20"/>
      <c r="DI65" s="20"/>
      <c r="DJ65" s="20"/>
      <c r="DK65" s="20"/>
      <c r="DL65" s="20"/>
      <c r="DM65" s="20"/>
      <c r="DN65" s="20"/>
      <c r="DO65" s="20"/>
      <c r="DP65" s="20"/>
      <c r="DQ65" s="20"/>
      <c r="DR65" s="20"/>
      <c r="DS65" s="20"/>
      <c r="DT65" s="20"/>
      <c r="DU65" s="20"/>
      <c r="DV65" s="20"/>
      <c r="DW65" s="20"/>
      <c r="DX65" s="20"/>
      <c r="DY65" s="20"/>
      <c r="DZ65" s="20"/>
      <c r="EA65" s="20"/>
      <c r="EB65" s="20"/>
      <c r="EC65" s="20"/>
      <c r="ED65" s="20"/>
      <c r="EE65" s="20"/>
      <c r="EF65" s="20"/>
      <c r="EG65" s="20"/>
      <c r="EH65" s="20"/>
      <c r="EI65" s="20"/>
      <c r="EJ65" s="20"/>
      <c r="EK65" s="20"/>
      <c r="EL65" s="20"/>
      <c r="EM65" s="20"/>
      <c r="EN65" s="20"/>
      <c r="EO65" s="21"/>
      <c r="EP65" s="42" t="str">
        <f>IFERROR(VLOOKUP("4P01-31-00-01",pareto,18,FALSE),"-")</f>
        <v>-</v>
      </c>
      <c r="EQ65" s="20"/>
      <c r="ER65" s="20"/>
      <c r="ES65" s="20"/>
      <c r="ET65" s="219" t="str">
        <f>IFERROR(VLOOKUP("4P01-32-00-01",pareto,18,FALSE),"-")</f>
        <v>-</v>
      </c>
      <c r="EU65" s="42" t="str">
        <f>IFERROR(VLOOKUP("4P02-31-00-01",pareto,18,FALSE),"-")</f>
        <v>-</v>
      </c>
      <c r="EV65" s="20"/>
      <c r="EW65" s="20"/>
      <c r="EX65" s="20"/>
      <c r="EY65" s="219" t="str">
        <f>IFERROR(VLOOKUP("4P02-32-00-01",pareto,18,FALSE),"-")</f>
        <v>-</v>
      </c>
      <c r="EZ65" s="42" t="str">
        <f>IFERROR(VLOOKUP("4P03-31-00-01",pareto,18,FALSE),"-")</f>
        <v>-</v>
      </c>
      <c r="FA65" s="20"/>
      <c r="FB65" s="20"/>
      <c r="FC65" s="20"/>
      <c r="FD65" s="219" t="str">
        <f>IFERROR(VLOOKUP("4P03-32-00-01",pareto,18,FALSE),"-")</f>
        <v>-</v>
      </c>
      <c r="FE65" s="42" t="str">
        <f>IFERROR(VLOOKUP("4P04-31-00-01",pareto,18,FALSE),"-")</f>
        <v>-</v>
      </c>
      <c r="FF65" s="20"/>
      <c r="FG65" s="20"/>
      <c r="FH65" s="20"/>
      <c r="FI65" s="219" t="str">
        <f>IFERROR(VLOOKUP("4P04-32-00-01",pareto,18,FALSE),"-")</f>
        <v>-</v>
      </c>
      <c r="FJ65" s="42" t="str">
        <f>IFERROR(VLOOKUP("4P05-31-00-01",pareto,18,FALSE),"-")</f>
        <v>-</v>
      </c>
      <c r="FK65" s="20"/>
      <c r="FL65" s="20"/>
      <c r="FM65" s="20"/>
      <c r="FN65" s="219" t="str">
        <f>IFERROR(VLOOKUP("4P05-32-00-01",pareto,18,FALSE),"-")</f>
        <v>-</v>
      </c>
      <c r="FO65" s="42" t="str">
        <f>IFERROR(VLOOKUP("4P06-31-00-01",pareto,18,FALSE),"-")</f>
        <v>-</v>
      </c>
      <c r="FP65" s="20"/>
      <c r="FQ65" s="20"/>
      <c r="FR65" s="20"/>
      <c r="FS65" s="219" t="str">
        <f>IFERROR(VLOOKUP("4P06-32-00-01",pareto,18,FALSE),"-")</f>
        <v>-</v>
      </c>
      <c r="FT65" s="42" t="str">
        <f>IFERROR(VLOOKUP("4P07-31-00-01",pareto,18,FALSE),"-")</f>
        <v>-</v>
      </c>
      <c r="FU65" s="20"/>
      <c r="FV65" s="20"/>
      <c r="FW65" s="20"/>
      <c r="FX65" s="219" t="str">
        <f>IFERROR(VLOOKUP("4P07-32-00-01",pareto,18,FALSE),"-")</f>
        <v>-</v>
      </c>
      <c r="FY65" s="42" t="str">
        <f>IFERROR(VLOOKUP("4P08-31-00-01",pareto,18,FALSE),"-")</f>
        <v>-</v>
      </c>
      <c r="FZ65" s="20"/>
      <c r="GA65" s="20"/>
      <c r="GB65" s="20"/>
      <c r="GC65" s="219" t="str">
        <f>IFERROR(VLOOKUP("4P08-32-00-01",pareto,18,FALSE),"-")</f>
        <v>-</v>
      </c>
      <c r="GD65" s="42" t="str">
        <f>IFERROR(VLOOKUP("4P09-31-00-01",pareto,18,FALSE),"-")</f>
        <v>-</v>
      </c>
      <c r="GE65" s="20"/>
      <c r="GF65" s="20"/>
      <c r="GG65" s="20"/>
      <c r="GH65" s="228" t="str">
        <f>IFERROR(VLOOKUP("4P09-32-00-01",pareto,18,FALSE),"-")</f>
        <v>-</v>
      </c>
    </row>
    <row r="66" spans="3:190" ht="12" customHeight="1" thickTop="1" thickBot="1" x14ac:dyDescent="0.3">
      <c r="C66" s="270"/>
      <c r="D66" s="270"/>
      <c r="E66" s="270"/>
      <c r="F66" s="270"/>
      <c r="G66" s="270"/>
      <c r="H66" s="270"/>
      <c r="I66" s="270"/>
      <c r="J66" s="270"/>
      <c r="K66" s="270"/>
      <c r="L66" s="270"/>
      <c r="M66" s="270"/>
      <c r="N66" s="270"/>
      <c r="O66" s="270"/>
      <c r="P66" s="270"/>
      <c r="Q66" s="270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  <c r="AT66" s="22"/>
      <c r="AU66" s="22"/>
      <c r="AV66" s="22"/>
      <c r="AW66" s="22"/>
      <c r="AX66" s="22"/>
      <c r="AY66" s="22"/>
      <c r="AZ66" s="23"/>
      <c r="BA66" s="94"/>
      <c r="BB66" s="95"/>
      <c r="BC66" s="95"/>
      <c r="BD66" s="95"/>
      <c r="BE66" s="95"/>
      <c r="BF66" s="95"/>
      <c r="BG66" s="95"/>
      <c r="BH66" s="95"/>
      <c r="BI66" s="95"/>
      <c r="BJ66" s="95"/>
      <c r="BK66" s="95"/>
      <c r="BL66" s="95"/>
      <c r="BM66" s="95"/>
      <c r="BN66" s="95"/>
      <c r="BO66" s="95"/>
      <c r="BP66" s="95"/>
      <c r="BQ66" s="95"/>
      <c r="BR66" s="95"/>
      <c r="BS66" s="95"/>
      <c r="BT66" s="95"/>
      <c r="BU66" s="95"/>
      <c r="BV66" s="95"/>
      <c r="BW66" s="95"/>
      <c r="BX66" s="95"/>
      <c r="BY66" s="95"/>
      <c r="BZ66" s="95"/>
      <c r="CA66" s="95"/>
      <c r="CB66" s="95"/>
      <c r="CC66" s="95"/>
      <c r="CD66" s="95"/>
      <c r="CE66" s="95"/>
      <c r="CF66" s="95"/>
      <c r="CG66" s="95"/>
      <c r="CH66" s="95"/>
      <c r="CI66" s="95"/>
      <c r="CJ66" s="95"/>
      <c r="CK66" s="95"/>
      <c r="CL66" s="95"/>
      <c r="CM66" s="95"/>
      <c r="CN66" s="95"/>
      <c r="CO66" s="95"/>
      <c r="CP66" s="95"/>
      <c r="CQ66" s="95"/>
      <c r="CR66" s="95"/>
      <c r="CS66" s="96"/>
      <c r="CT66" s="94"/>
      <c r="CU66" s="95"/>
      <c r="CV66" s="95"/>
      <c r="CW66" s="95"/>
      <c r="CX66" s="95"/>
      <c r="CY66" s="95"/>
      <c r="CZ66" s="95"/>
      <c r="DA66" s="95"/>
      <c r="DB66" s="95"/>
      <c r="DC66" s="95"/>
      <c r="DD66" s="95"/>
      <c r="DE66" s="95"/>
      <c r="DF66" s="95"/>
      <c r="DG66" s="95"/>
      <c r="DH66" s="95"/>
      <c r="DI66" s="95"/>
      <c r="DJ66" s="95"/>
      <c r="DK66" s="95"/>
      <c r="DL66" s="95"/>
      <c r="DM66" s="95"/>
      <c r="DN66" s="95"/>
      <c r="DO66" s="95"/>
      <c r="DP66" s="95"/>
      <c r="DQ66" s="95"/>
      <c r="DR66" s="95"/>
      <c r="DS66" s="95"/>
      <c r="DT66" s="95"/>
      <c r="DU66" s="95"/>
      <c r="DV66" s="95"/>
      <c r="DW66" s="95"/>
      <c r="DX66" s="95"/>
      <c r="DY66" s="95"/>
      <c r="DZ66" s="95"/>
      <c r="EA66" s="95"/>
      <c r="EB66" s="95"/>
      <c r="EC66" s="95"/>
      <c r="ED66" s="95"/>
      <c r="EE66" s="95"/>
      <c r="EF66" s="95"/>
      <c r="EG66" s="95"/>
      <c r="EH66" s="95"/>
      <c r="EI66" s="95"/>
      <c r="EJ66" s="95"/>
      <c r="EK66" s="95"/>
      <c r="EL66" s="95"/>
      <c r="EM66" s="95"/>
      <c r="EN66" s="95"/>
      <c r="EO66" s="96"/>
      <c r="EP66" s="94"/>
      <c r="EQ66" s="95"/>
      <c r="ER66" s="95"/>
      <c r="ES66" s="95"/>
      <c r="ET66" s="95"/>
      <c r="EU66" s="95"/>
      <c r="EV66" s="95"/>
      <c r="EW66" s="95"/>
      <c r="EX66" s="95"/>
      <c r="EY66" s="95"/>
      <c r="EZ66" s="95"/>
      <c r="FA66" s="95"/>
      <c r="FB66" s="95"/>
      <c r="FC66" s="95"/>
      <c r="FD66" s="95"/>
      <c r="FE66" s="95"/>
      <c r="FF66" s="95"/>
      <c r="FG66" s="95"/>
      <c r="FH66" s="95"/>
      <c r="FI66" s="95"/>
      <c r="FJ66" s="95"/>
      <c r="FK66" s="95"/>
      <c r="FL66" s="95"/>
      <c r="FM66" s="95"/>
      <c r="FN66" s="95"/>
      <c r="FO66" s="95"/>
      <c r="FP66" s="95"/>
      <c r="FQ66" s="95"/>
      <c r="FR66" s="95"/>
      <c r="FS66" s="95"/>
      <c r="FT66" s="95"/>
      <c r="FU66" s="95"/>
      <c r="FV66" s="95"/>
      <c r="FW66" s="95"/>
      <c r="FX66" s="95"/>
      <c r="FY66" s="95"/>
      <c r="FZ66" s="95"/>
      <c r="GA66" s="95"/>
      <c r="GB66" s="95"/>
      <c r="GC66" s="95"/>
      <c r="GD66" s="95"/>
      <c r="GE66" s="95"/>
      <c r="GF66" s="95"/>
      <c r="GG66" s="95"/>
      <c r="GH66" s="96"/>
    </row>
    <row r="67" spans="3:190" ht="12" customHeight="1" thickTop="1" thickBot="1" x14ac:dyDescent="0.3">
      <c r="C67" s="270"/>
      <c r="D67" s="270"/>
      <c r="E67" s="270"/>
      <c r="F67" s="270"/>
      <c r="G67" s="270"/>
      <c r="H67" s="270"/>
      <c r="I67" s="270"/>
      <c r="J67" s="270"/>
      <c r="K67" s="270"/>
      <c r="L67" s="270"/>
      <c r="M67" s="270"/>
      <c r="N67" s="270"/>
      <c r="O67" s="270"/>
      <c r="P67" s="270"/>
      <c r="Q67" s="270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  <c r="AF67" s="24"/>
      <c r="AG67" s="24"/>
      <c r="AH67" s="24"/>
      <c r="AI67" s="24"/>
      <c r="AJ67" s="24"/>
      <c r="AK67" s="24"/>
      <c r="AL67" s="24"/>
      <c r="AM67" s="24"/>
      <c r="AN67" s="24"/>
      <c r="AO67" s="24"/>
      <c r="AP67" s="24"/>
      <c r="AQ67" s="24"/>
      <c r="AR67" s="24"/>
      <c r="AS67" s="24"/>
      <c r="AT67" s="24"/>
      <c r="AU67" s="24"/>
      <c r="AV67" s="24"/>
      <c r="AW67" s="24"/>
      <c r="AX67" s="24"/>
      <c r="AY67" s="24"/>
      <c r="AZ67" s="25"/>
      <c r="BA67" s="97"/>
      <c r="BB67" s="98"/>
      <c r="BC67" s="98"/>
      <c r="BD67" s="98"/>
      <c r="BE67" s="98"/>
      <c r="BF67" s="98"/>
      <c r="BG67" s="98"/>
      <c r="BH67" s="98"/>
      <c r="BI67" s="98"/>
      <c r="BJ67" s="98"/>
      <c r="BK67" s="98"/>
      <c r="BL67" s="98"/>
      <c r="BM67" s="98"/>
      <c r="BN67" s="98"/>
      <c r="BO67" s="98"/>
      <c r="BP67" s="98"/>
      <c r="BQ67" s="98"/>
      <c r="BR67" s="98"/>
      <c r="BS67" s="98"/>
      <c r="BT67" s="98"/>
      <c r="BU67" s="98"/>
      <c r="BV67" s="98"/>
      <c r="BW67" s="98"/>
      <c r="BX67" s="98"/>
      <c r="BY67" s="98"/>
      <c r="BZ67" s="98"/>
      <c r="CA67" s="98"/>
      <c r="CB67" s="98"/>
      <c r="CC67" s="98"/>
      <c r="CD67" s="98"/>
      <c r="CE67" s="98"/>
      <c r="CF67" s="98"/>
      <c r="CG67" s="98"/>
      <c r="CH67" s="98"/>
      <c r="CI67" s="98"/>
      <c r="CJ67" s="98"/>
      <c r="CK67" s="98"/>
      <c r="CL67" s="98"/>
      <c r="CM67" s="98"/>
      <c r="CN67" s="98"/>
      <c r="CO67" s="98"/>
      <c r="CP67" s="98"/>
      <c r="CQ67" s="98"/>
      <c r="CR67" s="98"/>
      <c r="CS67" s="99"/>
      <c r="CT67" s="97"/>
      <c r="CU67" s="98"/>
      <c r="CV67" s="98"/>
      <c r="CW67" s="98"/>
      <c r="CX67" s="98"/>
      <c r="CY67" s="98"/>
      <c r="CZ67" s="98"/>
      <c r="DA67" s="98"/>
      <c r="DB67" s="98"/>
      <c r="DC67" s="98"/>
      <c r="DD67" s="98"/>
      <c r="DE67" s="98"/>
      <c r="DF67" s="98"/>
      <c r="DG67" s="98"/>
      <c r="DH67" s="98"/>
      <c r="DI67" s="98"/>
      <c r="DJ67" s="98"/>
      <c r="DK67" s="98"/>
      <c r="DL67" s="98"/>
      <c r="DM67" s="98"/>
      <c r="DN67" s="98"/>
      <c r="DO67" s="98"/>
      <c r="DP67" s="98"/>
      <c r="DQ67" s="98"/>
      <c r="DR67" s="98"/>
      <c r="DS67" s="98"/>
      <c r="DT67" s="98"/>
      <c r="DU67" s="98"/>
      <c r="DV67" s="98"/>
      <c r="DW67" s="98"/>
      <c r="DX67" s="98"/>
      <c r="DY67" s="98"/>
      <c r="DZ67" s="98"/>
      <c r="EA67" s="98"/>
      <c r="EB67" s="98"/>
      <c r="EC67" s="98"/>
      <c r="ED67" s="98"/>
      <c r="EE67" s="98"/>
      <c r="EF67" s="98"/>
      <c r="EG67" s="98"/>
      <c r="EH67" s="98"/>
      <c r="EI67" s="98"/>
      <c r="EJ67" s="98"/>
      <c r="EK67" s="98"/>
      <c r="EL67" s="98"/>
      <c r="EM67" s="98"/>
      <c r="EN67" s="98"/>
      <c r="EO67" s="99"/>
      <c r="EP67" s="97"/>
      <c r="EQ67" s="98"/>
      <c r="ER67" s="98"/>
      <c r="ES67" s="98"/>
      <c r="ET67" s="98"/>
      <c r="EU67" s="98"/>
      <c r="EV67" s="98"/>
      <c r="EW67" s="98"/>
      <c r="EX67" s="98"/>
      <c r="EY67" s="98"/>
      <c r="EZ67" s="98"/>
      <c r="FA67" s="98"/>
      <c r="FB67" s="98"/>
      <c r="FC67" s="98"/>
      <c r="FD67" s="98"/>
      <c r="FE67" s="98"/>
      <c r="FF67" s="98"/>
      <c r="FG67" s="98"/>
      <c r="FH67" s="98"/>
      <c r="FI67" s="98"/>
      <c r="FJ67" s="98"/>
      <c r="FK67" s="98"/>
      <c r="FL67" s="98"/>
      <c r="FM67" s="98"/>
      <c r="FN67" s="98"/>
      <c r="FO67" s="98"/>
      <c r="FP67" s="98"/>
      <c r="FQ67" s="98"/>
      <c r="FR67" s="98"/>
      <c r="FS67" s="98"/>
      <c r="FT67" s="98"/>
      <c r="FU67" s="98"/>
      <c r="FV67" s="98"/>
      <c r="FW67" s="98"/>
      <c r="FX67" s="98"/>
      <c r="FY67" s="98"/>
      <c r="FZ67" s="98"/>
      <c r="GA67" s="98"/>
      <c r="GB67" s="98"/>
      <c r="GC67" s="98"/>
      <c r="GD67" s="98"/>
      <c r="GE67" s="98"/>
      <c r="GF67" s="98"/>
      <c r="GG67" s="98"/>
      <c r="GH67" s="99"/>
    </row>
    <row r="68" spans="3:190" ht="12" customHeight="1" thickTop="1" thickBot="1" x14ac:dyDescent="0.3">
      <c r="C68" s="270"/>
      <c r="D68" s="270"/>
      <c r="E68" s="270"/>
      <c r="F68" s="270"/>
      <c r="G68" s="270"/>
      <c r="H68" s="270"/>
      <c r="I68" s="270"/>
      <c r="J68" s="270"/>
      <c r="K68" s="270"/>
      <c r="L68" s="270"/>
      <c r="M68" s="270"/>
      <c r="N68" s="270"/>
      <c r="O68" s="270"/>
      <c r="P68" s="270"/>
      <c r="Q68" s="270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  <c r="AV68" s="26"/>
      <c r="AW68" s="26"/>
      <c r="AX68" s="26"/>
      <c r="AY68" s="26"/>
      <c r="AZ68" s="27"/>
      <c r="BA68" s="100"/>
      <c r="BB68" s="101"/>
      <c r="BC68" s="101"/>
      <c r="BD68" s="101"/>
      <c r="BE68" s="101"/>
      <c r="BF68" s="101"/>
      <c r="BG68" s="101"/>
      <c r="BH68" s="101"/>
      <c r="BI68" s="101"/>
      <c r="BJ68" s="101"/>
      <c r="BK68" s="101"/>
      <c r="BL68" s="101"/>
      <c r="BM68" s="101"/>
      <c r="BN68" s="101"/>
      <c r="BO68" s="101"/>
      <c r="BP68" s="101"/>
      <c r="BQ68" s="101"/>
      <c r="BR68" s="101"/>
      <c r="BS68" s="101"/>
      <c r="BT68" s="101"/>
      <c r="BU68" s="101"/>
      <c r="BV68" s="101"/>
      <c r="BW68" s="101"/>
      <c r="BX68" s="101"/>
      <c r="BY68" s="101"/>
      <c r="BZ68" s="101"/>
      <c r="CA68" s="101"/>
      <c r="CB68" s="101"/>
      <c r="CC68" s="101"/>
      <c r="CD68" s="101"/>
      <c r="CE68" s="101"/>
      <c r="CF68" s="101"/>
      <c r="CG68" s="101"/>
      <c r="CH68" s="101"/>
      <c r="CI68" s="101"/>
      <c r="CJ68" s="101"/>
      <c r="CK68" s="101"/>
      <c r="CL68" s="101"/>
      <c r="CM68" s="101"/>
      <c r="CN68" s="101"/>
      <c r="CO68" s="101"/>
      <c r="CP68" s="101"/>
      <c r="CQ68" s="101"/>
      <c r="CR68" s="101"/>
      <c r="CS68" s="102"/>
      <c r="CT68" s="100"/>
      <c r="CU68" s="101"/>
      <c r="CV68" s="101"/>
      <c r="CW68" s="101"/>
      <c r="CX68" s="101"/>
      <c r="CY68" s="101"/>
      <c r="CZ68" s="101"/>
      <c r="DA68" s="101"/>
      <c r="DB68" s="101"/>
      <c r="DC68" s="101"/>
      <c r="DD68" s="101"/>
      <c r="DE68" s="101"/>
      <c r="DF68" s="101"/>
      <c r="DG68" s="101"/>
      <c r="DH68" s="101"/>
      <c r="DI68" s="101"/>
      <c r="DJ68" s="101"/>
      <c r="DK68" s="101"/>
      <c r="DL68" s="101"/>
      <c r="DM68" s="101"/>
      <c r="DN68" s="101"/>
      <c r="DO68" s="101"/>
      <c r="DP68" s="101"/>
      <c r="DQ68" s="101"/>
      <c r="DR68" s="101"/>
      <c r="DS68" s="101"/>
      <c r="DT68" s="101"/>
      <c r="DU68" s="101"/>
      <c r="DV68" s="101"/>
      <c r="DW68" s="101"/>
      <c r="DX68" s="101"/>
      <c r="DY68" s="101"/>
      <c r="DZ68" s="101"/>
      <c r="EA68" s="101"/>
      <c r="EB68" s="101"/>
      <c r="EC68" s="101"/>
      <c r="ED68" s="101"/>
      <c r="EE68" s="101"/>
      <c r="EF68" s="101"/>
      <c r="EG68" s="101"/>
      <c r="EH68" s="101"/>
      <c r="EI68" s="101"/>
      <c r="EJ68" s="101"/>
      <c r="EK68" s="101"/>
      <c r="EL68" s="101"/>
      <c r="EM68" s="101"/>
      <c r="EN68" s="101"/>
      <c r="EO68" s="102"/>
      <c r="EP68" s="100"/>
      <c r="EQ68" s="101"/>
      <c r="ER68" s="101"/>
      <c r="ES68" s="101"/>
      <c r="ET68" s="101"/>
      <c r="EU68" s="101"/>
      <c r="EV68" s="101"/>
      <c r="EW68" s="101"/>
      <c r="EX68" s="101"/>
      <c r="EY68" s="101"/>
      <c r="EZ68" s="101"/>
      <c r="FA68" s="101"/>
      <c r="FB68" s="101"/>
      <c r="FC68" s="101"/>
      <c r="FD68" s="101"/>
      <c r="FE68" s="101"/>
      <c r="FF68" s="101"/>
      <c r="FG68" s="101"/>
      <c r="FH68" s="101"/>
      <c r="FI68" s="101"/>
      <c r="FJ68" s="101"/>
      <c r="FK68" s="101"/>
      <c r="FL68" s="101"/>
      <c r="FM68" s="101"/>
      <c r="FN68" s="101"/>
      <c r="FO68" s="101"/>
      <c r="FP68" s="101"/>
      <c r="FQ68" s="101"/>
      <c r="FR68" s="101"/>
      <c r="FS68" s="101"/>
      <c r="FT68" s="101"/>
      <c r="FU68" s="101"/>
      <c r="FV68" s="101"/>
      <c r="FW68" s="101"/>
      <c r="FX68" s="101"/>
      <c r="FY68" s="101"/>
      <c r="FZ68" s="101"/>
      <c r="GA68" s="101"/>
      <c r="GB68" s="101"/>
      <c r="GC68" s="101"/>
      <c r="GD68" s="101"/>
      <c r="GE68" s="101"/>
      <c r="GF68" s="101"/>
      <c r="GG68" s="101"/>
      <c r="GH68" s="102"/>
    </row>
    <row r="69" spans="3:190" ht="12" customHeight="1" thickTop="1" thickBot="1" x14ac:dyDescent="0.3">
      <c r="C69" s="270"/>
      <c r="D69" s="270"/>
      <c r="E69" s="270"/>
      <c r="F69" s="270"/>
      <c r="G69" s="270"/>
      <c r="H69" s="270"/>
      <c r="I69" s="270"/>
      <c r="J69" s="270"/>
      <c r="K69" s="270"/>
      <c r="L69" s="270"/>
      <c r="M69" s="270"/>
      <c r="N69" s="270"/>
      <c r="O69" s="270"/>
      <c r="P69" s="270"/>
      <c r="Q69" s="270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17"/>
      <c r="BA69" s="19"/>
      <c r="BB69" s="20"/>
      <c r="BC69" s="20"/>
      <c r="BD69" s="20"/>
      <c r="BE69" s="20"/>
      <c r="BF69" s="20"/>
      <c r="BG69" s="20"/>
      <c r="BH69" s="20"/>
      <c r="BI69" s="20"/>
      <c r="BJ69" s="20"/>
      <c r="BK69" s="20"/>
      <c r="BL69" s="20"/>
      <c r="BM69" s="20"/>
      <c r="BN69" s="20"/>
      <c r="BO69" s="20"/>
      <c r="BP69" s="20"/>
      <c r="BQ69" s="20"/>
      <c r="BR69" s="20"/>
      <c r="BS69" s="20"/>
      <c r="BT69" s="20"/>
      <c r="BU69" s="20"/>
      <c r="BV69" s="20"/>
      <c r="BW69" s="20"/>
      <c r="BX69" s="20"/>
      <c r="BY69" s="20"/>
      <c r="BZ69" s="20"/>
      <c r="CA69" s="20"/>
      <c r="CB69" s="20"/>
      <c r="CC69" s="20"/>
      <c r="CD69" s="20"/>
      <c r="CE69" s="20"/>
      <c r="CF69" s="20"/>
      <c r="CG69" s="20"/>
      <c r="CH69" s="20"/>
      <c r="CI69" s="20"/>
      <c r="CJ69" s="20"/>
      <c r="CK69" s="20"/>
      <c r="CL69" s="20"/>
      <c r="CM69" s="20"/>
      <c r="CN69" s="20"/>
      <c r="CO69" s="20"/>
      <c r="CP69" s="20"/>
      <c r="CQ69" s="20"/>
      <c r="CR69" s="20"/>
      <c r="CS69" s="21"/>
      <c r="CT69" s="19"/>
      <c r="CU69" s="20"/>
      <c r="CV69" s="20"/>
      <c r="CW69" s="20"/>
      <c r="CX69" s="20"/>
      <c r="CY69" s="20"/>
      <c r="CZ69" s="20"/>
      <c r="DA69" s="20"/>
      <c r="DB69" s="20"/>
      <c r="DC69" s="20"/>
      <c r="DD69" s="20"/>
      <c r="DE69" s="20"/>
      <c r="DF69" s="20"/>
      <c r="DG69" s="20"/>
      <c r="DH69" s="20"/>
      <c r="DI69" s="20"/>
      <c r="DJ69" s="20"/>
      <c r="DK69" s="20"/>
      <c r="DL69" s="20"/>
      <c r="DM69" s="20"/>
      <c r="DN69" s="20"/>
      <c r="DO69" s="20"/>
      <c r="DP69" s="20"/>
      <c r="DQ69" s="20"/>
      <c r="DR69" s="20"/>
      <c r="DS69" s="20"/>
      <c r="DT69" s="20"/>
      <c r="DU69" s="20"/>
      <c r="DV69" s="20"/>
      <c r="DW69" s="20"/>
      <c r="DX69" s="20"/>
      <c r="DY69" s="20"/>
      <c r="DZ69" s="20"/>
      <c r="EA69" s="20"/>
      <c r="EB69" s="20"/>
      <c r="EC69" s="20"/>
      <c r="ED69" s="20"/>
      <c r="EE69" s="20"/>
      <c r="EF69" s="20"/>
      <c r="EG69" s="20"/>
      <c r="EH69" s="20"/>
      <c r="EI69" s="20"/>
      <c r="EJ69" s="20"/>
      <c r="EK69" s="20"/>
      <c r="EL69" s="20"/>
      <c r="EM69" s="20"/>
      <c r="EN69" s="20"/>
      <c r="EO69" s="21"/>
      <c r="EP69" s="19"/>
      <c r="EQ69" s="20"/>
      <c r="ER69" s="20"/>
      <c r="ES69" s="20"/>
      <c r="ET69" s="20"/>
      <c r="EU69" s="20"/>
      <c r="EV69" s="20"/>
      <c r="EW69" s="20"/>
      <c r="EX69" s="20"/>
      <c r="EY69" s="20"/>
      <c r="EZ69" s="20"/>
      <c r="FA69" s="20"/>
      <c r="FB69" s="20"/>
      <c r="FC69" s="20"/>
      <c r="FD69" s="20"/>
      <c r="FE69" s="20"/>
      <c r="FF69" s="20"/>
      <c r="FG69" s="20"/>
      <c r="FH69" s="20"/>
      <c r="FI69" s="20"/>
      <c r="FJ69" s="20"/>
      <c r="FK69" s="20"/>
      <c r="FL69" s="20"/>
      <c r="FM69" s="20"/>
      <c r="FN69" s="20"/>
      <c r="FO69" s="20"/>
      <c r="FP69" s="20"/>
      <c r="FQ69" s="20"/>
      <c r="FR69" s="20"/>
      <c r="FS69" s="20"/>
      <c r="FT69" s="20"/>
      <c r="FU69" s="20"/>
      <c r="FV69" s="20"/>
      <c r="FW69" s="20"/>
      <c r="FX69" s="20"/>
      <c r="FY69" s="20"/>
      <c r="FZ69" s="20"/>
      <c r="GA69" s="20"/>
      <c r="GB69" s="20"/>
      <c r="GC69" s="20"/>
      <c r="GD69" s="20"/>
      <c r="GE69" s="20"/>
      <c r="GF69" s="20"/>
      <c r="GG69" s="20"/>
      <c r="GH69" s="21"/>
    </row>
    <row r="70" spans="3:190" ht="12" customHeight="1" thickTop="1" thickBot="1" x14ac:dyDescent="0.3">
      <c r="C70" s="270"/>
      <c r="D70" s="270"/>
      <c r="E70" s="270"/>
      <c r="F70" s="270"/>
      <c r="G70" s="270"/>
      <c r="H70" s="270"/>
      <c r="I70" s="270"/>
      <c r="J70" s="270"/>
      <c r="K70" s="270"/>
      <c r="L70" s="270"/>
      <c r="M70" s="270"/>
      <c r="N70" s="270"/>
      <c r="O70" s="270"/>
      <c r="P70" s="270"/>
      <c r="Q70" s="270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17"/>
      <c r="BA70" s="19">
        <v>1</v>
      </c>
      <c r="BB70" s="20"/>
      <c r="BC70" s="20"/>
      <c r="BD70" s="20"/>
      <c r="BE70" s="20">
        <v>1</v>
      </c>
      <c r="BF70" s="20">
        <v>2</v>
      </c>
      <c r="BG70" s="20"/>
      <c r="BH70" s="20"/>
      <c r="BI70" s="20"/>
      <c r="BJ70" s="20">
        <v>2</v>
      </c>
      <c r="BK70" s="20">
        <v>3</v>
      </c>
      <c r="BL70" s="20"/>
      <c r="BM70" s="20"/>
      <c r="BN70" s="20"/>
      <c r="BO70" s="20">
        <v>3</v>
      </c>
      <c r="BP70" s="20">
        <v>4</v>
      </c>
      <c r="BQ70" s="20"/>
      <c r="BR70" s="20"/>
      <c r="BS70" s="20"/>
      <c r="BT70" s="20">
        <v>4</v>
      </c>
      <c r="BU70" s="20">
        <v>5</v>
      </c>
      <c r="BV70" s="20"/>
      <c r="BW70" s="20"/>
      <c r="BX70" s="20"/>
      <c r="BY70" s="20">
        <v>5</v>
      </c>
      <c r="BZ70" s="20">
        <v>6</v>
      </c>
      <c r="CA70" s="20"/>
      <c r="CB70" s="20"/>
      <c r="CC70" s="20"/>
      <c r="CD70" s="20">
        <v>6</v>
      </c>
      <c r="CE70" s="20">
        <v>7</v>
      </c>
      <c r="CF70" s="20"/>
      <c r="CG70" s="20"/>
      <c r="CH70" s="20"/>
      <c r="CI70" s="20">
        <v>7</v>
      </c>
      <c r="CJ70" s="20">
        <v>8</v>
      </c>
      <c r="CK70" s="20"/>
      <c r="CL70" s="20"/>
      <c r="CM70" s="20"/>
      <c r="CN70" s="20">
        <v>8</v>
      </c>
      <c r="CO70" s="20">
        <v>9</v>
      </c>
      <c r="CP70" s="20"/>
      <c r="CQ70" s="20"/>
      <c r="CR70" s="20"/>
      <c r="CS70" s="21">
        <v>9</v>
      </c>
      <c r="CT70" s="19"/>
      <c r="CU70" s="20"/>
      <c r="CV70" s="20"/>
      <c r="CW70" s="20"/>
      <c r="CX70" s="20"/>
      <c r="CY70" s="20"/>
      <c r="CZ70" s="20"/>
      <c r="DA70" s="20"/>
      <c r="DB70" s="20"/>
      <c r="DC70" s="20"/>
      <c r="DD70" s="20"/>
      <c r="DE70" s="20"/>
      <c r="DF70" s="20"/>
      <c r="DG70" s="20"/>
      <c r="DH70" s="20"/>
      <c r="DI70" s="20"/>
      <c r="DJ70" s="20"/>
      <c r="DK70" s="20"/>
      <c r="DL70" s="20"/>
      <c r="DM70" s="20"/>
      <c r="DN70" s="20"/>
      <c r="DO70" s="20"/>
      <c r="DP70" s="20"/>
      <c r="DQ70" s="20"/>
      <c r="DR70" s="20"/>
      <c r="DS70" s="20"/>
      <c r="DT70" s="20"/>
      <c r="DU70" s="20"/>
      <c r="DV70" s="20"/>
      <c r="DW70" s="20"/>
      <c r="DX70" s="20"/>
      <c r="DY70" s="20"/>
      <c r="DZ70" s="20"/>
      <c r="EA70" s="20"/>
      <c r="EB70" s="20"/>
      <c r="EC70" s="20"/>
      <c r="ED70" s="20"/>
      <c r="EE70" s="20"/>
      <c r="EF70" s="20"/>
      <c r="EG70" s="20"/>
      <c r="EH70" s="20"/>
      <c r="EI70" s="20"/>
      <c r="EJ70" s="20"/>
      <c r="EK70" s="20"/>
      <c r="EL70" s="20"/>
      <c r="EM70" s="20"/>
      <c r="EN70" s="20"/>
      <c r="EO70" s="21"/>
      <c r="EP70" s="19">
        <v>1</v>
      </c>
      <c r="EQ70" s="20"/>
      <c r="ER70" s="20"/>
      <c r="ES70" s="20"/>
      <c r="ET70" s="20">
        <v>1</v>
      </c>
      <c r="EU70" s="20">
        <v>2</v>
      </c>
      <c r="EV70" s="20"/>
      <c r="EW70" s="20"/>
      <c r="EX70" s="20"/>
      <c r="EY70" s="20">
        <v>2</v>
      </c>
      <c r="EZ70" s="20">
        <v>3</v>
      </c>
      <c r="FA70" s="20"/>
      <c r="FB70" s="20"/>
      <c r="FC70" s="20"/>
      <c r="FD70" s="20">
        <v>3</v>
      </c>
      <c r="FE70" s="20">
        <v>4</v>
      </c>
      <c r="FF70" s="20"/>
      <c r="FG70" s="20"/>
      <c r="FH70" s="20"/>
      <c r="FI70" s="20">
        <v>4</v>
      </c>
      <c r="FJ70" s="20">
        <v>5</v>
      </c>
      <c r="FK70" s="20"/>
      <c r="FL70" s="20"/>
      <c r="FM70" s="20"/>
      <c r="FN70" s="20">
        <v>5</v>
      </c>
      <c r="FO70" s="20">
        <v>6</v>
      </c>
      <c r="FP70" s="20"/>
      <c r="FQ70" s="20"/>
      <c r="FR70" s="20"/>
      <c r="FS70" s="20">
        <v>6</v>
      </c>
      <c r="FT70" s="20">
        <v>7</v>
      </c>
      <c r="FU70" s="20"/>
      <c r="FV70" s="20"/>
      <c r="FW70" s="20"/>
      <c r="FX70" s="20">
        <v>7</v>
      </c>
      <c r="FY70" s="20">
        <v>8</v>
      </c>
      <c r="FZ70" s="20"/>
      <c r="GA70" s="20"/>
      <c r="GB70" s="20"/>
      <c r="GC70" s="20">
        <v>8</v>
      </c>
      <c r="GD70" s="20">
        <v>9</v>
      </c>
      <c r="GE70" s="20"/>
      <c r="GF70" s="20"/>
      <c r="GG70" s="20"/>
      <c r="GH70" s="21">
        <v>9</v>
      </c>
    </row>
    <row r="71" spans="3:190" ht="12" customHeight="1" thickTop="1" thickBot="1" x14ac:dyDescent="0.3">
      <c r="C71" s="270"/>
      <c r="D71" s="270"/>
      <c r="E71" s="270"/>
      <c r="F71" s="270"/>
      <c r="G71" s="270"/>
      <c r="H71" s="270"/>
      <c r="I71" s="270"/>
      <c r="J71" s="270"/>
      <c r="K71" s="270"/>
      <c r="L71" s="270"/>
      <c r="M71" s="270"/>
      <c r="N71" s="270"/>
      <c r="O71" s="270"/>
      <c r="P71" s="270"/>
      <c r="Q71" s="270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17"/>
      <c r="BA71" s="103"/>
      <c r="BB71" s="20"/>
      <c r="BC71" s="20"/>
      <c r="BD71" s="20"/>
      <c r="BE71" s="104"/>
      <c r="BF71" s="40" t="str">
        <f>IFERROR(VLOOKUP("2P02-29-00-03",pareto,18,FALSE),"-")</f>
        <v>-</v>
      </c>
      <c r="BG71" s="20"/>
      <c r="BH71" s="20"/>
      <c r="BI71" s="20"/>
      <c r="BJ71" s="51" t="e">
        <f>VLOOKUP("2P02-30-00-03",pareto,18,FALSE)</f>
        <v>#N/A</v>
      </c>
      <c r="BK71" s="40" t="str">
        <f>IFERROR(VLOOKUP("2P03-29-00-03",pareto,18,FALSE),"-")</f>
        <v>-</v>
      </c>
      <c r="BL71" s="20"/>
      <c r="BM71" s="20"/>
      <c r="BN71" s="20"/>
      <c r="BO71" s="48" t="e">
        <f>VLOOKUP("2P03-30-00-03",pareto,18,FALSE)</f>
        <v>#N/A</v>
      </c>
      <c r="BP71" s="40" t="str">
        <f>IFERROR(VLOOKUP("2P04-29-00-03",pareto,18,FALSE),"-")</f>
        <v>-</v>
      </c>
      <c r="BQ71" s="20"/>
      <c r="BR71" s="20"/>
      <c r="BS71" s="20"/>
      <c r="BT71" s="51" t="str">
        <f>IFERROR(VLOOKUP("2P04-30-00-03",pareto,18,FALSE),"-")</f>
        <v>-</v>
      </c>
      <c r="BU71" s="40" t="str">
        <f>IFERROR(VLOOKUP("2P05-29-00-03",pareto,18,FALSE),"-")</f>
        <v>-</v>
      </c>
      <c r="BV71" s="20"/>
      <c r="BW71" s="20"/>
      <c r="BX71" s="20"/>
      <c r="BY71" s="48" t="str">
        <f>IFERROR(VLOOKUP("2P05-30-00-03",pareto,18,FALSE),"-")</f>
        <v>-</v>
      </c>
      <c r="BZ71" s="40" t="str">
        <f>IFERROR(VLOOKUP("2P06-29-00-03",pareto,18,FALSE),"-")</f>
        <v>-</v>
      </c>
      <c r="CA71" s="20"/>
      <c r="CB71" s="20"/>
      <c r="CC71" s="20"/>
      <c r="CD71" s="48" t="str">
        <f>IFERROR(VLOOKUP("2P06-30-00-03",pareto,18,FALSE),"-")</f>
        <v>-</v>
      </c>
      <c r="CE71" s="40" t="str">
        <f>IFERROR(VLOOKUP("2P07-29-00-03",pareto,18,FALSE),"-")</f>
        <v>-</v>
      </c>
      <c r="CF71" s="20"/>
      <c r="CG71" s="20"/>
      <c r="CH71" s="20"/>
      <c r="CI71" s="48" t="str">
        <f>IFERROR(VLOOKUP("2P07-30-01-03",pareto,18,FALSE),"-")</f>
        <v>-</v>
      </c>
      <c r="CJ71" s="40" t="str">
        <f>IFERROR(VLOOKUP("2P08-29-01-03",pareto,18,FALSE),"-")</f>
        <v>-</v>
      </c>
      <c r="CK71" s="20"/>
      <c r="CL71" s="20"/>
      <c r="CM71" s="20"/>
      <c r="CN71" s="48" t="str">
        <f>IFERROR(VLOOKUP("2P08-30-01-03",pareto,18,FALSE),"-")</f>
        <v>-</v>
      </c>
      <c r="CO71" s="40" t="str">
        <f>IFERROR(VLOOKUP("2P09-29-01-03",pareto,18,FALSE),"-")</f>
        <v>-</v>
      </c>
      <c r="CP71" s="20"/>
      <c r="CQ71" s="20"/>
      <c r="CR71" s="20"/>
      <c r="CS71" s="21"/>
      <c r="CT71" s="19"/>
      <c r="CU71" s="20"/>
      <c r="CV71" s="20"/>
      <c r="CW71" s="20"/>
      <c r="CX71" s="20"/>
      <c r="CY71" s="20"/>
      <c r="CZ71" s="20"/>
      <c r="DA71" s="20"/>
      <c r="DB71" s="20"/>
      <c r="DC71" s="20"/>
      <c r="DD71" s="20"/>
      <c r="DE71" s="20"/>
      <c r="DF71" s="20"/>
      <c r="DG71" s="20"/>
      <c r="DH71" s="20"/>
      <c r="DI71" s="20"/>
      <c r="DJ71" s="20"/>
      <c r="DK71" s="20"/>
      <c r="DL71" s="20"/>
      <c r="DM71" s="20"/>
      <c r="DN71" s="20"/>
      <c r="DO71" s="20"/>
      <c r="DP71" s="20"/>
      <c r="DQ71" s="20"/>
      <c r="DR71" s="20"/>
      <c r="DS71" s="20"/>
      <c r="DT71" s="20"/>
      <c r="DU71" s="20"/>
      <c r="DV71" s="20"/>
      <c r="DW71" s="20"/>
      <c r="DX71" s="20"/>
      <c r="DY71" s="20"/>
      <c r="DZ71" s="20"/>
      <c r="EA71" s="20"/>
      <c r="EB71" s="20"/>
      <c r="EC71" s="20"/>
      <c r="ED71" s="20"/>
      <c r="EE71" s="20"/>
      <c r="EF71" s="20"/>
      <c r="EG71" s="20"/>
      <c r="EH71" s="20"/>
      <c r="EI71" s="20"/>
      <c r="EJ71" s="20"/>
      <c r="EK71" s="20"/>
      <c r="EL71" s="20"/>
      <c r="EM71" s="20"/>
      <c r="EN71" s="20"/>
      <c r="EO71" s="21"/>
      <c r="EP71" s="40" t="str">
        <f>IFERROR(VLOOKUP("4P01-29-00-03",pareto,18,FALSE),"-")</f>
        <v>-</v>
      </c>
      <c r="EQ71" s="20"/>
      <c r="ER71" s="20"/>
      <c r="ES71" s="20"/>
      <c r="ET71" s="48" t="str">
        <f>IFERROR(VLOOKUP("4P01-30-00-03",pareto,18,FALSE),"-")</f>
        <v>-</v>
      </c>
      <c r="EU71" s="40" t="str">
        <f>IFERROR(VLOOKUP("4P02-29-00-03",pareto,18,FALSE),"-")</f>
        <v>-</v>
      </c>
      <c r="EV71" s="20"/>
      <c r="EW71" s="20"/>
      <c r="EX71" s="20"/>
      <c r="EY71" s="48" t="str">
        <f>IFERROR(VLOOKUP("4P02-30-00-03",pareto,18,FALSE),"-")</f>
        <v>-</v>
      </c>
      <c r="EZ71" s="40" t="str">
        <f>IFERROR(VLOOKUP("4P03-29-00-03",pareto,18,FALSE),"-")</f>
        <v>-</v>
      </c>
      <c r="FA71" s="20"/>
      <c r="FB71" s="20"/>
      <c r="FC71" s="20"/>
      <c r="FD71" s="48" t="str">
        <f>IFERROR(VLOOKUP("4P03-30-00-03",pareto,18,FALSE),"-")</f>
        <v>-</v>
      </c>
      <c r="FE71" s="40" t="str">
        <f>IFERROR(VLOOKUP("4P04-29-00-03",pareto,18,FALSE),"-")</f>
        <v>-</v>
      </c>
      <c r="FF71" s="20"/>
      <c r="FG71" s="20"/>
      <c r="FH71" s="20"/>
      <c r="FI71" s="48" t="str">
        <f>IFERROR(VLOOKUP("4P04-30-00-03",pareto,18,FALSE),"-")</f>
        <v>-</v>
      </c>
      <c r="FJ71" s="40" t="str">
        <f>IFERROR(VLOOKUP("4P05-29-00-03",pareto,18,FALSE),"-")</f>
        <v>-</v>
      </c>
      <c r="FK71" s="20"/>
      <c r="FL71" s="20"/>
      <c r="FM71" s="20"/>
      <c r="FN71" s="48" t="str">
        <f>IFERROR(VLOOKUP("4P05-30-00-03",pareto,18,FALSE),"-")</f>
        <v>-</v>
      </c>
      <c r="FO71" s="40" t="str">
        <f>IFERROR(VLOOKUP("4P06-29-00-03",pareto,18,FALSE),"-")</f>
        <v>-</v>
      </c>
      <c r="FP71" s="20"/>
      <c r="FQ71" s="20"/>
      <c r="FR71" s="20"/>
      <c r="FS71" s="48" t="str">
        <f>IFERROR(VLOOKUP("4P06-30-00-03",pareto,18,FALSE),"-")</f>
        <v>-</v>
      </c>
      <c r="FT71" s="40" t="str">
        <f>IFERROR(VLOOKUP("4P07-29-00-03",pareto,18,FALSE),"-")</f>
        <v>-</v>
      </c>
      <c r="FU71" s="20"/>
      <c r="FV71" s="20"/>
      <c r="FW71" s="20"/>
      <c r="FX71" s="48" t="str">
        <f>IFERROR(VLOOKUP("4P07-30-00-03",pareto,18,FALSE),"-")</f>
        <v>-</v>
      </c>
      <c r="FY71" s="40" t="str">
        <f>IFERROR(VLOOKUP("4P08-29-00-03",pareto,18,FALSE),"-")</f>
        <v>-</v>
      </c>
      <c r="FZ71" s="20"/>
      <c r="GA71" s="20"/>
      <c r="GB71" s="20"/>
      <c r="GC71" s="48" t="str">
        <f>IFERROR(VLOOKUP("4P08-30-00-03",pareto,18,FALSE),"-")</f>
        <v>-</v>
      </c>
      <c r="GD71" s="40" t="str">
        <f>IFERROR(VLOOKUP("4P09-29-00-03",pareto,18,FALSE),"-")</f>
        <v>-</v>
      </c>
      <c r="GE71" s="20"/>
      <c r="GF71" s="20"/>
      <c r="GG71" s="20"/>
      <c r="GH71" s="48" t="str">
        <f>IFERROR(VLOOKUP("4P09-30-00-03",pareto,18,FALSE),"-")</f>
        <v>-</v>
      </c>
    </row>
    <row r="72" spans="3:190" ht="12" customHeight="1" thickTop="1" thickBot="1" x14ac:dyDescent="0.3">
      <c r="C72" s="270"/>
      <c r="D72" s="270"/>
      <c r="E72" s="270"/>
      <c r="F72" s="270"/>
      <c r="G72" s="270"/>
      <c r="H72" s="270"/>
      <c r="I72" s="270"/>
      <c r="J72" s="270"/>
      <c r="K72" s="270"/>
      <c r="L72" s="270"/>
      <c r="M72" s="270"/>
      <c r="N72" s="270"/>
      <c r="O72" s="270"/>
      <c r="P72" s="270"/>
      <c r="Q72" s="270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17"/>
      <c r="BA72" s="105"/>
      <c r="BB72" s="20"/>
      <c r="BC72" s="20"/>
      <c r="BD72" s="20"/>
      <c r="BE72" s="106"/>
      <c r="BF72" s="41" t="str">
        <f>IFERROR(VLOOKUP("2P02-29-00-02",pareto,18,FALSE),"-")</f>
        <v>-</v>
      </c>
      <c r="BG72" s="20"/>
      <c r="BH72" s="20"/>
      <c r="BI72" s="20"/>
      <c r="BJ72" s="53" t="e">
        <f>VLOOKUP("2P02-30-00-02",pareto,18,FALSE)</f>
        <v>#N/A</v>
      </c>
      <c r="BK72" s="43" t="str">
        <f>IFERROR(VLOOKUP("2P03-29-00-02",pareto,18,FALSE),"-")</f>
        <v>-</v>
      </c>
      <c r="BL72" s="20"/>
      <c r="BM72" s="20"/>
      <c r="BN72" s="20"/>
      <c r="BO72" s="55" t="e">
        <f>VLOOKUP("2P03-30-00-02",pareto,18,FALSE)</f>
        <v>#N/A</v>
      </c>
      <c r="BP72" s="43" t="str">
        <f>IFERROR(VLOOKUP("2P04-29-00-02",pareto,18,FALSE),"-")</f>
        <v>-</v>
      </c>
      <c r="BQ72" s="20"/>
      <c r="BR72" s="20"/>
      <c r="BS72" s="20"/>
      <c r="BT72" s="53" t="str">
        <f>IFERROR(VLOOKUP("2P04-30-00-02",pareto,18,FALSE),"-")</f>
        <v>-</v>
      </c>
      <c r="BU72" s="43" t="str">
        <f>IFERROR(VLOOKUP("2P05-29-00-02",pareto,18,FALSE),"-")</f>
        <v>-</v>
      </c>
      <c r="BV72" s="20"/>
      <c r="BW72" s="20"/>
      <c r="BX72" s="20"/>
      <c r="BY72" s="49" t="str">
        <f>IFERROR(VLOOKUP("2P05-30-00-02",pareto,18,FALSE),"-")</f>
        <v>-</v>
      </c>
      <c r="BZ72" s="43" t="str">
        <f>IFERROR(VLOOKUP("2P06-29-00-02",pareto,18,FALSE),"-")</f>
        <v>-</v>
      </c>
      <c r="CA72" s="20"/>
      <c r="CB72" s="20"/>
      <c r="CC72" s="20"/>
      <c r="CD72" s="49" t="str">
        <f>IFERROR(VLOOKUP("2P06-30-00-02",pareto,18,FALSE),"-")</f>
        <v>-</v>
      </c>
      <c r="CE72" s="43" t="str">
        <f>IFERROR(VLOOKUP("2P07-29-00-02",pareto,18,FALSE),"-")</f>
        <v>-</v>
      </c>
      <c r="CF72" s="20"/>
      <c r="CG72" s="20"/>
      <c r="CH72" s="20"/>
      <c r="CI72" s="49" t="str">
        <f>IFERROR(VLOOKUP("2P07-30-01-02",pareto,18,FALSE),"-")</f>
        <v>-</v>
      </c>
      <c r="CJ72" s="43" t="str">
        <f>IFERROR(VLOOKUP("2P08-29-01-02",pareto,18,FALSE),"-")</f>
        <v>-</v>
      </c>
      <c r="CK72" s="20"/>
      <c r="CL72" s="20"/>
      <c r="CM72" s="20"/>
      <c r="CN72" s="49" t="str">
        <f>IFERROR(VLOOKUP("2P08-30-01-02",pareto,18,FALSE),"-")</f>
        <v>-</v>
      </c>
      <c r="CO72" s="43" t="str">
        <f>IFERROR(VLOOKUP("2P09-29-01-02",pareto,18,FALSE),"-")</f>
        <v>-</v>
      </c>
      <c r="CP72" s="20"/>
      <c r="CQ72" s="20"/>
      <c r="CR72" s="20"/>
      <c r="CS72" s="21"/>
      <c r="CT72" s="19"/>
      <c r="CU72" s="20"/>
      <c r="CV72" s="20"/>
      <c r="CW72" s="20"/>
      <c r="CX72" s="20"/>
      <c r="CY72" s="20"/>
      <c r="CZ72" s="20"/>
      <c r="DA72" s="20"/>
      <c r="DB72" s="20"/>
      <c r="DC72" s="20"/>
      <c r="DD72" s="20"/>
      <c r="DE72" s="20"/>
      <c r="DF72" s="20"/>
      <c r="DG72" s="20"/>
      <c r="DH72" s="20"/>
      <c r="DI72" s="20"/>
      <c r="DJ72" s="20"/>
      <c r="DK72" s="20"/>
      <c r="DL72" s="20"/>
      <c r="DM72" s="20"/>
      <c r="DN72" s="20"/>
      <c r="DO72" s="20"/>
      <c r="DP72" s="20"/>
      <c r="DQ72" s="20"/>
      <c r="DR72" s="20"/>
      <c r="DS72" s="20"/>
      <c r="DT72" s="20"/>
      <c r="DU72" s="20"/>
      <c r="DV72" s="20"/>
      <c r="DW72" s="20"/>
      <c r="DX72" s="20"/>
      <c r="DY72" s="20"/>
      <c r="DZ72" s="20"/>
      <c r="EA72" s="20"/>
      <c r="EB72" s="20"/>
      <c r="EC72" s="20"/>
      <c r="ED72" s="20"/>
      <c r="EE72" s="20"/>
      <c r="EF72" s="20"/>
      <c r="EG72" s="20"/>
      <c r="EH72" s="20"/>
      <c r="EI72" s="20"/>
      <c r="EJ72" s="20"/>
      <c r="EK72" s="20"/>
      <c r="EL72" s="20"/>
      <c r="EM72" s="20"/>
      <c r="EN72" s="20"/>
      <c r="EO72" s="21"/>
      <c r="EP72" s="41" t="str">
        <f>IFERROR(VLOOKUP("4P01-29-00-02",pareto,18,FALSE),"-")</f>
        <v>-</v>
      </c>
      <c r="EQ72" s="20"/>
      <c r="ER72" s="20"/>
      <c r="ES72" s="20"/>
      <c r="ET72" s="49" t="str">
        <f>IFERROR(VLOOKUP("4P01-30-00-02",pareto,18,FALSE),"-")</f>
        <v>-</v>
      </c>
      <c r="EU72" s="43" t="str">
        <f>IFERROR(VLOOKUP("4P02-29-00-02",pareto,18,FALSE),"-")</f>
        <v>-</v>
      </c>
      <c r="EV72" s="20"/>
      <c r="EW72" s="20"/>
      <c r="EX72" s="20"/>
      <c r="EY72" s="49" t="str">
        <f>IFERROR(VLOOKUP("4P02-30-00-02",pareto,18,FALSE),"-")</f>
        <v>-</v>
      </c>
      <c r="EZ72" s="43" t="str">
        <f>IFERROR(VLOOKUP("4P03-29-00-02",pareto,18,FALSE),"-")</f>
        <v>-</v>
      </c>
      <c r="FA72" s="20"/>
      <c r="FB72" s="20"/>
      <c r="FC72" s="20"/>
      <c r="FD72" s="49" t="str">
        <f>IFERROR(VLOOKUP("4P03-30-00-02",pareto,18,FALSE),"-")</f>
        <v>-</v>
      </c>
      <c r="FE72" s="43" t="str">
        <f>IFERROR(VLOOKUP("4P04-29-00-02",pareto,18,FALSE),"-")</f>
        <v>-</v>
      </c>
      <c r="FF72" s="20"/>
      <c r="FG72" s="20"/>
      <c r="FH72" s="20"/>
      <c r="FI72" s="49" t="str">
        <f>IFERROR(VLOOKUP("4P04-30-00-02",pareto,18,FALSE),"-")</f>
        <v>-</v>
      </c>
      <c r="FJ72" s="43" t="str">
        <f>IFERROR(VLOOKUP("4P05-29-00-02",pareto,18,FALSE),"-")</f>
        <v>-</v>
      </c>
      <c r="FK72" s="20"/>
      <c r="FL72" s="20"/>
      <c r="FM72" s="20"/>
      <c r="FN72" s="49" t="str">
        <f>IFERROR(VLOOKUP("4P05-30-00-02",pareto,18,FALSE),"-")</f>
        <v>-</v>
      </c>
      <c r="FO72" s="43" t="str">
        <f>IFERROR(VLOOKUP("4P06-29-00-02",pareto,18,FALSE),"-")</f>
        <v>-</v>
      </c>
      <c r="FP72" s="20"/>
      <c r="FQ72" s="20"/>
      <c r="FR72" s="20"/>
      <c r="FS72" s="49" t="str">
        <f>IFERROR(VLOOKUP("4P06-30-00-02",pareto,18,FALSE),"-")</f>
        <v>-</v>
      </c>
      <c r="FT72" s="43" t="str">
        <f>IFERROR(VLOOKUP("4P07-29-00-02",pareto,18,FALSE),"-")</f>
        <v>-</v>
      </c>
      <c r="FU72" s="20"/>
      <c r="FV72" s="20"/>
      <c r="FW72" s="20"/>
      <c r="FX72" s="49" t="str">
        <f>IFERROR(VLOOKUP("4P07-30-00-02",pareto,18,FALSE),"-")</f>
        <v>-</v>
      </c>
      <c r="FY72" s="43" t="str">
        <f>IFERROR(VLOOKUP("4P08-29-00-02",pareto,18,FALSE),"-")</f>
        <v>-</v>
      </c>
      <c r="FZ72" s="20"/>
      <c r="GA72" s="20"/>
      <c r="GB72" s="20"/>
      <c r="GC72" s="49" t="str">
        <f>IFERROR(VLOOKUP("4P08-30-00-02",pareto,18,FALSE),"-")</f>
        <v>-</v>
      </c>
      <c r="GD72" s="43" t="str">
        <f>IFERROR(VLOOKUP("4P09-29-00-02",pareto,18,FALSE),"-")</f>
        <v>-</v>
      </c>
      <c r="GE72" s="20"/>
      <c r="GF72" s="20"/>
      <c r="GG72" s="20"/>
      <c r="GH72" s="49" t="str">
        <f>IFERROR(VLOOKUP("4P09-30-00-02",pareto,18,FALSE),"-")</f>
        <v>-</v>
      </c>
    </row>
    <row r="73" spans="3:190" ht="12" customHeight="1" thickTop="1" thickBot="1" x14ac:dyDescent="0.3">
      <c r="C73" s="270"/>
      <c r="D73" s="270"/>
      <c r="E73" s="270"/>
      <c r="F73" s="270"/>
      <c r="G73" s="270"/>
      <c r="H73" s="270"/>
      <c r="I73" s="270"/>
      <c r="J73" s="270"/>
      <c r="K73" s="270"/>
      <c r="L73" s="270"/>
      <c r="M73" s="270"/>
      <c r="N73" s="270"/>
      <c r="O73" s="270"/>
      <c r="P73" s="270"/>
      <c r="Q73" s="270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17"/>
      <c r="BA73" s="107"/>
      <c r="BB73" s="20"/>
      <c r="BC73" s="20"/>
      <c r="BD73" s="20"/>
      <c r="BE73" s="108"/>
      <c r="BF73" s="42" t="str">
        <f>IFERROR(VLOOKUP("2P02-29-00-01",pareto,18,FALSE),"-")</f>
        <v>-</v>
      </c>
      <c r="BG73" s="20"/>
      <c r="BH73" s="20"/>
      <c r="BI73" s="20"/>
      <c r="BJ73" s="50" t="e">
        <f>VLOOKUP("2P02-30-00-01",pareto,18,FALSE)</f>
        <v>#N/A</v>
      </c>
      <c r="BK73" s="42" t="str">
        <f>IFERROR(VLOOKUP("2P03-29-00-01",pareto,18,FALSE),"-")</f>
        <v>-</v>
      </c>
      <c r="BL73" s="20"/>
      <c r="BM73" s="20"/>
      <c r="BN73" s="20"/>
      <c r="BO73" s="56" t="str">
        <f>IFERROR(VLOOKUP("2P03-30-00-01",pareto,18,FALSE),"-")</f>
        <v>-</v>
      </c>
      <c r="BP73" s="42" t="str">
        <f>IFERROR(VLOOKUP("2P04-29-00-01",pareto,18,FALSE),"-")</f>
        <v>-</v>
      </c>
      <c r="BQ73" s="20"/>
      <c r="BR73" s="20"/>
      <c r="BS73" s="20"/>
      <c r="BT73" s="51" t="str">
        <f>IFERROR(VLOOKUP("2P04-30-00-01",pareto,18,FALSE),"-")</f>
        <v>-</v>
      </c>
      <c r="BU73" s="42" t="str">
        <f>IFERROR(VLOOKUP("2P05-29-00-01",pareto,18,FALSE),"-")</f>
        <v>-</v>
      </c>
      <c r="BV73" s="20"/>
      <c r="BW73" s="20"/>
      <c r="BX73" s="20"/>
      <c r="BY73" s="52" t="str">
        <f>IFERROR(VLOOKUP("2P05-30-00-01",pareto,18,FALSE),"-")</f>
        <v>-</v>
      </c>
      <c r="BZ73" s="42" t="str">
        <f>IFERROR(VLOOKUP("2P06-29-00-01",pareto,18,FALSE),"-")</f>
        <v>-</v>
      </c>
      <c r="CA73" s="20"/>
      <c r="CB73" s="20"/>
      <c r="CC73" s="20"/>
      <c r="CD73" s="52" t="str">
        <f>IFERROR(VLOOKUP("2P06-30-00-01",pareto,18,FALSE),"-")</f>
        <v>-</v>
      </c>
      <c r="CE73" s="42" t="str">
        <f>IFERROR(VLOOKUP("2P07-29-00-01",pareto,18,FALSE),"-")</f>
        <v>-</v>
      </c>
      <c r="CF73" s="20"/>
      <c r="CG73" s="20"/>
      <c r="CH73" s="20"/>
      <c r="CI73" s="52" t="str">
        <f>IFERROR(VLOOKUP("2P07-30-01-01",pareto,18,FALSE),"-")</f>
        <v>-</v>
      </c>
      <c r="CJ73" s="42" t="str">
        <f>IFERROR(VLOOKUP("2P08-29-01-01",pareto,18,FALSE),"-")</f>
        <v>-</v>
      </c>
      <c r="CK73" s="20"/>
      <c r="CL73" s="20"/>
      <c r="CM73" s="20"/>
      <c r="CN73" s="52" t="str">
        <f>IFERROR(VLOOKUP("2P08-30-01-01",pareto,18,FALSE),"-")</f>
        <v>-</v>
      </c>
      <c r="CO73" s="42" t="str">
        <f>IFERROR(VLOOKUP("2P09-29-01-01",pareto,18,FALSE),"-")</f>
        <v>-</v>
      </c>
      <c r="CP73" s="20"/>
      <c r="CQ73" s="20"/>
      <c r="CR73" s="20"/>
      <c r="CS73" s="21"/>
      <c r="CT73" s="19"/>
      <c r="CU73" s="20"/>
      <c r="CV73" s="20"/>
      <c r="CW73" s="20"/>
      <c r="CX73" s="20"/>
      <c r="CY73" s="20"/>
      <c r="CZ73" s="20"/>
      <c r="DA73" s="20"/>
      <c r="DB73" s="20"/>
      <c r="DC73" s="20"/>
      <c r="DD73" s="20"/>
      <c r="DE73" s="20"/>
      <c r="DF73" s="20"/>
      <c r="DG73" s="20"/>
      <c r="DH73" s="20"/>
      <c r="DI73" s="20"/>
      <c r="DJ73" s="20"/>
      <c r="DK73" s="20"/>
      <c r="DL73" s="20"/>
      <c r="DM73" s="20"/>
      <c r="DN73" s="20"/>
      <c r="DO73" s="20"/>
      <c r="DP73" s="20"/>
      <c r="DQ73" s="20"/>
      <c r="DR73" s="20"/>
      <c r="DS73" s="20"/>
      <c r="DT73" s="20"/>
      <c r="DU73" s="20"/>
      <c r="DV73" s="20"/>
      <c r="DW73" s="20"/>
      <c r="DX73" s="20"/>
      <c r="DY73" s="20"/>
      <c r="DZ73" s="20"/>
      <c r="EA73" s="20"/>
      <c r="EB73" s="20"/>
      <c r="EC73" s="20"/>
      <c r="ED73" s="20"/>
      <c r="EE73" s="20"/>
      <c r="EF73" s="20"/>
      <c r="EG73" s="20"/>
      <c r="EH73" s="20"/>
      <c r="EI73" s="20"/>
      <c r="EJ73" s="20"/>
      <c r="EK73" s="20"/>
      <c r="EL73" s="20"/>
      <c r="EM73" s="20"/>
      <c r="EN73" s="20"/>
      <c r="EO73" s="21"/>
      <c r="EP73" s="42" t="str">
        <f>IFERROR(VLOOKUP("4P01-29-00-01",pareto,18,FALSE),"-")</f>
        <v>-</v>
      </c>
      <c r="EQ73" s="20"/>
      <c r="ER73" s="20"/>
      <c r="ES73" s="20"/>
      <c r="ET73" s="52" t="str">
        <f>IFERROR(VLOOKUP("4P01-30-00-01",pareto,18,FALSE),"-")</f>
        <v>-</v>
      </c>
      <c r="EU73" s="42" t="str">
        <f>IFERROR(VLOOKUP("4P02-29-00-01",pareto,18,FALSE),"-")</f>
        <v>-</v>
      </c>
      <c r="EV73" s="20"/>
      <c r="EW73" s="20"/>
      <c r="EX73" s="20"/>
      <c r="EY73" s="52" t="str">
        <f>IFERROR(VLOOKUP("4P02-30-00-01",pareto,18,FALSE),"-")</f>
        <v>-</v>
      </c>
      <c r="EZ73" s="42" t="str">
        <f>IFERROR(VLOOKUP("4P03-29-00-01",pareto,18,FALSE),"-")</f>
        <v>-</v>
      </c>
      <c r="FA73" s="20"/>
      <c r="FB73" s="20"/>
      <c r="FC73" s="20"/>
      <c r="FD73" s="52" t="str">
        <f>IFERROR(VLOOKUP("4P03-30-00-01",pareto,18,FALSE),"-")</f>
        <v>-</v>
      </c>
      <c r="FE73" s="42" t="str">
        <f>IFERROR(VLOOKUP("4P04-29-00-01",pareto,18,FALSE),"-")</f>
        <v>-</v>
      </c>
      <c r="FF73" s="20"/>
      <c r="FG73" s="20"/>
      <c r="FH73" s="20"/>
      <c r="FI73" s="52" t="str">
        <f>IFERROR(VLOOKUP("4P04-30-00-01",pareto,18,FALSE),"-")</f>
        <v>-</v>
      </c>
      <c r="FJ73" s="42" t="str">
        <f>IFERROR(VLOOKUP("4P05-29-00-01",pareto,18,FALSE),"-")</f>
        <v>-</v>
      </c>
      <c r="FK73" s="20"/>
      <c r="FL73" s="20"/>
      <c r="FM73" s="20"/>
      <c r="FN73" s="52" t="str">
        <f>IFERROR(VLOOKUP("4P05-30-00-01",pareto,18,FALSE),"-")</f>
        <v>-</v>
      </c>
      <c r="FO73" s="42" t="str">
        <f>IFERROR(VLOOKUP("4P06-29-00-01",pareto,18,FALSE),"-")</f>
        <v>-</v>
      </c>
      <c r="FP73" s="20"/>
      <c r="FQ73" s="20"/>
      <c r="FR73" s="20"/>
      <c r="FS73" s="52" t="str">
        <f>IFERROR(VLOOKUP("4P06-30-00-01",pareto,18,FALSE),"-")</f>
        <v>-</v>
      </c>
      <c r="FT73" s="42" t="str">
        <f>IFERROR(VLOOKUP("4P07-29-00-01",pareto,18,FALSE),"-")</f>
        <v>-</v>
      </c>
      <c r="FU73" s="20"/>
      <c r="FV73" s="20"/>
      <c r="FW73" s="20"/>
      <c r="FX73" s="52" t="str">
        <f>IFERROR(VLOOKUP("4P07-30-00-01",pareto,18,FALSE),"-")</f>
        <v>-</v>
      </c>
      <c r="FY73" s="42" t="str">
        <f>IFERROR(VLOOKUP("4P08-29-00-01",pareto,18,FALSE),"-")</f>
        <v>-</v>
      </c>
      <c r="FZ73" s="20"/>
      <c r="GA73" s="20"/>
      <c r="GB73" s="20"/>
      <c r="GC73" s="52" t="str">
        <f>IFERROR(VLOOKUP("4P08-30-00-01",pareto,18,FALSE),"-")</f>
        <v>-</v>
      </c>
      <c r="GD73" s="43" t="str">
        <f>IFERROR(VLOOKUP("4P09-29-00-01",pareto,18,FALSE),"-")</f>
        <v>-</v>
      </c>
      <c r="GE73" s="20"/>
      <c r="GF73" s="20"/>
      <c r="GG73" s="20"/>
      <c r="GH73" s="52" t="str">
        <f>IFERROR(VLOOKUP("4P09-30-00-01",pareto,18,FALSE),"-")</f>
        <v>-</v>
      </c>
    </row>
    <row r="74" spans="3:190" ht="12" customHeight="1" thickTop="1" thickBot="1" x14ac:dyDescent="0.3">
      <c r="C74" s="270"/>
      <c r="D74" s="270"/>
      <c r="E74" s="270"/>
      <c r="F74" s="270"/>
      <c r="G74" s="270"/>
      <c r="H74" s="270"/>
      <c r="I74" s="270"/>
      <c r="J74" s="270"/>
      <c r="K74" s="270"/>
      <c r="L74" s="270"/>
      <c r="M74" s="270"/>
      <c r="N74" s="270"/>
      <c r="O74" s="270"/>
      <c r="P74" s="270"/>
      <c r="Q74" s="270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34"/>
      <c r="AX74" s="9"/>
      <c r="AY74" s="9"/>
      <c r="AZ74" s="17"/>
      <c r="BA74" s="103"/>
      <c r="BB74" s="20"/>
      <c r="BC74" s="20"/>
      <c r="BD74" s="20"/>
      <c r="BE74" s="109"/>
      <c r="BF74" s="40" t="str">
        <f>IFERROR(VLOOKUP("2P02-27-00-03",pareto,18,FALSE),"-")</f>
        <v>-</v>
      </c>
      <c r="BG74" s="20"/>
      <c r="BH74" s="20"/>
      <c r="BI74" s="20"/>
      <c r="BJ74" s="48" t="e">
        <f>VLOOKUP("2P02-28-00-03",pareto,18,FALSE)</f>
        <v>#N/A</v>
      </c>
      <c r="BK74" s="40" t="str">
        <f>IFERROR(VLOOKUP("2P03-27-00-03",pareto,18,FALSE),"-")</f>
        <v>-</v>
      </c>
      <c r="BL74" s="20"/>
      <c r="BM74" s="20"/>
      <c r="BN74" s="20"/>
      <c r="BO74" s="48" t="e">
        <f>VLOOKUP("2P03-28-00-03",pareto,18,FALSE)</f>
        <v>#N/A</v>
      </c>
      <c r="BP74" s="40" t="str">
        <f>IFERROR(VLOOKUP("2P04-27-00-03",pareto,18,FALSE),"-")</f>
        <v>-</v>
      </c>
      <c r="BQ74" s="20"/>
      <c r="BR74" s="20"/>
      <c r="BS74" s="20"/>
      <c r="BT74" s="48" t="str">
        <f>IFERROR(VLOOKUP("2P04-28-00-03",pareto,18,FALSE),"-")</f>
        <v>-</v>
      </c>
      <c r="BU74" s="40" t="str">
        <f>IFERROR(VLOOKUP("2P05-27-00-03",pareto,18,FALSE),"-")</f>
        <v>-</v>
      </c>
      <c r="BV74" s="20"/>
      <c r="BW74" s="20"/>
      <c r="BX74" s="20"/>
      <c r="BY74" s="48" t="str">
        <f>IFERROR(VLOOKUP("2P05-28-00-03",pareto,18,FALSE),"-")</f>
        <v>-</v>
      </c>
      <c r="BZ74" s="40" t="str">
        <f>IFERROR(VLOOKUP("2P06-27-00-03",pareto,18,FALSE),"-")</f>
        <v>-</v>
      </c>
      <c r="CA74" s="20"/>
      <c r="CB74" s="20"/>
      <c r="CC74" s="20"/>
      <c r="CD74" s="48" t="str">
        <f>IFERROR(VLOOKUP("2P06-28-00-03",pareto,18,FALSE),"-")</f>
        <v>-</v>
      </c>
      <c r="CE74" s="40" t="str">
        <f>IFERROR(VLOOKUP("2P07-27-00-03",pareto,18,FALSE),"-")</f>
        <v>-</v>
      </c>
      <c r="CF74" s="20"/>
      <c r="CG74" s="20"/>
      <c r="CH74" s="20"/>
      <c r="CI74" s="48" t="str">
        <f>IFERROR(VLOOKUP("2P07-28-01-03",pareto,18,FALSE),"-")</f>
        <v>-</v>
      </c>
      <c r="CJ74" s="40" t="str">
        <f>IFERROR(VLOOKUP("2P08-27-01-03",pareto,18,FALSE),"-")</f>
        <v>-</v>
      </c>
      <c r="CK74" s="20"/>
      <c r="CL74" s="20"/>
      <c r="CM74" s="20"/>
      <c r="CN74" s="48" t="str">
        <f>IFERROR(VLOOKUP("2P08-28-01-03",pareto,18,FALSE),"-")</f>
        <v>-</v>
      </c>
      <c r="CO74" s="40" t="str">
        <f>IFERROR(VLOOKUP("2P09-27-01-03",pareto,18,FALSE),"-")</f>
        <v>-</v>
      </c>
      <c r="CP74" s="20"/>
      <c r="CQ74" s="20"/>
      <c r="CR74" s="20"/>
      <c r="CS74" s="21"/>
      <c r="CT74" s="19"/>
      <c r="CU74" s="20"/>
      <c r="CV74" s="20"/>
      <c r="CW74" s="20"/>
      <c r="CX74" s="20"/>
      <c r="CY74" s="20"/>
      <c r="CZ74" s="20"/>
      <c r="DA74" s="20"/>
      <c r="DB74" s="20"/>
      <c r="DC74" s="20"/>
      <c r="DD74" s="20"/>
      <c r="DE74" s="20"/>
      <c r="DF74" s="20"/>
      <c r="DG74" s="103"/>
      <c r="DH74" s="20"/>
      <c r="DI74" s="20"/>
      <c r="DJ74" s="20"/>
      <c r="DK74" s="103"/>
      <c r="DL74" s="206"/>
      <c r="DM74" s="20"/>
      <c r="DN74" s="20"/>
      <c r="DO74" s="20"/>
      <c r="DP74" s="103"/>
      <c r="DQ74" s="206"/>
      <c r="DR74" s="20"/>
      <c r="DS74" s="20"/>
      <c r="DT74" s="20"/>
      <c r="DU74" s="103"/>
      <c r="DV74" s="206"/>
      <c r="DW74" s="20"/>
      <c r="DX74" s="20"/>
      <c r="DY74" s="20"/>
      <c r="DZ74" s="103"/>
      <c r="EA74" s="206"/>
      <c r="EB74" s="20"/>
      <c r="EC74" s="20"/>
      <c r="ED74" s="20"/>
      <c r="EE74" s="103"/>
      <c r="EF74" s="206"/>
      <c r="EG74" s="20"/>
      <c r="EH74" s="20"/>
      <c r="EI74" s="20"/>
      <c r="EJ74" s="103"/>
      <c r="EK74" s="206"/>
      <c r="EL74" s="20"/>
      <c r="EM74" s="20"/>
      <c r="EN74" s="20"/>
      <c r="EO74" s="21"/>
      <c r="EP74" s="40" t="str">
        <f>IFERROR(VLOOKUP("4P01-27-00-03",pareto,18,FALSE),"-")</f>
        <v>-</v>
      </c>
      <c r="EQ74" s="20"/>
      <c r="ER74" s="20"/>
      <c r="ES74" s="20"/>
      <c r="ET74" s="48" t="str">
        <f>IFERROR(VLOOKUP("4P01-28-00-03",pareto,18,FALSE),"-")</f>
        <v>-</v>
      </c>
      <c r="EU74" s="40" t="str">
        <f>IFERROR(VLOOKUP("4P02-27-00-03",pareto,18,FALSE),"-")</f>
        <v>-</v>
      </c>
      <c r="EV74" s="20"/>
      <c r="EW74" s="20"/>
      <c r="EX74" s="20"/>
      <c r="EY74" s="48" t="str">
        <f>IFERROR(VLOOKUP("4P02-28-00-03",pareto,18,FALSE),"-")</f>
        <v>-</v>
      </c>
      <c r="EZ74" s="40" t="str">
        <f>IFERROR(VLOOKUP("4P03-27-00-03",pareto,18,FALSE),"-")</f>
        <v>-</v>
      </c>
      <c r="FA74" s="20"/>
      <c r="FB74" s="20"/>
      <c r="FC74" s="20"/>
      <c r="FD74" s="48" t="str">
        <f>IFERROR(VLOOKUP("4P03-28-00-03",pareto,18,FALSE),"-")</f>
        <v>-</v>
      </c>
      <c r="FE74" s="40" t="str">
        <f>IFERROR(VLOOKUP("4P04-27-00-03",pareto,18,FALSE),"-")</f>
        <v>-</v>
      </c>
      <c r="FF74" s="20"/>
      <c r="FG74" s="20"/>
      <c r="FH74" s="20"/>
      <c r="FI74" s="48" t="str">
        <f>IFERROR(VLOOKUP("4P04-28-00-03",pareto,18,FALSE),"-")</f>
        <v>-</v>
      </c>
      <c r="FJ74" s="40" t="str">
        <f>IFERROR(VLOOKUP("4P05-27-00-03",pareto,18,FALSE),"-")</f>
        <v>-</v>
      </c>
      <c r="FK74" s="20"/>
      <c r="FL74" s="20"/>
      <c r="FM74" s="20"/>
      <c r="FN74" s="48" t="str">
        <f>IFERROR(VLOOKUP("4P05-28-00-03",pareto,18,FALSE),"-")</f>
        <v>-</v>
      </c>
      <c r="FO74" s="40" t="str">
        <f>IFERROR(VLOOKUP("4P06-27-00-03",pareto,18,FALSE),"-")</f>
        <v>-</v>
      </c>
      <c r="FP74" s="20"/>
      <c r="FQ74" s="20"/>
      <c r="FR74" s="20"/>
      <c r="FS74" s="48" t="str">
        <f>IFERROR(VLOOKUP("4P06-28-00-03",pareto,18,FALSE),"-")</f>
        <v>-</v>
      </c>
      <c r="FT74" s="40" t="str">
        <f>IFERROR(VLOOKUP("4P07-27-00-03",pareto,18,FALSE),"-")</f>
        <v>-</v>
      </c>
      <c r="FU74" s="20"/>
      <c r="FV74" s="20"/>
      <c r="FW74" s="20"/>
      <c r="FX74" s="48" t="str">
        <f>IFERROR(VLOOKUP("4P07-28-00-03",pareto,18,FALSE),"-")</f>
        <v>-</v>
      </c>
      <c r="FY74" s="40" t="str">
        <f>IFERROR(VLOOKUP("4P08-27-00-03",pareto,18,FALSE),"-")</f>
        <v>-</v>
      </c>
      <c r="FZ74" s="20"/>
      <c r="GA74" s="20"/>
      <c r="GB74" s="20"/>
      <c r="GC74" s="48" t="str">
        <f>IFERROR(VLOOKUP("4P08-28-00-03",pareto,18,FALSE),"-")</f>
        <v>-</v>
      </c>
      <c r="GD74" s="40" t="str">
        <f>IFERROR(VLOOKUP("4P09-27-00-03",pareto,18,FALSE),"-")</f>
        <v>-</v>
      </c>
      <c r="GE74" s="20"/>
      <c r="GF74" s="20"/>
      <c r="GG74" s="20"/>
      <c r="GH74" s="48" t="str">
        <f>IFERROR(VLOOKUP("4P09-28-00-03",pareto,18,FALSE),"-")</f>
        <v>-</v>
      </c>
    </row>
    <row r="75" spans="3:190" ht="12" customHeight="1" thickTop="1" thickBot="1" x14ac:dyDescent="0.3">
      <c r="C75" s="270"/>
      <c r="D75" s="270"/>
      <c r="E75" s="270"/>
      <c r="F75" s="270"/>
      <c r="G75" s="270"/>
      <c r="H75" s="270"/>
      <c r="I75" s="270"/>
      <c r="J75" s="270"/>
      <c r="K75" s="270"/>
      <c r="L75" s="270"/>
      <c r="M75" s="270"/>
      <c r="N75" s="270"/>
      <c r="O75" s="270"/>
      <c r="P75" s="270"/>
      <c r="Q75" s="270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32"/>
      <c r="AX75" s="31"/>
      <c r="AY75" s="9"/>
      <c r="AZ75" s="17"/>
      <c r="BA75" s="105"/>
      <c r="BB75" s="20"/>
      <c r="BC75" s="20"/>
      <c r="BD75" s="20"/>
      <c r="BE75" s="110"/>
      <c r="BF75" s="43" t="str">
        <f>IFERROR(VLOOKUP("2P02-27-00-02",pareto,18,FALSE),"-")</f>
        <v>-</v>
      </c>
      <c r="BG75" s="20"/>
      <c r="BH75" s="20"/>
      <c r="BI75" s="20"/>
      <c r="BJ75" s="54" t="e">
        <f>VLOOKUP("2P02-28-00-02",pareto,18,FALSE)</f>
        <v>#N/A</v>
      </c>
      <c r="BK75" s="43" t="str">
        <f>IFERROR(VLOOKUP("2P03-27-00-02",pareto,18,FALSE),"-")</f>
        <v>-</v>
      </c>
      <c r="BL75" s="20"/>
      <c r="BM75" s="20"/>
      <c r="BN75" s="20"/>
      <c r="BO75" s="49" t="e">
        <f>VLOOKUP("2P03-28-00-02",pareto,18,FALSE)</f>
        <v>#N/A</v>
      </c>
      <c r="BP75" s="43" t="str">
        <f>IFERROR(VLOOKUP("2P04-27-00-02",pareto,18,FALSE),"-")</f>
        <v>-</v>
      </c>
      <c r="BQ75" s="20"/>
      <c r="BR75" s="20"/>
      <c r="BS75" s="20"/>
      <c r="BT75" s="49" t="str">
        <f>IFERROR(VLOOKUP("2P04-28-00-02",pareto,18,FALSE),"-")</f>
        <v>-</v>
      </c>
      <c r="BU75" s="43" t="str">
        <f>IFERROR(VLOOKUP("2P05-27-00-02",pareto,18,FALSE),"-")</f>
        <v>-</v>
      </c>
      <c r="BV75" s="20"/>
      <c r="BW75" s="20"/>
      <c r="BX75" s="20"/>
      <c r="BY75" s="49" t="str">
        <f>IFERROR(VLOOKUP("2P05-28-00-02",pareto,18,FALSE),"-")</f>
        <v>-</v>
      </c>
      <c r="BZ75" s="43" t="str">
        <f>IFERROR(VLOOKUP("2P06-27-00-02",pareto,18,FALSE),"-")</f>
        <v>-</v>
      </c>
      <c r="CA75" s="20"/>
      <c r="CB75" s="20"/>
      <c r="CC75" s="20"/>
      <c r="CD75" s="49" t="str">
        <f>IFERROR(VLOOKUP("2P06-28-00-02",pareto,18,FALSE),"-")</f>
        <v>-</v>
      </c>
      <c r="CE75" s="43" t="str">
        <f>IFERROR(VLOOKUP("2P07-27-00-02",pareto,18,FALSE),"-")</f>
        <v>-</v>
      </c>
      <c r="CF75" s="20"/>
      <c r="CG75" s="20"/>
      <c r="CH75" s="20"/>
      <c r="CI75" s="49" t="str">
        <f>IFERROR(VLOOKUP("2P07-28-01-02",pareto,18,FALSE),"-")</f>
        <v>-</v>
      </c>
      <c r="CJ75" s="43" t="str">
        <f>IFERROR(VLOOKUP("2P08-27-01-02",pareto,18,FALSE),"-")</f>
        <v>-</v>
      </c>
      <c r="CK75" s="20"/>
      <c r="CL75" s="20"/>
      <c r="CM75" s="20"/>
      <c r="CN75" s="49" t="str">
        <f>IFERROR(VLOOKUP("2P08-28-01-02",pareto,18,FALSE),"-")</f>
        <v>-</v>
      </c>
      <c r="CO75" s="43" t="str">
        <f>IFERROR(VLOOKUP("2P09-27-01-02",pareto,18,FALSE),"-")</f>
        <v>-</v>
      </c>
      <c r="CP75" s="20"/>
      <c r="CQ75" s="20"/>
      <c r="CR75" s="20"/>
      <c r="CS75" s="21"/>
      <c r="CT75" s="19"/>
      <c r="CU75" s="20"/>
      <c r="CV75" s="20"/>
      <c r="CW75" s="20"/>
      <c r="CX75" s="20"/>
      <c r="CY75" s="20"/>
      <c r="CZ75" s="20"/>
      <c r="DA75" s="20"/>
      <c r="DB75" s="20"/>
      <c r="DC75" s="20"/>
      <c r="DD75" s="20"/>
      <c r="DE75" s="20"/>
      <c r="DF75" s="20"/>
      <c r="DG75" s="105"/>
      <c r="DH75" s="20"/>
      <c r="DI75" s="20"/>
      <c r="DJ75" s="20"/>
      <c r="DK75" s="105"/>
      <c r="DL75" s="207"/>
      <c r="DM75" s="20"/>
      <c r="DN75" s="20"/>
      <c r="DO75" s="20"/>
      <c r="DP75" s="105"/>
      <c r="DQ75" s="207"/>
      <c r="DR75" s="20"/>
      <c r="DS75" s="20"/>
      <c r="DT75" s="20"/>
      <c r="DU75" s="105"/>
      <c r="DV75" s="207"/>
      <c r="DW75" s="20"/>
      <c r="DX75" s="20"/>
      <c r="DY75" s="20"/>
      <c r="DZ75" s="105"/>
      <c r="EA75" s="207"/>
      <c r="EB75" s="20"/>
      <c r="EC75" s="20"/>
      <c r="ED75" s="20"/>
      <c r="EE75" s="105"/>
      <c r="EF75" s="207"/>
      <c r="EG75" s="20"/>
      <c r="EH75" s="20"/>
      <c r="EI75" s="20"/>
      <c r="EJ75" s="105"/>
      <c r="EK75" s="207"/>
      <c r="EL75" s="20"/>
      <c r="EM75" s="20"/>
      <c r="EN75" s="20"/>
      <c r="EO75" s="21"/>
      <c r="EP75" s="43" t="str">
        <f>IFERROR(VLOOKUP("4P01-27-00-02",pareto,18,FALSE),"-")</f>
        <v>-</v>
      </c>
      <c r="EQ75" s="20"/>
      <c r="ER75" s="20"/>
      <c r="ES75" s="20"/>
      <c r="ET75" s="49" t="str">
        <f>IFERROR(VLOOKUP("4P01-28-00-02",pareto,18,FALSE),"-")</f>
        <v>-</v>
      </c>
      <c r="EU75" s="43" t="str">
        <f>IFERROR(VLOOKUP("4P02-27-00-02",pareto,18,FALSE),"-")</f>
        <v>-</v>
      </c>
      <c r="EV75" s="20"/>
      <c r="EW75" s="20"/>
      <c r="EX75" s="20"/>
      <c r="EY75" s="49" t="str">
        <f>IFERROR(VLOOKUP("4P02-28-00-02",pareto,18,FALSE),"-")</f>
        <v>-</v>
      </c>
      <c r="EZ75" s="43" t="str">
        <f>IFERROR(VLOOKUP("4P03-27-00-02",pareto,18,FALSE),"-")</f>
        <v>-</v>
      </c>
      <c r="FA75" s="20"/>
      <c r="FB75" s="20"/>
      <c r="FC75" s="20"/>
      <c r="FD75" s="49" t="str">
        <f>IFERROR(VLOOKUP("4P03-28-00-02",pareto,18,FALSE),"-")</f>
        <v>-</v>
      </c>
      <c r="FE75" s="43" t="str">
        <f>IFERROR(VLOOKUP("4P04-27-00-02",pareto,18,FALSE),"-")</f>
        <v>-</v>
      </c>
      <c r="FF75" s="20"/>
      <c r="FG75" s="20"/>
      <c r="FH75" s="20"/>
      <c r="FI75" s="49" t="str">
        <f>IFERROR(VLOOKUP("4P04-28-00-02",pareto,18,FALSE),"-")</f>
        <v>-</v>
      </c>
      <c r="FJ75" s="43" t="str">
        <f>IFERROR(VLOOKUP("4P05-27-00-02",pareto,18,FALSE),"-")</f>
        <v>-</v>
      </c>
      <c r="FK75" s="20"/>
      <c r="FL75" s="20"/>
      <c r="FM75" s="20"/>
      <c r="FN75" s="49" t="str">
        <f>IFERROR(VLOOKUP("4P05-28-00-02",pareto,18,FALSE),"-")</f>
        <v>-</v>
      </c>
      <c r="FO75" s="43" t="str">
        <f>IFERROR(VLOOKUP("4P06-27-00-02",pareto,18,FALSE),"-")</f>
        <v>-</v>
      </c>
      <c r="FP75" s="20"/>
      <c r="FQ75" s="20"/>
      <c r="FR75" s="20"/>
      <c r="FS75" s="49" t="str">
        <f>IFERROR(VLOOKUP("4P06-28-00-02",pareto,18,FALSE),"-")</f>
        <v>-</v>
      </c>
      <c r="FT75" s="43" t="str">
        <f>IFERROR(VLOOKUP("4P07-27-00-02",pareto,18,FALSE),"-")</f>
        <v>-</v>
      </c>
      <c r="FU75" s="20"/>
      <c r="FV75" s="20"/>
      <c r="FW75" s="20"/>
      <c r="FX75" s="49" t="str">
        <f>IFERROR(VLOOKUP("4P07-28-00-02",pareto,18,FALSE),"-")</f>
        <v>-</v>
      </c>
      <c r="FY75" s="43" t="str">
        <f>IFERROR(VLOOKUP("4P08-27-00-02",pareto,18,FALSE),"-")</f>
        <v>-</v>
      </c>
      <c r="FZ75" s="20"/>
      <c r="GA75" s="20"/>
      <c r="GB75" s="20"/>
      <c r="GC75" s="49" t="str">
        <f>IFERROR(VLOOKUP("4P08-28-00-02",pareto,18,FALSE),"-")</f>
        <v>-</v>
      </c>
      <c r="GD75" s="43" t="str">
        <f>IFERROR(VLOOKUP("4P09-27-00-02",pareto,18,FALSE),"-")</f>
        <v>-</v>
      </c>
      <c r="GE75" s="20"/>
      <c r="GF75" s="20"/>
      <c r="GG75" s="20"/>
      <c r="GH75" s="49" t="str">
        <f>IFERROR(VLOOKUP("4P09-28-00-02",pareto,18,FALSE),"-")</f>
        <v>-</v>
      </c>
    </row>
    <row r="76" spans="3:190" ht="12" customHeight="1" thickTop="1" thickBot="1" x14ac:dyDescent="0.3">
      <c r="C76" s="270"/>
      <c r="D76" s="270"/>
      <c r="E76" s="270"/>
      <c r="F76" s="270"/>
      <c r="G76" s="270"/>
      <c r="H76" s="270"/>
      <c r="I76" s="270"/>
      <c r="J76" s="270"/>
      <c r="K76" s="270"/>
      <c r="L76" s="270"/>
      <c r="M76" s="270"/>
      <c r="N76" s="270"/>
      <c r="O76" s="270"/>
      <c r="P76" s="270"/>
      <c r="Q76" s="270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33"/>
      <c r="AX76" s="31"/>
      <c r="AY76" s="9"/>
      <c r="AZ76" s="17"/>
      <c r="BA76" s="107"/>
      <c r="BB76" s="20"/>
      <c r="BC76" s="20"/>
      <c r="BD76" s="20"/>
      <c r="BE76" s="111"/>
      <c r="BF76" s="42" t="str">
        <f>IFERROR(VLOOKUP("2P02-27-00-01",pareto,18,FALSE),"-")</f>
        <v>-</v>
      </c>
      <c r="BG76" s="20"/>
      <c r="BH76" s="20"/>
      <c r="BI76" s="20"/>
      <c r="BJ76" s="52" t="e">
        <f>VLOOKUP("2P02-28-00-01",pareto,18,FALSE)</f>
        <v>#N/A</v>
      </c>
      <c r="BK76" s="42" t="str">
        <f>IFERROR(VLOOKUP("2P03-27-00-01",pareto,18,FALSE),"-")</f>
        <v>-</v>
      </c>
      <c r="BL76" s="20"/>
      <c r="BM76" s="20"/>
      <c r="BN76" s="20"/>
      <c r="BO76" s="52" t="e">
        <f>VLOOKUP("2P03-28-00-01",pareto,18,FALSE)</f>
        <v>#N/A</v>
      </c>
      <c r="BP76" s="42" t="str">
        <f>IFERROR(VLOOKUP("2P04-27-00-01",pareto,18,FALSE),"-")</f>
        <v>-</v>
      </c>
      <c r="BQ76" s="20"/>
      <c r="BR76" s="20"/>
      <c r="BS76" s="20"/>
      <c r="BT76" s="53" t="str">
        <f>IFERROR(VLOOKUP("2P04-28-00-01",pareto,18,FALSE),"-")</f>
        <v>-</v>
      </c>
      <c r="BU76" s="42" t="str">
        <f>IFERROR(VLOOKUP("2P05-27-00-01",pareto,18,FALSE),"-")</f>
        <v>-</v>
      </c>
      <c r="BV76" s="20"/>
      <c r="BW76" s="20"/>
      <c r="BX76" s="20"/>
      <c r="BY76" s="52" t="str">
        <f>IFERROR(VLOOKUP("2P05-28-00-01",pareto,18,FALSE),"-")</f>
        <v>-</v>
      </c>
      <c r="BZ76" s="42" t="str">
        <f>IFERROR(VLOOKUP("2P06-27-00-01",pareto,18,FALSE),"-")</f>
        <v>-</v>
      </c>
      <c r="CA76" s="20"/>
      <c r="CB76" s="20"/>
      <c r="CC76" s="20"/>
      <c r="CD76" s="52" t="str">
        <f>IFERROR(VLOOKUP("2P06-28-00-01",pareto,18,FALSE),"-")</f>
        <v>-</v>
      </c>
      <c r="CE76" s="42" t="str">
        <f>IFERROR(VLOOKUP("2P07-27-00-01",pareto,18,FALSE),"-")</f>
        <v>-</v>
      </c>
      <c r="CF76" s="20"/>
      <c r="CG76" s="20"/>
      <c r="CH76" s="20"/>
      <c r="CI76" s="52" t="str">
        <f>IFERROR(VLOOKUP("2P07-28-01-01",pareto,18,FALSE),"-")</f>
        <v>-</v>
      </c>
      <c r="CJ76" s="42" t="str">
        <f>IFERROR(VLOOKUP("2P08-27-0-01",pareto,18,FALSE),"-")</f>
        <v>-</v>
      </c>
      <c r="CK76" s="20"/>
      <c r="CL76" s="20"/>
      <c r="CM76" s="20"/>
      <c r="CN76" s="52" t="str">
        <f>IFERROR(VLOOKUP("2P08-28-01-01",pareto,18,FALSE),"-")</f>
        <v>-</v>
      </c>
      <c r="CO76" s="42" t="str">
        <f>IFERROR(VLOOKUP("2P09-27-01-01",pareto,18,FALSE),"-")</f>
        <v>-</v>
      </c>
      <c r="CP76" s="20"/>
      <c r="CQ76" s="20"/>
      <c r="CR76" s="20"/>
      <c r="CS76" s="21"/>
      <c r="CT76" s="19"/>
      <c r="CU76" s="20"/>
      <c r="CV76" s="20"/>
      <c r="CW76" s="20"/>
      <c r="CX76" s="20"/>
      <c r="CY76" s="20"/>
      <c r="CZ76" s="20"/>
      <c r="DA76" s="20"/>
      <c r="DB76" s="20"/>
      <c r="DC76" s="20"/>
      <c r="DD76" s="20"/>
      <c r="DE76" s="20"/>
      <c r="DF76" s="20"/>
      <c r="DG76" s="107"/>
      <c r="DH76" s="20"/>
      <c r="DI76" s="20"/>
      <c r="DJ76" s="20"/>
      <c r="DK76" s="107"/>
      <c r="DL76" s="205"/>
      <c r="DM76" s="20"/>
      <c r="DN76" s="20"/>
      <c r="DO76" s="20"/>
      <c r="DP76" s="107"/>
      <c r="DQ76" s="205"/>
      <c r="DR76" s="20"/>
      <c r="DS76" s="20"/>
      <c r="DT76" s="20"/>
      <c r="DU76" s="107"/>
      <c r="DV76" s="205"/>
      <c r="DW76" s="20"/>
      <c r="DX76" s="20"/>
      <c r="DY76" s="20"/>
      <c r="DZ76" s="107"/>
      <c r="EA76" s="205"/>
      <c r="EB76" s="20"/>
      <c r="EC76" s="20"/>
      <c r="ED76" s="20"/>
      <c r="EE76" s="107"/>
      <c r="EF76" s="205"/>
      <c r="EG76" s="20"/>
      <c r="EH76" s="20"/>
      <c r="EI76" s="20"/>
      <c r="EJ76" s="107"/>
      <c r="EK76" s="205"/>
      <c r="EL76" s="20"/>
      <c r="EM76" s="20"/>
      <c r="EN76" s="20"/>
      <c r="EO76" s="21"/>
      <c r="EP76" s="42" t="str">
        <f>IFERROR(VLOOKUP("4P01-27-00-01",pareto,18,FALSE),"-")</f>
        <v>-</v>
      </c>
      <c r="EQ76" s="20"/>
      <c r="ER76" s="20"/>
      <c r="ES76" s="20"/>
      <c r="ET76" s="52" t="str">
        <f>IFERROR(VLOOKUP("4P01-28-00-01",pareto,18,FALSE),"-")</f>
        <v>-</v>
      </c>
      <c r="EU76" s="42" t="str">
        <f>IFERROR(VLOOKUP("4P02-27-00-01",pareto,18,FALSE),"-")</f>
        <v>-</v>
      </c>
      <c r="EV76" s="20"/>
      <c r="EW76" s="20"/>
      <c r="EX76" s="20"/>
      <c r="EY76" s="52" t="str">
        <f>IFERROR(VLOOKUP("4P02-28-00-01",pareto,18,FALSE),"-")</f>
        <v>-</v>
      </c>
      <c r="EZ76" s="42" t="str">
        <f>IFERROR(VLOOKUP("4P03-27-00-01",pareto,18,FALSE),"-")</f>
        <v>-</v>
      </c>
      <c r="FA76" s="20"/>
      <c r="FB76" s="20"/>
      <c r="FC76" s="20"/>
      <c r="FD76" s="52" t="str">
        <f>IFERROR(VLOOKUP("4P03-28-00-01",pareto,18,FALSE),"-")</f>
        <v>-</v>
      </c>
      <c r="FE76" s="42" t="str">
        <f>IFERROR(VLOOKUP("4P04-27-00-01",pareto,18,FALSE),"-")</f>
        <v>-</v>
      </c>
      <c r="FF76" s="20"/>
      <c r="FG76" s="20"/>
      <c r="FH76" s="20"/>
      <c r="FI76" s="52" t="str">
        <f>IFERROR(VLOOKUP("4P04-28-00-01",pareto,18,FALSE),"-")</f>
        <v>-</v>
      </c>
      <c r="FJ76" s="42" t="str">
        <f>IFERROR(VLOOKUP("4P05-27-00-01",pareto,18,FALSE),"-")</f>
        <v>-</v>
      </c>
      <c r="FK76" s="20"/>
      <c r="FL76" s="20"/>
      <c r="FM76" s="20"/>
      <c r="FN76" s="52" t="str">
        <f>IFERROR(VLOOKUP("4P05-28-00-01",pareto,18,FALSE),"-")</f>
        <v>-</v>
      </c>
      <c r="FO76" s="42" t="str">
        <f>IFERROR(VLOOKUP("4P06-27-00-01",pareto,18,FALSE),"-")</f>
        <v>-</v>
      </c>
      <c r="FP76" s="20"/>
      <c r="FQ76" s="20"/>
      <c r="FR76" s="20"/>
      <c r="FS76" s="52" t="str">
        <f>IFERROR(VLOOKUP("4P06-28-00-01",pareto,18,FALSE),"-")</f>
        <v>-</v>
      </c>
      <c r="FT76" s="42" t="str">
        <f>IFERROR(VLOOKUP("4P07-27-00-01",pareto,18,FALSE),"-")</f>
        <v>-</v>
      </c>
      <c r="FU76" s="20"/>
      <c r="FV76" s="20"/>
      <c r="FW76" s="20"/>
      <c r="FX76" s="52" t="str">
        <f>IFERROR(VLOOKUP("4P07-28-00-01",pareto,18,FALSE),"-")</f>
        <v>-</v>
      </c>
      <c r="FY76" s="42" t="str">
        <f>IFERROR(VLOOKUP("4P08-27-00-01",pareto,18,FALSE),"-")</f>
        <v>-</v>
      </c>
      <c r="FZ76" s="20"/>
      <c r="GA76" s="20"/>
      <c r="GB76" s="20"/>
      <c r="GC76" s="52" t="str">
        <f>IFERROR(VLOOKUP("4P08-28-00-01",pareto,18,FALSE),"-")</f>
        <v>-</v>
      </c>
      <c r="GD76" s="42" t="str">
        <f>IFERROR(VLOOKUP("4P08-27-00-01",pareto,18,FALSE),"-")</f>
        <v>-</v>
      </c>
      <c r="GE76" s="20"/>
      <c r="GF76" s="20"/>
      <c r="GG76" s="20"/>
      <c r="GH76" s="52" t="str">
        <f>IFERROR(VLOOKUP("4P09-28-00-01",pareto,18,FALSE),"-")</f>
        <v>-</v>
      </c>
    </row>
    <row r="77" spans="3:190" ht="12" customHeight="1" thickTop="1" thickBot="1" x14ac:dyDescent="0.3">
      <c r="C77" s="270"/>
      <c r="D77" s="270"/>
      <c r="E77" s="270"/>
      <c r="F77" s="270"/>
      <c r="G77" s="270"/>
      <c r="H77" s="270"/>
      <c r="I77" s="270"/>
      <c r="J77" s="270"/>
      <c r="K77" s="270"/>
      <c r="L77" s="270"/>
      <c r="M77" s="270"/>
      <c r="N77" s="270"/>
      <c r="O77" s="270"/>
      <c r="P77" s="270"/>
      <c r="Q77" s="270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34"/>
      <c r="AX77" s="31"/>
      <c r="AY77" s="9"/>
      <c r="AZ77" s="17"/>
      <c r="BA77" s="103"/>
      <c r="BB77" s="20"/>
      <c r="BC77" s="20"/>
      <c r="BD77" s="20"/>
      <c r="BE77" s="109"/>
      <c r="BF77" s="40" t="str">
        <f>IFERROR(VLOOKUP("2P02-25-00-03",pareto,18,FALSE),"-")</f>
        <v>-</v>
      </c>
      <c r="BG77" s="20"/>
      <c r="BH77" s="20"/>
      <c r="BI77" s="20"/>
      <c r="BJ77" s="48" t="e">
        <f>VLOOKUP("2P02-26-00-03",pareto,18,FALSE)</f>
        <v>#N/A</v>
      </c>
      <c r="BK77" s="40" t="str">
        <f>IFERROR(VLOOKUP("2P03-25-00-03",pareto,18,FALSE),"-")</f>
        <v>-</v>
      </c>
      <c r="BL77" s="20"/>
      <c r="BM77" s="20"/>
      <c r="BN77" s="20"/>
      <c r="BO77" s="112"/>
      <c r="BP77" s="40" t="str">
        <f>IFERROR(VLOOKUP("2P04-25-00-03",pareto,18,FALSE),"-")</f>
        <v>-</v>
      </c>
      <c r="BQ77" s="20"/>
      <c r="BR77" s="20"/>
      <c r="BS77" s="20"/>
      <c r="BT77" s="48" t="str">
        <f>IFERROR(VLOOKUP("2P04-26-00-03",pareto,18,FALSE),"-")</f>
        <v>-</v>
      </c>
      <c r="BU77" s="40" t="str">
        <f>IFERROR(VLOOKUP("2P05-25-00-03",pareto,18,FALSE),"-")</f>
        <v>-</v>
      </c>
      <c r="BV77" s="20"/>
      <c r="BW77" s="20"/>
      <c r="BX77" s="20"/>
      <c r="BY77" s="48" t="str">
        <f>IFERROR(VLOOKUP("2P05-26-00-03",pareto,18,FALSE),"-")</f>
        <v>-</v>
      </c>
      <c r="BZ77" s="40" t="str">
        <f>IFERROR(VLOOKUP("2P06-25-00-03",pareto,18,FALSE),"-")</f>
        <v>-</v>
      </c>
      <c r="CA77" s="20"/>
      <c r="CB77" s="20"/>
      <c r="CC77" s="20"/>
      <c r="CD77" s="48" t="str">
        <f>IFERROR(VLOOKUP("2P06-26-00-03",pareto,18,FALSE),"-")</f>
        <v>-</v>
      </c>
      <c r="CE77" s="66"/>
      <c r="CF77" s="20"/>
      <c r="CG77" s="20"/>
      <c r="CH77" s="20"/>
      <c r="CI77" s="48" t="str">
        <f>IFERROR(VLOOKUP("2P07-26-01-03",pareto,18,FALSE),"-")</f>
        <v>-</v>
      </c>
      <c r="CJ77" s="40" t="str">
        <f>IFERROR(VLOOKUP("2P08-25-01-03",pareto,18,FALSE),"-")</f>
        <v>-</v>
      </c>
      <c r="CK77" s="20"/>
      <c r="CL77" s="20"/>
      <c r="CM77" s="20"/>
      <c r="CN77" s="48" t="str">
        <f>IFERROR(VLOOKUP("2P08-26-01-03",pareto,18,FALSE),"-")</f>
        <v>-</v>
      </c>
      <c r="CO77" s="40" t="str">
        <f>IFERROR(VLOOKUP("2P09-25-01-03",pareto,18,FALSE),"-")</f>
        <v>-</v>
      </c>
      <c r="CP77" s="20"/>
      <c r="CQ77" s="20"/>
      <c r="CR77" s="20"/>
      <c r="CS77" s="48" t="str">
        <f>IFERROR(VLOOKUP("2P09-24-00-03",pareto,18,FALSE),"-")</f>
        <v>-</v>
      </c>
      <c r="CT77" s="19"/>
      <c r="CU77" s="20"/>
      <c r="CV77" s="20"/>
      <c r="CW77" s="20"/>
      <c r="CX77" s="20"/>
      <c r="CY77" s="20"/>
      <c r="CZ77" s="20"/>
      <c r="DA77" s="20"/>
      <c r="DB77" s="20"/>
      <c r="DC77" s="20"/>
      <c r="DD77" s="20"/>
      <c r="DE77" s="20"/>
      <c r="DF77" s="20"/>
      <c r="DG77" s="103"/>
      <c r="DH77" s="20"/>
      <c r="DI77" s="20"/>
      <c r="DJ77" s="20"/>
      <c r="DK77" s="103"/>
      <c r="DL77" s="206"/>
      <c r="DM77" s="20"/>
      <c r="DN77" s="20"/>
      <c r="DO77" s="20"/>
      <c r="DP77" s="103"/>
      <c r="DQ77" s="206"/>
      <c r="DR77" s="20"/>
      <c r="DS77" s="20"/>
      <c r="DT77" s="20"/>
      <c r="DU77" s="103"/>
      <c r="DV77" s="206"/>
      <c r="DW77" s="20"/>
      <c r="DX77" s="20"/>
      <c r="DY77" s="20"/>
      <c r="DZ77" s="103"/>
      <c r="EA77" s="206"/>
      <c r="EB77" s="20"/>
      <c r="EC77" s="20"/>
      <c r="ED77" s="20"/>
      <c r="EE77" s="103"/>
      <c r="EF77" s="206"/>
      <c r="EG77" s="20"/>
      <c r="EH77" s="20"/>
      <c r="EI77" s="20"/>
      <c r="EJ77" s="103"/>
      <c r="EK77" s="206"/>
      <c r="EL77" s="20"/>
      <c r="EM77" s="20"/>
      <c r="EN77" s="20"/>
      <c r="EO77" s="21"/>
      <c r="EP77" s="40" t="str">
        <f>IFERROR(VLOOKUP("4P01-25-00-03",pareto,18,FALSE),"-")</f>
        <v>-</v>
      </c>
      <c r="EQ77" s="20"/>
      <c r="ER77" s="20"/>
      <c r="ES77" s="20"/>
      <c r="ET77" s="48" t="str">
        <f>IFERROR(VLOOKUP("4P01-26-00-03",pareto,18,FALSE),"-")</f>
        <v>-</v>
      </c>
      <c r="EU77" s="40" t="str">
        <f>IFERROR(VLOOKUP("4P02-25-00-03",pareto,18,FALSE),"-")</f>
        <v>-</v>
      </c>
      <c r="EV77" s="20"/>
      <c r="EW77" s="20"/>
      <c r="EX77" s="20"/>
      <c r="EY77" s="48" t="str">
        <f>IFERROR(VLOOKUP("4P02-26-00-03",pareto,18,FALSE),"-")</f>
        <v>-</v>
      </c>
      <c r="EZ77" s="40" t="str">
        <f>IFERROR(VLOOKUP("4P03-25-00-03",pareto,18,FALSE),"-")</f>
        <v>-</v>
      </c>
      <c r="FA77" s="20"/>
      <c r="FB77" s="20"/>
      <c r="FC77" s="20"/>
      <c r="FD77" s="73"/>
      <c r="FE77" s="40" t="str">
        <f>IFERROR(VLOOKUP("4P04-25-00-03",pareto,18,FALSE),"-")</f>
        <v>-</v>
      </c>
      <c r="FF77" s="20"/>
      <c r="FG77" s="20"/>
      <c r="FH77" s="20"/>
      <c r="FI77" s="48" t="str">
        <f>IFERROR(VLOOKUP("4P04-26-00-03",pareto,18,FALSE),"-")</f>
        <v>-</v>
      </c>
      <c r="FJ77" s="40" t="str">
        <f>IFERROR(VLOOKUP("4P05-25-00-03",pareto,18,FALSE),"-")</f>
        <v>-</v>
      </c>
      <c r="FK77" s="20"/>
      <c r="FL77" s="20"/>
      <c r="FM77" s="20"/>
      <c r="FN77" s="48" t="str">
        <f>IFERROR(VLOOKUP("4P05-26-00-03",pareto,18,FALSE),"-")</f>
        <v>-</v>
      </c>
      <c r="FO77" s="40" t="str">
        <f>IFERROR(VLOOKUP("4P06-25-00-03",pareto,18,FALSE),"-")</f>
        <v>-</v>
      </c>
      <c r="FP77" s="20"/>
      <c r="FQ77" s="20"/>
      <c r="FR77" s="20"/>
      <c r="FS77" s="48" t="str">
        <f>IFERROR(VLOOKUP("4P06-26-00-03",pareto,18,FALSE),"-")</f>
        <v>-</v>
      </c>
      <c r="FT77" s="66"/>
      <c r="FU77" s="20"/>
      <c r="FV77" s="20"/>
      <c r="FW77" s="20"/>
      <c r="FX77" s="48" t="str">
        <f>IFERROR(VLOOKUP("4P07-26-00-03",pareto,18,FALSE),"-")</f>
        <v>-</v>
      </c>
      <c r="FY77" s="40" t="str">
        <f>IFERROR(VLOOKUP("4P08-25-00-03",pareto,18,FALSE),"-")</f>
        <v>-</v>
      </c>
      <c r="FZ77" s="20"/>
      <c r="GA77" s="20"/>
      <c r="GB77" s="20"/>
      <c r="GC77" s="48" t="str">
        <f>IFERROR(VLOOKUP("4P08-26-00-03",pareto,18,FALSE),"-")</f>
        <v>-</v>
      </c>
      <c r="GD77" s="40" t="str">
        <f>IFERROR(VLOOKUP("4P09-25-00-03",pareto,18,FALSE),"-")</f>
        <v>-</v>
      </c>
      <c r="GE77" s="20"/>
      <c r="GF77" s="20"/>
      <c r="GG77" s="20"/>
      <c r="GH77" s="48" t="str">
        <f>IFERROR(VLOOKUP("4P09-26-00-03",pareto,18,FALSE),"-")</f>
        <v>-</v>
      </c>
    </row>
    <row r="78" spans="3:190" ht="12" customHeight="1" thickTop="1" thickBot="1" x14ac:dyDescent="0.3">
      <c r="C78" s="270"/>
      <c r="D78" s="270"/>
      <c r="E78" s="270"/>
      <c r="F78" s="270"/>
      <c r="G78" s="270"/>
      <c r="H78" s="270"/>
      <c r="I78" s="270"/>
      <c r="J78" s="270"/>
      <c r="K78" s="270"/>
      <c r="L78" s="270"/>
      <c r="M78" s="270"/>
      <c r="N78" s="270"/>
      <c r="O78" s="270"/>
      <c r="P78" s="270"/>
      <c r="Q78" s="270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32"/>
      <c r="AX78" s="31"/>
      <c r="AY78" s="9"/>
      <c r="AZ78" s="17"/>
      <c r="BA78" s="105"/>
      <c r="BB78" s="20"/>
      <c r="BC78" s="20"/>
      <c r="BD78" s="20"/>
      <c r="BE78" s="110"/>
      <c r="BF78" s="43" t="str">
        <f>IFERROR(VLOOKUP("2P02-25-00-02",pareto,18,FALSE),"-")</f>
        <v>-</v>
      </c>
      <c r="BG78" s="20"/>
      <c r="BH78" s="20"/>
      <c r="BI78" s="20"/>
      <c r="BJ78" s="49" t="e">
        <f>VLOOKUP("2P02-26-00-02",pareto,18,FALSE)</f>
        <v>#N/A</v>
      </c>
      <c r="BK78" s="43" t="str">
        <f>IFERROR(VLOOKUP("2P03-25-00-02",pareto,18,FALSE),"-")</f>
        <v>-</v>
      </c>
      <c r="BL78" s="20"/>
      <c r="BM78" s="20"/>
      <c r="BN78" s="20"/>
      <c r="BO78" s="49" t="str">
        <f>IFERROR(VLOOKUP("2P03-26-00-02",pareto,18,FALSE),"-")</f>
        <v>-</v>
      </c>
      <c r="BP78" s="43" t="str">
        <f>IFERROR(VLOOKUP("2P04-25-00-02",pareto,18,FALSE),"-")</f>
        <v>-</v>
      </c>
      <c r="BQ78" s="20"/>
      <c r="BR78" s="20"/>
      <c r="BS78" s="20"/>
      <c r="BT78" s="54" t="str">
        <f>IFERROR(VLOOKUP("2P04-26-00-02",pareto,18,FALSE),"-")</f>
        <v>-</v>
      </c>
      <c r="BU78" s="62" t="str">
        <f>IFERROR(VLOOKUP("2P05-25-00-02",pareto,18,FALSE),"-")</f>
        <v>-</v>
      </c>
      <c r="BV78" s="20"/>
      <c r="BW78" s="20"/>
      <c r="BX78" s="20"/>
      <c r="BY78" s="49" t="str">
        <f>IFERROR(VLOOKUP("2P05-26-00-02",pareto,18,FALSE),"-")</f>
        <v>-</v>
      </c>
      <c r="BZ78" s="62" t="str">
        <f>IFERROR(VLOOKUP("2P06-25-00-02",pareto,18,FALSE),"-")</f>
        <v>-</v>
      </c>
      <c r="CA78" s="20"/>
      <c r="CB78" s="20"/>
      <c r="CC78" s="20"/>
      <c r="CD78" s="49" t="str">
        <f>IFERROR(VLOOKUP("2P06-26-00-02",pareto,18,FALSE),"-")</f>
        <v>-</v>
      </c>
      <c r="CE78" s="62" t="str">
        <f>IFERROR(VLOOKUP("2P07-25-00-02",pareto,18,FALSE),"-")</f>
        <v>-</v>
      </c>
      <c r="CF78" s="20"/>
      <c r="CG78" s="20"/>
      <c r="CH78" s="20"/>
      <c r="CI78" s="49" t="str">
        <f>IFERROR(VLOOKUP("2P07-26-01-02",pareto,18,FALSE),"-")</f>
        <v>-</v>
      </c>
      <c r="CJ78" s="62" t="str">
        <f>IFERROR(VLOOKUP("2P08-25-01-02",pareto,18,FALSE),"-")</f>
        <v>-</v>
      </c>
      <c r="CK78" s="20"/>
      <c r="CL78" s="20"/>
      <c r="CM78" s="20"/>
      <c r="CN78" s="49" t="str">
        <f>IFERROR(VLOOKUP("2P08-26-01-02",pareto,18,FALSE),"-")</f>
        <v>-</v>
      </c>
      <c r="CO78" s="62" t="str">
        <f>IFERROR(VLOOKUP("2P09-25-01-02",pareto,18,FALSE),"-")</f>
        <v>-</v>
      </c>
      <c r="CP78" s="20"/>
      <c r="CQ78" s="20"/>
      <c r="CR78" s="20"/>
      <c r="CS78" s="54" t="str">
        <f>IFERROR(VLOOKUP("2P09-24-00-02",pareto,18,FALSE),"-")</f>
        <v>-</v>
      </c>
      <c r="CT78" s="19"/>
      <c r="CU78" s="20"/>
      <c r="CV78" s="20"/>
      <c r="CW78" s="20"/>
      <c r="CX78" s="20"/>
      <c r="CY78" s="20"/>
      <c r="CZ78" s="20"/>
      <c r="DA78" s="20"/>
      <c r="DB78" s="20"/>
      <c r="DC78" s="20"/>
      <c r="DD78" s="20"/>
      <c r="DE78" s="20"/>
      <c r="DF78" s="20"/>
      <c r="DG78" s="105"/>
      <c r="DH78" s="20"/>
      <c r="DI78" s="20"/>
      <c r="DJ78" s="20"/>
      <c r="DK78" s="105"/>
      <c r="DL78" s="207"/>
      <c r="DM78" s="20"/>
      <c r="DN78" s="20"/>
      <c r="DO78" s="20"/>
      <c r="DP78" s="105"/>
      <c r="DQ78" s="207"/>
      <c r="DR78" s="20"/>
      <c r="DS78" s="20"/>
      <c r="DT78" s="20"/>
      <c r="DU78" s="105"/>
      <c r="DV78" s="207"/>
      <c r="DW78" s="20"/>
      <c r="DX78" s="20"/>
      <c r="DY78" s="20"/>
      <c r="DZ78" s="105"/>
      <c r="EA78" s="207"/>
      <c r="EB78" s="20"/>
      <c r="EC78" s="20"/>
      <c r="ED78" s="20"/>
      <c r="EE78" s="105"/>
      <c r="EF78" s="207"/>
      <c r="EG78" s="20"/>
      <c r="EH78" s="20"/>
      <c r="EI78" s="20"/>
      <c r="EJ78" s="105"/>
      <c r="EK78" s="207"/>
      <c r="EL78" s="20"/>
      <c r="EM78" s="20"/>
      <c r="EN78" s="20"/>
      <c r="EO78" s="21"/>
      <c r="EP78" s="43" t="str">
        <f>IFERROR(VLOOKUP("4P01-25-00-02",pareto,18,FALSE),"-")</f>
        <v>-</v>
      </c>
      <c r="EQ78" s="20"/>
      <c r="ER78" s="20"/>
      <c r="ES78" s="20"/>
      <c r="ET78" s="49" t="str">
        <f>IFERROR(VLOOKUP("4P01-26-00-02",pareto,18,FALSE),"-")</f>
        <v>-</v>
      </c>
      <c r="EU78" s="62" t="str">
        <f>IFERROR(VLOOKUP("4P02-25-00-02",pareto,18,FALSE),"-")</f>
        <v>-</v>
      </c>
      <c r="EV78" s="20"/>
      <c r="EW78" s="20"/>
      <c r="EX78" s="20"/>
      <c r="EY78" s="49" t="str">
        <f>IFERROR(VLOOKUP("4P02-26-00-02",pareto,18,FALSE),"-")</f>
        <v>-</v>
      </c>
      <c r="EZ78" s="62" t="str">
        <f>IFERROR(VLOOKUP("4P03-25-00-02",pareto,18,FALSE),"-")</f>
        <v>-</v>
      </c>
      <c r="FA78" s="20"/>
      <c r="FB78" s="20"/>
      <c r="FC78" s="20"/>
      <c r="FD78" s="49" t="str">
        <f>IFERROR(VLOOKUP("4P03-26-00-02",pareto,18,FALSE),"-")</f>
        <v>-</v>
      </c>
      <c r="FE78" s="62" t="str">
        <f>IFERROR(VLOOKUP("4P04-25-00-02",pareto,18,FALSE),"-")</f>
        <v>-</v>
      </c>
      <c r="FF78" s="20"/>
      <c r="FG78" s="20"/>
      <c r="FH78" s="20"/>
      <c r="FI78" s="49" t="str">
        <f>IFERROR(VLOOKUP("4P04-26-00-02",pareto,18,FALSE),"-")</f>
        <v>-</v>
      </c>
      <c r="FJ78" s="62" t="str">
        <f>IFERROR(VLOOKUP("4P05-25-00-02",pareto,18,FALSE),"-")</f>
        <v>-</v>
      </c>
      <c r="FK78" s="20"/>
      <c r="FL78" s="20"/>
      <c r="FM78" s="20"/>
      <c r="FN78" s="49" t="str">
        <f>IFERROR(VLOOKUP("4P05-26-00-02",pareto,18,FALSE),"-")</f>
        <v>-</v>
      </c>
      <c r="FO78" s="62" t="str">
        <f>IFERROR(VLOOKUP("4P06-25-00-02",pareto,18,FALSE),"-")</f>
        <v>-</v>
      </c>
      <c r="FP78" s="20"/>
      <c r="FQ78" s="20"/>
      <c r="FR78" s="20"/>
      <c r="FS78" s="49" t="str">
        <f>IFERROR(VLOOKUP("4P06-26-00-02",pareto,18,FALSE),"-")</f>
        <v>-</v>
      </c>
      <c r="FT78" s="62" t="str">
        <f>IFERROR(VLOOKUP("4P07-25-00-02",pareto,18,FALSE),"-")</f>
        <v>-</v>
      </c>
      <c r="FU78" s="20"/>
      <c r="FV78" s="20"/>
      <c r="FW78" s="20"/>
      <c r="FX78" s="49" t="str">
        <f>IFERROR(VLOOKUP("4P07-26-00-02",pareto,18,FALSE),"-")</f>
        <v>-</v>
      </c>
      <c r="FY78" s="62" t="str">
        <f>IFERROR(VLOOKUP("4P08-25-00-02",pareto,18,FALSE),"-")</f>
        <v>-</v>
      </c>
      <c r="FZ78" s="20"/>
      <c r="GA78" s="20"/>
      <c r="GB78" s="20"/>
      <c r="GC78" s="49" t="str">
        <f>IFERROR(VLOOKUP("4P08-26-00-02",pareto,18,FALSE),"-")</f>
        <v>-</v>
      </c>
      <c r="GD78" s="62" t="str">
        <f>IFERROR(VLOOKUP("4P09-25-00-02",pareto,18,FALSE),"-")</f>
        <v>-</v>
      </c>
      <c r="GE78" s="20"/>
      <c r="GF78" s="20"/>
      <c r="GG78" s="20"/>
      <c r="GH78" s="49" t="str">
        <f>IFERROR(VLOOKUP("4P09-26-00-02",pareto,18,FALSE),"-")</f>
        <v>-</v>
      </c>
    </row>
    <row r="79" spans="3:190" ht="12" customHeight="1" thickTop="1" thickBot="1" x14ac:dyDescent="0.3">
      <c r="C79" s="270"/>
      <c r="D79" s="270"/>
      <c r="E79" s="270"/>
      <c r="F79" s="270"/>
      <c r="G79" s="270"/>
      <c r="H79" s="270"/>
      <c r="I79" s="270"/>
      <c r="J79" s="270"/>
      <c r="K79" s="270"/>
      <c r="L79" s="270"/>
      <c r="M79" s="270"/>
      <c r="N79" s="270"/>
      <c r="O79" s="270"/>
      <c r="P79" s="270"/>
      <c r="Q79" s="270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33"/>
      <c r="AX79" s="31"/>
      <c r="AY79" s="9"/>
      <c r="AZ79" s="17"/>
      <c r="BA79" s="107"/>
      <c r="BB79" s="20"/>
      <c r="BC79" s="20"/>
      <c r="BD79" s="20"/>
      <c r="BE79" s="111"/>
      <c r="BF79" s="42" t="str">
        <f>IFERROR(VLOOKUP("2P02-25-00-01",pareto,18,FALSE),"-")</f>
        <v>-</v>
      </c>
      <c r="BG79" s="20"/>
      <c r="BH79" s="20"/>
      <c r="BI79" s="20"/>
      <c r="BJ79" s="52" t="e">
        <f>VLOOKUP("2P02-26-00-01",pareto,18,FALSE)</f>
        <v>#N/A</v>
      </c>
      <c r="BK79" s="42" t="str">
        <f>IFERROR(VLOOKUP("2P03-25-00-01",pareto,18,FALSE),"-")</f>
        <v>-</v>
      </c>
      <c r="BL79" s="20"/>
      <c r="BM79" s="20"/>
      <c r="BN79" s="20"/>
      <c r="BO79" s="52" t="str">
        <f>IFERROR(VLOOKUP("2P03-26-00-01",pareto,18,FALSE),"-")</f>
        <v>-</v>
      </c>
      <c r="BP79" s="57" t="str">
        <f>IFERROR(VLOOKUP("2P04-25-00-01",pareto,18,FALSE),"-")</f>
        <v>-</v>
      </c>
      <c r="BQ79" s="20"/>
      <c r="BR79" s="20"/>
      <c r="BS79" s="20"/>
      <c r="BT79" s="55" t="str">
        <f>IFERROR(VLOOKUP("2P04-26-00-01",pareto,18,FALSE),"-")</f>
        <v>-</v>
      </c>
      <c r="BU79" s="42" t="str">
        <f>IFERROR(VLOOKUP("2P05-25-00-01",pareto,18,FALSE),"-")</f>
        <v>-</v>
      </c>
      <c r="BV79" s="20"/>
      <c r="BW79" s="20"/>
      <c r="BX79" s="20"/>
      <c r="BY79" s="58" t="str">
        <f>IFERROR(VLOOKUP("2P05-26-00-01",pareto,18,FALSE),"-")</f>
        <v>-</v>
      </c>
      <c r="BZ79" s="42" t="str">
        <f>IFERROR(VLOOKUP("2P06-25-00-01",pareto,18,FALSE),"-")</f>
        <v>-</v>
      </c>
      <c r="CA79" s="20"/>
      <c r="CB79" s="20"/>
      <c r="CC79" s="20"/>
      <c r="CD79" s="58" t="str">
        <f>IFERROR(VLOOKUP("2P06-26-00-01",pareto,18,FALSE),"-")</f>
        <v>-</v>
      </c>
      <c r="CE79" s="42" t="str">
        <f>IFERROR(VLOOKUP("2P07-25-00-01",pareto,18,FALSE),"-")</f>
        <v>-</v>
      </c>
      <c r="CF79" s="20"/>
      <c r="CG79" s="20"/>
      <c r="CH79" s="20"/>
      <c r="CI79" s="58" t="str">
        <f>IFERROR(VLOOKUP("2P07-26-01-01",pareto,18,FALSE),"-")</f>
        <v>-</v>
      </c>
      <c r="CJ79" s="42" t="str">
        <f>IFERROR(VLOOKUP("2P08-25-01-01",pareto,18,FALSE),"-")</f>
        <v>-</v>
      </c>
      <c r="CK79" s="20"/>
      <c r="CL79" s="20"/>
      <c r="CM79" s="20"/>
      <c r="CN79" s="58" t="str">
        <f>IFERROR(VLOOKUP("2P08-26-01-01",pareto,18,FALSE),"-")</f>
        <v>-</v>
      </c>
      <c r="CO79" s="42" t="str">
        <f>IFERROR(VLOOKUP("2P09-25-01-01",pareto,18,FALSE),"-")</f>
        <v>-</v>
      </c>
      <c r="CP79" s="20"/>
      <c r="CQ79" s="20"/>
      <c r="CR79" s="20"/>
      <c r="CS79" s="52" t="str">
        <f>IFERROR(VLOOKUP("2P09-24-00-01",pareto,18,FALSE),"-")</f>
        <v>-</v>
      </c>
      <c r="CT79" s="19"/>
      <c r="CU79" s="20"/>
      <c r="CV79" s="20"/>
      <c r="CW79" s="20"/>
      <c r="CX79" s="20"/>
      <c r="CY79" s="20"/>
      <c r="CZ79" s="20"/>
      <c r="DA79" s="20"/>
      <c r="DB79" s="20"/>
      <c r="DC79" s="20"/>
      <c r="DD79" s="20"/>
      <c r="DE79" s="20"/>
      <c r="DF79" s="20"/>
      <c r="DG79" s="107"/>
      <c r="DH79" s="20"/>
      <c r="DI79" s="20"/>
      <c r="DJ79" s="20"/>
      <c r="DK79" s="107"/>
      <c r="DL79" s="205"/>
      <c r="DM79" s="20"/>
      <c r="DN79" s="20"/>
      <c r="DO79" s="20"/>
      <c r="DP79" s="107"/>
      <c r="DQ79" s="205"/>
      <c r="DR79" s="20"/>
      <c r="DS79" s="20"/>
      <c r="DT79" s="20"/>
      <c r="DU79" s="107"/>
      <c r="DV79" s="205"/>
      <c r="DW79" s="20"/>
      <c r="DX79" s="20"/>
      <c r="DY79" s="20"/>
      <c r="DZ79" s="107"/>
      <c r="EA79" s="205"/>
      <c r="EB79" s="20"/>
      <c r="EC79" s="20"/>
      <c r="ED79" s="20"/>
      <c r="EE79" s="107"/>
      <c r="EF79" s="205"/>
      <c r="EG79" s="20"/>
      <c r="EH79" s="20"/>
      <c r="EI79" s="20"/>
      <c r="EJ79" s="107"/>
      <c r="EK79" s="205"/>
      <c r="EL79" s="20"/>
      <c r="EM79" s="20"/>
      <c r="EN79" s="20"/>
      <c r="EO79" s="21"/>
      <c r="EP79" s="42" t="str">
        <f>IFERROR(VLOOKUP("4P01-25-00-01",pareto,18,FALSE),"-")</f>
        <v>-</v>
      </c>
      <c r="EQ79" s="20"/>
      <c r="ER79" s="20"/>
      <c r="ES79" s="20"/>
      <c r="ET79" s="58" t="str">
        <f>IFERROR(VLOOKUP("4P01-26-00-01",pareto,18,FALSE),"-")</f>
        <v>-</v>
      </c>
      <c r="EU79" s="42" t="str">
        <f>IFERROR(VLOOKUP("4P02-25-00-01",pareto,18,FALSE),"-")</f>
        <v>-</v>
      </c>
      <c r="EV79" s="20"/>
      <c r="EW79" s="20"/>
      <c r="EX79" s="20"/>
      <c r="EY79" s="58" t="str">
        <f>IFERROR(VLOOKUP("4P02-26-00-01",pareto,18,FALSE),"-")</f>
        <v>-</v>
      </c>
      <c r="EZ79" s="42" t="str">
        <f>IFERROR(VLOOKUP("4P03-25-00-01",pareto,18,FALSE),"-")</f>
        <v>-</v>
      </c>
      <c r="FA79" s="20"/>
      <c r="FB79" s="20"/>
      <c r="FC79" s="20"/>
      <c r="FD79" s="58" t="str">
        <f>IFERROR(VLOOKUP("4P03-26-00-01",pareto,18,FALSE),"-")</f>
        <v>-</v>
      </c>
      <c r="FE79" s="42" t="str">
        <f>IFERROR(VLOOKUP("4P04-25-00-01",pareto,18,FALSE),"-")</f>
        <v>-</v>
      </c>
      <c r="FF79" s="20"/>
      <c r="FG79" s="20"/>
      <c r="FH79" s="20"/>
      <c r="FI79" s="58" t="str">
        <f>IFERROR(VLOOKUP("4P04-26-00-01",pareto,18,FALSE),"-")</f>
        <v>-</v>
      </c>
      <c r="FJ79" s="42" t="str">
        <f>IFERROR(VLOOKUP("4P05-25-00-01",pareto,18,FALSE),"-")</f>
        <v>-</v>
      </c>
      <c r="FK79" s="20"/>
      <c r="FL79" s="20"/>
      <c r="FM79" s="20"/>
      <c r="FN79" s="58" t="str">
        <f>IFERROR(VLOOKUP("4P05-26-00-01",pareto,18,FALSE),"-")</f>
        <v>-</v>
      </c>
      <c r="FO79" s="42" t="str">
        <f>IFERROR(VLOOKUP("4P06-25-00-01",pareto,18,FALSE),"-")</f>
        <v>-</v>
      </c>
      <c r="FP79" s="20"/>
      <c r="FQ79" s="20"/>
      <c r="FR79" s="20"/>
      <c r="FS79" s="58" t="str">
        <f>IFERROR(VLOOKUP("4P06-26-00-01",pareto,18,FALSE),"-")</f>
        <v>-</v>
      </c>
      <c r="FT79" s="42" t="str">
        <f>IFERROR(VLOOKUP("4P07-25-00-01",pareto,18,FALSE),"-")</f>
        <v>-</v>
      </c>
      <c r="FU79" s="20"/>
      <c r="FV79" s="20"/>
      <c r="FW79" s="20"/>
      <c r="FX79" s="58" t="str">
        <f>IFERROR(VLOOKUP("4P07-26-00-01",pareto,18,FALSE),"-")</f>
        <v>-</v>
      </c>
      <c r="FY79" s="42" t="str">
        <f>IFERROR(VLOOKUP("4P08-25-00-01",pareto,18,FALSE),"-")</f>
        <v>-</v>
      </c>
      <c r="FZ79" s="20"/>
      <c r="GA79" s="20"/>
      <c r="GB79" s="20"/>
      <c r="GC79" s="58" t="str">
        <f>IFERROR(VLOOKUP("4P08-26-00-01",pareto,18,FALSE),"-")</f>
        <v>-</v>
      </c>
      <c r="GD79" s="42" t="str">
        <f>IFERROR(VLOOKUP("4P09-25-00-01",pareto,18,FALSE),"-")</f>
        <v>-</v>
      </c>
      <c r="GE79" s="20"/>
      <c r="GF79" s="20"/>
      <c r="GG79" s="20"/>
      <c r="GH79" s="58" t="str">
        <f>IFERROR(VLOOKUP("4P09-26-00-01",pareto,18,FALSE),"-")</f>
        <v>-</v>
      </c>
    </row>
    <row r="80" spans="3:190" ht="12" customHeight="1" thickTop="1" thickBot="1" x14ac:dyDescent="0.3">
      <c r="C80" s="270"/>
      <c r="D80" s="270"/>
      <c r="E80" s="270"/>
      <c r="F80" s="270"/>
      <c r="G80" s="270"/>
      <c r="H80" s="270"/>
      <c r="I80" s="270"/>
      <c r="J80" s="270"/>
      <c r="K80" s="270"/>
      <c r="L80" s="270"/>
      <c r="M80" s="270"/>
      <c r="N80" s="270"/>
      <c r="O80" s="270"/>
      <c r="P80" s="270"/>
      <c r="Q80" s="270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34"/>
      <c r="AX80" s="31"/>
      <c r="AY80" s="9"/>
      <c r="AZ80" s="35"/>
      <c r="BA80" s="103"/>
      <c r="BB80" s="20"/>
      <c r="BC80" s="20"/>
      <c r="BD80" s="20"/>
      <c r="BE80" s="109"/>
      <c r="BF80" s="44" t="str">
        <f>IFERROR(VLOOKUP("2P02-23-00-03",pareto,18,FALSE),"-")</f>
        <v>-</v>
      </c>
      <c r="BG80" s="20"/>
      <c r="BH80" s="20"/>
      <c r="BI80" s="20"/>
      <c r="BJ80" s="48" t="e">
        <f>VLOOKUP("2P02-24-00-03",pareto,18,FALSE)</f>
        <v>#N/A</v>
      </c>
      <c r="BK80" s="40" t="str">
        <f>IFERROR(VLOOKUP("2P03-23-00-03",pareto,18,FALSE),"-")</f>
        <v>-</v>
      </c>
      <c r="BL80" s="20"/>
      <c r="BM80" s="20"/>
      <c r="BN80" s="20"/>
      <c r="BO80" s="58" t="str">
        <f>IFERROR(VLOOKUP("2P03-24-00-03",pareto,18,FALSE),"-")</f>
        <v>-</v>
      </c>
      <c r="BP80" s="59" t="str">
        <f>IFERROR(VLOOKUP("2P04-23-00-03",pareto,18,FALSE),"-")</f>
        <v>-</v>
      </c>
      <c r="BQ80" s="20"/>
      <c r="BR80" s="20"/>
      <c r="BS80" s="20"/>
      <c r="BT80" s="63" t="str">
        <f>IFERROR(VLOOKUP("2P04-24-00-03",pareto,18,FALSE),"-")</f>
        <v>-</v>
      </c>
      <c r="BU80" s="40" t="str">
        <f>IFERROR(VLOOKUP("2P05-23-00-03",pareto,18,FALSE),"-")</f>
        <v>-</v>
      </c>
      <c r="BV80" s="20"/>
      <c r="BW80" s="20"/>
      <c r="BX80" s="20"/>
      <c r="BY80" s="48" t="str">
        <f>IFERROR(VLOOKUP("2P05-24-00-03",pareto,18,FALSE),"-")</f>
        <v>-</v>
      </c>
      <c r="BZ80" s="40" t="str">
        <f>IFERROR(VLOOKUP("2P06-23-00-03",pareto,18,FALSE),"-")</f>
        <v>-</v>
      </c>
      <c r="CA80" s="20"/>
      <c r="CB80" s="20"/>
      <c r="CC80" s="20"/>
      <c r="CD80" s="48" t="str">
        <f>IFERROR(VLOOKUP("2P06-24-00-03",pareto,18,FALSE),"-")</f>
        <v>-</v>
      </c>
      <c r="CE80" s="40" t="str">
        <f>IFERROR(VLOOKUP("2P07-23-00-03",pareto,18,FALSE),"-")</f>
        <v>-</v>
      </c>
      <c r="CF80" s="20"/>
      <c r="CG80" s="20"/>
      <c r="CH80" s="20"/>
      <c r="CI80" s="48" t="str">
        <f>IFERROR(VLOOKUP("2P07-24-01-03",pareto,18,FALSE),"-")</f>
        <v>-</v>
      </c>
      <c r="CJ80" s="40" t="str">
        <f>IFERROR(VLOOKUP("2P08-23-01-03",pareto,18,FALSE),"-")</f>
        <v>-</v>
      </c>
      <c r="CK80" s="20"/>
      <c r="CL80" s="20"/>
      <c r="CM80" s="20"/>
      <c r="CN80" s="48" t="str">
        <f>IFERROR(VLOOKUP("2P08-24-01-03",pareto,18,FALSE),"-")</f>
        <v>-</v>
      </c>
      <c r="CO80" s="40" t="str">
        <f>IFERROR(VLOOKUP("2P09-23-01-03",pareto,18,FALSE),"-")</f>
        <v>-</v>
      </c>
      <c r="CP80" s="20"/>
      <c r="CQ80" s="20"/>
      <c r="CR80" s="20"/>
      <c r="CS80" s="48" t="str">
        <f>IFERROR(VLOOKUP("2P09-22-00-03",pareto,18,FALSE),"-")</f>
        <v>-</v>
      </c>
      <c r="CT80" s="19"/>
      <c r="CU80" s="20"/>
      <c r="CV80" s="20"/>
      <c r="CW80" s="20"/>
      <c r="CX80" s="20"/>
      <c r="CY80" s="20"/>
      <c r="CZ80" s="20"/>
      <c r="DA80" s="20"/>
      <c r="DB80" s="20"/>
      <c r="DC80" s="20"/>
      <c r="DD80" s="20"/>
      <c r="DE80" s="20"/>
      <c r="DF80" s="20"/>
      <c r="DG80" s="103"/>
      <c r="DH80" s="20"/>
      <c r="DI80" s="20"/>
      <c r="DJ80" s="20"/>
      <c r="DK80" s="103"/>
      <c r="DL80" s="83"/>
      <c r="DM80" s="20"/>
      <c r="DN80" s="20"/>
      <c r="DO80" s="20"/>
      <c r="DP80" s="103"/>
      <c r="DQ80" s="206"/>
      <c r="DR80" s="20"/>
      <c r="DS80" s="20"/>
      <c r="DT80" s="20"/>
      <c r="DU80" s="103"/>
      <c r="DV80" s="206"/>
      <c r="DW80" s="20"/>
      <c r="DX80" s="20"/>
      <c r="DY80" s="20"/>
      <c r="DZ80" s="103"/>
      <c r="EA80" s="206"/>
      <c r="EB80" s="20"/>
      <c r="EC80" s="20"/>
      <c r="ED80" s="20"/>
      <c r="EE80" s="103"/>
      <c r="EF80" s="83"/>
      <c r="EG80" s="20"/>
      <c r="EH80" s="20"/>
      <c r="EI80" s="20"/>
      <c r="EJ80" s="103"/>
      <c r="EK80" s="206"/>
      <c r="EL80" s="20"/>
      <c r="EM80" s="20"/>
      <c r="EN80" s="20"/>
      <c r="EO80" s="216"/>
      <c r="EP80" s="44" t="str">
        <f>IFERROR(VLOOKUP("4P01-23-00-03",pareto,18,FALSE),"-")</f>
        <v>-</v>
      </c>
      <c r="EQ80" s="20"/>
      <c r="ER80" s="20"/>
      <c r="ES80" s="20"/>
      <c r="ET80" s="48" t="str">
        <f>IFERROR(VLOOKUP("4P01-24-00-03",pareto,18,FALSE),"-")</f>
        <v>-</v>
      </c>
      <c r="EU80" s="40" t="str">
        <f>IFERROR(VLOOKUP("4P02-23-00-03",pareto,18,FALSE),"-")</f>
        <v>-</v>
      </c>
      <c r="EV80" s="20"/>
      <c r="EW80" s="20"/>
      <c r="EX80" s="20"/>
      <c r="EY80" s="48" t="str">
        <f>IFERROR(VLOOKUP("4P02-24-00-03",pareto,18,FALSE),"-")</f>
        <v>-</v>
      </c>
      <c r="EZ80" s="40" t="str">
        <f>IFERROR(VLOOKUP("4P03-23-00-03",pareto,18,FALSE),"-")</f>
        <v>-</v>
      </c>
      <c r="FA80" s="20"/>
      <c r="FB80" s="20"/>
      <c r="FC80" s="20"/>
      <c r="FD80" s="48" t="str">
        <f>IFERROR(VLOOKUP("4P03-24-00-03",pareto,18,FALSE),"-")</f>
        <v>-</v>
      </c>
      <c r="FE80" s="40" t="str">
        <f>IFERROR(VLOOKUP("4P04-23-00-03",pareto,18,FALSE),"-")</f>
        <v>-</v>
      </c>
      <c r="FF80" s="20"/>
      <c r="FG80" s="20"/>
      <c r="FH80" s="20"/>
      <c r="FI80" s="48" t="str">
        <f>IFERROR(VLOOKUP("4P04-24-00-03",pareto,18,FALSE),"-")</f>
        <v>-</v>
      </c>
      <c r="FJ80" s="40" t="str">
        <f>IFERROR(VLOOKUP("4P05-23-00-03",pareto,18,FALSE),"-")</f>
        <v>-</v>
      </c>
      <c r="FK80" s="20"/>
      <c r="FL80" s="20"/>
      <c r="FM80" s="20"/>
      <c r="FN80" s="48" t="str">
        <f>IFERROR(VLOOKUP("4P05-24-00-03",pareto,18,FALSE),"-")</f>
        <v>-</v>
      </c>
      <c r="FO80" s="40" t="str">
        <f>IFERROR(VLOOKUP("4P06-23-00-03",pareto,18,FALSE),"-")</f>
        <v>-</v>
      </c>
      <c r="FP80" s="20"/>
      <c r="FQ80" s="20"/>
      <c r="FR80" s="20"/>
      <c r="FS80" s="48" t="str">
        <f>IFERROR(VLOOKUP("4P06-24-00-03",pareto,18,FALSE),"-")</f>
        <v>-</v>
      </c>
      <c r="FT80" s="40" t="str">
        <f>IFERROR(VLOOKUP("4P07-23-00-03",pareto,18,FALSE),"-")</f>
        <v>-</v>
      </c>
      <c r="FU80" s="20"/>
      <c r="FV80" s="20"/>
      <c r="FW80" s="20"/>
      <c r="FX80" s="48" t="str">
        <f>IFERROR(VLOOKUP("4P07-24-00-03",pareto,18,FALSE),"-")</f>
        <v>-</v>
      </c>
      <c r="FY80" s="40" t="str">
        <f>IFERROR(VLOOKUP("4P08-23-00-03",pareto,18,FALSE),"-")</f>
        <v>-</v>
      </c>
      <c r="FZ80" s="20"/>
      <c r="GA80" s="20"/>
      <c r="GB80" s="20"/>
      <c r="GC80" s="48" t="str">
        <f>IFERROR(VLOOKUP("4P08-24-00-03",pareto,18,FALSE),"-")</f>
        <v>-</v>
      </c>
      <c r="GD80" s="40" t="str">
        <f>IFERROR(VLOOKUP("4P09-23-00-03",pareto,18,FALSE),"-")</f>
        <v>-</v>
      </c>
      <c r="GE80" s="20"/>
      <c r="GF80" s="20"/>
      <c r="GG80" s="20"/>
      <c r="GH80" s="48" t="str">
        <f>IFERROR(VLOOKUP("4P09-24-00-03",pareto,18,FALSE),"-")</f>
        <v>-</v>
      </c>
    </row>
    <row r="81" spans="3:190" ht="12" customHeight="1" thickTop="1" thickBot="1" x14ac:dyDescent="0.3">
      <c r="C81" s="270"/>
      <c r="D81" s="270"/>
      <c r="E81" s="270"/>
      <c r="F81" s="270"/>
      <c r="G81" s="270"/>
      <c r="H81" s="270"/>
      <c r="I81" s="270"/>
      <c r="J81" s="270"/>
      <c r="K81" s="270"/>
      <c r="L81" s="270"/>
      <c r="M81" s="270"/>
      <c r="N81" s="270"/>
      <c r="O81" s="270"/>
      <c r="P81" s="270"/>
      <c r="Q81" s="270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32"/>
      <c r="AX81" s="9"/>
      <c r="AY81" s="9"/>
      <c r="AZ81" s="36"/>
      <c r="BA81" s="105"/>
      <c r="BB81" s="20"/>
      <c r="BC81" s="20"/>
      <c r="BD81" s="20"/>
      <c r="BE81" s="110"/>
      <c r="BF81" s="45" t="str">
        <f>IFERROR(VLOOKUP("2P02-23-00-02",pareto,18,FALSE),"-")</f>
        <v>-</v>
      </c>
      <c r="BG81" s="113"/>
      <c r="BH81" s="20"/>
      <c r="BI81" s="20"/>
      <c r="BJ81" s="49" t="e">
        <f>VLOOKUP("2P02-24-00-02",pareto,18,FALSE)</f>
        <v>#N/A</v>
      </c>
      <c r="BK81" s="43" t="str">
        <f>IFERROR(VLOOKUP("2P03-23-00-02",pareto,18,FALSE),"-")</f>
        <v>-</v>
      </c>
      <c r="BL81" s="20"/>
      <c r="BM81" s="20"/>
      <c r="BN81" s="20"/>
      <c r="BO81" s="49" t="str">
        <f>IFERROR(VLOOKUP("2P03-24-00-02",pareto,18,FALSE),"-")</f>
        <v>-</v>
      </c>
      <c r="BP81" s="43" t="str">
        <f>IFERROR(VLOOKUP("2P04-23-00-02",pareto,18,FALSE),"-")</f>
        <v>-</v>
      </c>
      <c r="BQ81" s="20"/>
      <c r="BR81" s="20"/>
      <c r="BS81" s="20"/>
      <c r="BT81" s="49" t="str">
        <f>IFERROR(VLOOKUP("2P04-24-00-02",pareto,18,FALSE),"-")</f>
        <v>-</v>
      </c>
      <c r="BU81" s="43" t="str">
        <f>IFERROR(VLOOKUP("2P05-23-00-02",pareto,18,FALSE),"-")</f>
        <v>-</v>
      </c>
      <c r="BV81" s="20"/>
      <c r="BW81" s="20"/>
      <c r="BX81" s="20"/>
      <c r="BY81" s="49" t="str">
        <f>IFERROR(VLOOKUP("2P05-24-00-02",pareto,18,FALSE),"-")</f>
        <v>-</v>
      </c>
      <c r="BZ81" s="43" t="str">
        <f>IFERROR(VLOOKUP("2P06-23-00-02",pareto,18,FALSE),"-")</f>
        <v>-</v>
      </c>
      <c r="CA81" s="20"/>
      <c r="CB81" s="20"/>
      <c r="CC81" s="20"/>
      <c r="CD81" s="54" t="str">
        <f>IFERROR(VLOOKUP("2P06-24-00-02",pareto,18,FALSE),"-")</f>
        <v>-</v>
      </c>
      <c r="CE81" s="43" t="str">
        <f>IFERROR(VLOOKUP("2P07-23-00-02",pareto,18,FALSE),"-")</f>
        <v>-</v>
      </c>
      <c r="CF81" s="20"/>
      <c r="CG81" s="20"/>
      <c r="CH81" s="20"/>
      <c r="CI81" s="54" t="str">
        <f>IFERROR(VLOOKUP("2P07-24-01-02",pareto,18,FALSE),"-")</f>
        <v>-</v>
      </c>
      <c r="CJ81" s="43" t="str">
        <f>IFERROR(VLOOKUP("2P08-23-01-02",pareto,18,FALSE),"-")</f>
        <v>-</v>
      </c>
      <c r="CK81" s="20"/>
      <c r="CL81" s="20"/>
      <c r="CM81" s="20"/>
      <c r="CN81" s="54" t="str">
        <f>IFERROR(VLOOKUP("2P08-24-01-02",pareto,18,FALSE),"-")</f>
        <v>-</v>
      </c>
      <c r="CO81" s="43" t="str">
        <f>IFERROR(VLOOKUP("2P09-23-01-02",pareto,18,FALSE),"-")</f>
        <v>-</v>
      </c>
      <c r="CP81" s="20"/>
      <c r="CQ81" s="20"/>
      <c r="CR81" s="20"/>
      <c r="CS81" s="49" t="str">
        <f>IFERROR(VLOOKUP("2P09-22-00-02",pareto,18,FALSE),"-")</f>
        <v>-</v>
      </c>
      <c r="CT81" s="19"/>
      <c r="CU81" s="20"/>
      <c r="CV81" s="20"/>
      <c r="CW81" s="20"/>
      <c r="CX81" s="20"/>
      <c r="CY81" s="20"/>
      <c r="CZ81" s="20"/>
      <c r="DA81" s="20"/>
      <c r="DB81" s="20"/>
      <c r="DC81" s="20"/>
      <c r="DD81" s="20"/>
      <c r="DE81" s="20"/>
      <c r="DF81" s="20"/>
      <c r="DG81" s="105"/>
      <c r="DH81" s="20"/>
      <c r="DI81" s="20"/>
      <c r="DJ81" s="20"/>
      <c r="DK81" s="105"/>
      <c r="DL81" s="114" t="s">
        <v>103</v>
      </c>
      <c r="DM81" s="20"/>
      <c r="DN81" s="20"/>
      <c r="DO81" s="20"/>
      <c r="DP81" s="105"/>
      <c r="DQ81" s="207"/>
      <c r="DR81" s="20"/>
      <c r="DS81" s="20"/>
      <c r="DT81" s="20"/>
      <c r="DU81" s="105"/>
      <c r="DV81" s="207"/>
      <c r="DW81" s="20"/>
      <c r="DX81" s="20"/>
      <c r="DY81" s="20"/>
      <c r="DZ81" s="105"/>
      <c r="EA81" s="207"/>
      <c r="EB81" s="20"/>
      <c r="EC81" s="20"/>
      <c r="ED81" s="20"/>
      <c r="EE81" s="105"/>
      <c r="EF81" s="114" t="s">
        <v>103</v>
      </c>
      <c r="EG81" s="20"/>
      <c r="EH81" s="20"/>
      <c r="EI81" s="20"/>
      <c r="EJ81" s="105"/>
      <c r="EK81" s="207"/>
      <c r="EL81" s="20"/>
      <c r="EM81" s="20"/>
      <c r="EN81" s="20"/>
      <c r="EO81" s="207"/>
      <c r="EP81" s="45" t="str">
        <f>IFERROR(VLOOKUP("4P01-23-00-02",pareto,18,FALSE),"-")</f>
        <v>-</v>
      </c>
      <c r="EQ81" s="113"/>
      <c r="ER81" s="20"/>
      <c r="ES81" s="20"/>
      <c r="ET81" s="49" t="str">
        <f>IFERROR(VLOOKUP("4P01-24-00-02",pareto,18,FALSE),"-")</f>
        <v>-</v>
      </c>
      <c r="EU81" s="43" t="str">
        <f>IFERROR(VLOOKUP("4P02-23-00-02",pareto,18,FALSE),"-")</f>
        <v>-</v>
      </c>
      <c r="EV81" s="20"/>
      <c r="EW81" s="20"/>
      <c r="EX81" s="20"/>
      <c r="EY81" s="49" t="str">
        <f>IFERROR(VLOOKUP("4P02-24-00-02",pareto,18,FALSE),"-")</f>
        <v>-</v>
      </c>
      <c r="EZ81" s="43" t="str">
        <f>IFERROR(VLOOKUP("4P03-23-00-02",pareto,18,FALSE),"-")</f>
        <v>-</v>
      </c>
      <c r="FA81" s="20"/>
      <c r="FB81" s="20"/>
      <c r="FC81" s="20"/>
      <c r="FD81" s="49" t="str">
        <f>IFERROR(VLOOKUP("4P03-24-00-02",pareto,18,FALSE),"-")</f>
        <v>-</v>
      </c>
      <c r="FE81" s="43" t="str">
        <f>IFERROR(VLOOKUP("4P04-23-00-02",pareto,18,FALSE),"-")</f>
        <v>-</v>
      </c>
      <c r="FF81" s="20"/>
      <c r="FG81" s="20"/>
      <c r="FH81" s="20"/>
      <c r="FI81" s="49" t="str">
        <f>IFERROR(VLOOKUP("4P04-24-00-02",pareto,18,FALSE),"-")</f>
        <v>-</v>
      </c>
      <c r="FJ81" s="43" t="str">
        <f>IFERROR(VLOOKUP("4P05-23-00-02",pareto,18,FALSE),"-")</f>
        <v>-</v>
      </c>
      <c r="FK81" s="20"/>
      <c r="FL81" s="20"/>
      <c r="FM81" s="20"/>
      <c r="FN81" s="49" t="str">
        <f>IFERROR(VLOOKUP("4P05-24-00-02",pareto,18,FALSE),"-")</f>
        <v>-</v>
      </c>
      <c r="FO81" s="43" t="str">
        <f>IFERROR(VLOOKUP("4P06-23-00-02",pareto,18,FALSE),"-")</f>
        <v>-</v>
      </c>
      <c r="FP81" s="20"/>
      <c r="FQ81" s="20"/>
      <c r="FR81" s="20"/>
      <c r="FS81" s="49" t="str">
        <f>IFERROR(VLOOKUP("4P06-24-00-02",pareto,18,FALSE),"-")</f>
        <v>-</v>
      </c>
      <c r="FT81" s="43" t="str">
        <f>IFERROR(VLOOKUP("4P07-23-00-02",pareto,18,FALSE),"-")</f>
        <v>-</v>
      </c>
      <c r="FU81" s="20"/>
      <c r="FV81" s="20"/>
      <c r="FW81" s="20"/>
      <c r="FX81" s="49" t="str">
        <f>IFERROR(VLOOKUP("4P07-24-00-02",pareto,18,FALSE),"-")</f>
        <v>-</v>
      </c>
      <c r="FY81" s="43" t="str">
        <f>IFERROR(VLOOKUP("4P08-23-00-02",pareto,18,FALSE),"-")</f>
        <v>-</v>
      </c>
      <c r="FZ81" s="20"/>
      <c r="GA81" s="20"/>
      <c r="GB81" s="20"/>
      <c r="GC81" s="49" t="str">
        <f>IFERROR(VLOOKUP("4P08-24-00-02",pareto,18,FALSE),"-")</f>
        <v>-</v>
      </c>
      <c r="GD81" s="43" t="str">
        <f>IFERROR(VLOOKUP("4P09-23-00-02",pareto,18,FALSE),"-")</f>
        <v>-</v>
      </c>
      <c r="GE81" s="20"/>
      <c r="GF81" s="20"/>
      <c r="GG81" s="20"/>
      <c r="GH81" s="49" t="str">
        <f>IFERROR(VLOOKUP("4P09-24-00-02",pareto,18,FALSE),"-")</f>
        <v>-</v>
      </c>
    </row>
    <row r="82" spans="3:190" ht="12" customHeight="1" thickTop="1" thickBot="1" x14ac:dyDescent="0.3">
      <c r="C82" s="270"/>
      <c r="D82" s="270"/>
      <c r="E82" s="270"/>
      <c r="F82" s="270"/>
      <c r="G82" s="270"/>
      <c r="H82" s="270"/>
      <c r="I82" s="270"/>
      <c r="J82" s="270"/>
      <c r="K82" s="270"/>
      <c r="L82" s="270"/>
      <c r="M82" s="270"/>
      <c r="N82" s="270"/>
      <c r="O82" s="270"/>
      <c r="P82" s="270"/>
      <c r="Q82" s="270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33"/>
      <c r="AX82" s="9"/>
      <c r="AY82" s="9"/>
      <c r="AZ82" s="37"/>
      <c r="BA82" s="107"/>
      <c r="BB82" s="20"/>
      <c r="BC82" s="20"/>
      <c r="BD82" s="20"/>
      <c r="BE82" s="111"/>
      <c r="BF82" s="42" t="str">
        <f>IFERROR(VLOOKUP("2P02-23-00-01",pareto,18,FALSE),"-")</f>
        <v>-</v>
      </c>
      <c r="BG82" s="20"/>
      <c r="BH82" s="20"/>
      <c r="BI82" s="20"/>
      <c r="BJ82" s="52" t="e">
        <f>VLOOKUP("2P02-24-00-01",pareto,18,FALSE)</f>
        <v>#N/A</v>
      </c>
      <c r="BK82" s="42" t="str">
        <f>IFERROR(VLOOKUP("2P03-23-00-01",pareto,18,FALSE),"-")</f>
        <v>-</v>
      </c>
      <c r="BL82" s="20"/>
      <c r="BM82" s="20"/>
      <c r="BN82" s="20"/>
      <c r="BO82" s="58" t="str">
        <f>IFERROR(VLOOKUP("2P03-24-00-01",pareto,18,FALSE),"-")</f>
        <v>-</v>
      </c>
      <c r="BP82" s="42" t="str">
        <f>IFERROR(VLOOKUP("2P04-23-00-01",18,FALSE),"-")</f>
        <v>-</v>
      </c>
      <c r="BQ82" s="20"/>
      <c r="BR82" s="20"/>
      <c r="BS82" s="20"/>
      <c r="BT82" s="58" t="str">
        <f>IFERROR(VLOOKUP("2P04-24-00-01",pareto,18,FALSE),"-")</f>
        <v>-</v>
      </c>
      <c r="BU82" s="42" t="str">
        <f>IFERROR(VLOOKUP("2P05-23-00-01",pareto,18,FALSE),"-")</f>
        <v>-</v>
      </c>
      <c r="BV82" s="20"/>
      <c r="BW82" s="20"/>
      <c r="BX82" s="20"/>
      <c r="BY82" s="58" t="str">
        <f>IFERROR(VLOOKUP("2P05-24-00-01",pareto,18,FALSE),"-")</f>
        <v>-</v>
      </c>
      <c r="BZ82" s="42" t="str">
        <f>IFERROR(VLOOKUP("2P06-23-00-01",pareto,18,FALSE),"-")</f>
        <v>-</v>
      </c>
      <c r="CA82" s="20"/>
      <c r="CB82" s="20"/>
      <c r="CC82" s="20"/>
      <c r="CD82" s="52" t="str">
        <f>IFERROR(VLOOKUP("2P06-24-00-01",pareto,18,FALSE),"-")</f>
        <v>-</v>
      </c>
      <c r="CE82" s="42" t="str">
        <f>IFERROR(VLOOKUP("2P07-23-00-01",pareto,18,FALSE),"-")</f>
        <v>-</v>
      </c>
      <c r="CF82" s="20"/>
      <c r="CG82" s="20"/>
      <c r="CH82" s="20"/>
      <c r="CI82" s="52" t="str">
        <f>IFERROR(VLOOKUP("2P07-24-01-01",pareto,18,FALSE),"-")</f>
        <v>-</v>
      </c>
      <c r="CJ82" s="42" t="str">
        <f>IFERROR(VLOOKUP("2P08-23-01-01",pareto,18,FALSE),"-")</f>
        <v>-</v>
      </c>
      <c r="CK82" s="20"/>
      <c r="CL82" s="20"/>
      <c r="CM82" s="20"/>
      <c r="CN82" s="52" t="str">
        <f>IFERROR(VLOOKUP("2P08-24-01-01",pareto,18,FALSE),"-")</f>
        <v>-</v>
      </c>
      <c r="CO82" s="42" t="str">
        <f>IFERROR(VLOOKUP("2P09-23-01-01",pareto,18,FALSE),"-")</f>
        <v>-</v>
      </c>
      <c r="CP82" s="20"/>
      <c r="CQ82" s="20"/>
      <c r="CR82" s="20"/>
      <c r="CS82" s="52" t="str">
        <f>IFERROR(VLOOKUP("2P09-22-00-01",pareto,18,FALSE),"-")</f>
        <v>-</v>
      </c>
      <c r="CT82" s="19"/>
      <c r="CU82" s="20"/>
      <c r="CV82" s="20"/>
      <c r="CW82" s="20"/>
      <c r="CX82" s="20"/>
      <c r="CY82" s="20"/>
      <c r="CZ82" s="20"/>
      <c r="DA82" s="20"/>
      <c r="DB82" s="20"/>
      <c r="DC82" s="20"/>
      <c r="DD82" s="20"/>
      <c r="DE82" s="20"/>
      <c r="DF82" s="20"/>
      <c r="DG82" s="107"/>
      <c r="DH82" s="20"/>
      <c r="DI82" s="20"/>
      <c r="DJ82" s="20"/>
      <c r="DK82" s="107"/>
      <c r="DL82" s="205"/>
      <c r="DM82" s="20"/>
      <c r="DN82" s="20"/>
      <c r="DO82" s="20"/>
      <c r="DP82" s="107"/>
      <c r="DQ82" s="205"/>
      <c r="DR82" s="20"/>
      <c r="DS82" s="20"/>
      <c r="DT82" s="20"/>
      <c r="DU82" s="107"/>
      <c r="DV82" s="205"/>
      <c r="DW82" s="20"/>
      <c r="DX82" s="20"/>
      <c r="DY82" s="20"/>
      <c r="DZ82" s="107"/>
      <c r="EA82" s="205"/>
      <c r="EB82" s="20"/>
      <c r="EC82" s="20"/>
      <c r="ED82" s="20"/>
      <c r="EE82" s="107"/>
      <c r="EF82" s="205"/>
      <c r="EG82" s="20"/>
      <c r="EH82" s="20"/>
      <c r="EI82" s="20"/>
      <c r="EJ82" s="107"/>
      <c r="EK82" s="205"/>
      <c r="EL82" s="20"/>
      <c r="EM82" s="20"/>
      <c r="EN82" s="20"/>
      <c r="EO82" s="205"/>
      <c r="EP82" s="42" t="str">
        <f>IFERROR(VLOOKUP("4P01-23-00-01",pareto,18,FALSE),"-")</f>
        <v>-</v>
      </c>
      <c r="EQ82" s="20"/>
      <c r="ER82" s="20"/>
      <c r="ES82" s="20"/>
      <c r="ET82" s="58" t="str">
        <f>IFERROR(VLOOKUP("4P01-24-00-01",pareto,18,FALSE),"-")</f>
        <v>-</v>
      </c>
      <c r="EU82" s="42" t="str">
        <f>IFERROR(VLOOKUP("4P02-23-00-01",pareto,18,FALSE),"-")</f>
        <v>-</v>
      </c>
      <c r="EV82" s="20"/>
      <c r="EW82" s="20"/>
      <c r="EX82" s="20"/>
      <c r="EY82" s="58" t="str">
        <f>IFERROR(VLOOKUP("4P02-24-00-01",pareto,18,FALSE),"-")</f>
        <v>-</v>
      </c>
      <c r="EZ82" s="42" t="str">
        <f>IFERROR(VLOOKUP("4P03-23-00-01",pareto,18,FALSE),"-")</f>
        <v>-</v>
      </c>
      <c r="FA82" s="20"/>
      <c r="FB82" s="20"/>
      <c r="FC82" s="20"/>
      <c r="FD82" s="58" t="str">
        <f>IFERROR(VLOOKUP("4P03-24-00-01",pareto,18,FALSE),"-")</f>
        <v>-</v>
      </c>
      <c r="FE82" s="42" t="str">
        <f>IFERROR(VLOOKUP("4P04-23-00-01",pareto,18,FALSE),"-")</f>
        <v>-</v>
      </c>
      <c r="FF82" s="20"/>
      <c r="FG82" s="20"/>
      <c r="FH82" s="20"/>
      <c r="FI82" s="58" t="str">
        <f>IFERROR(VLOOKUP("4P04-24-00-01",pareto,18,FALSE),"-")</f>
        <v>-</v>
      </c>
      <c r="FJ82" s="42" t="str">
        <f>IFERROR(VLOOKUP("4P05-23-00-01",pareto,18,FALSE),"-")</f>
        <v>-</v>
      </c>
      <c r="FK82" s="20"/>
      <c r="FL82" s="20"/>
      <c r="FM82" s="20"/>
      <c r="FN82" s="58" t="str">
        <f>IFERROR(VLOOKUP("4P05-24-00-01",pareto,18,FALSE),"-")</f>
        <v>-</v>
      </c>
      <c r="FO82" s="42" t="str">
        <f>IFERROR(VLOOKUP("4P06-23-00-01",pareto,18,FALSE),"-")</f>
        <v>-</v>
      </c>
      <c r="FP82" s="20"/>
      <c r="FQ82" s="20"/>
      <c r="FR82" s="20"/>
      <c r="FS82" s="58" t="str">
        <f>IFERROR(VLOOKUP("4P06-24-00-01",pareto,18,FALSE),"-")</f>
        <v>-</v>
      </c>
      <c r="FT82" s="42" t="str">
        <f>IFERROR(VLOOKUP("4P07-23-00-01",pareto,18,FALSE),"-")</f>
        <v>-</v>
      </c>
      <c r="FU82" s="20"/>
      <c r="FV82" s="20"/>
      <c r="FW82" s="20"/>
      <c r="FX82" s="58" t="str">
        <f>IFERROR(VLOOKUP("4P07-24-00-01",pareto,18,FALSE),"-")</f>
        <v>-</v>
      </c>
      <c r="FY82" s="42" t="str">
        <f>IFERROR(VLOOKUP("4P08-23-00-01",pareto,18,FALSE),"-")</f>
        <v>-</v>
      </c>
      <c r="FZ82" s="20"/>
      <c r="GA82" s="20"/>
      <c r="GB82" s="20"/>
      <c r="GC82" s="58" t="str">
        <f>IFERROR(VLOOKUP("4P08-24-00-01",pareto,18,FALSE),"-")</f>
        <v>-</v>
      </c>
      <c r="GD82" s="42" t="str">
        <f>IFERROR(VLOOKUP("4P09-23-00-01",pareto,18,FALSE),"-")</f>
        <v>-</v>
      </c>
      <c r="GE82" s="20"/>
      <c r="GF82" s="20"/>
      <c r="GG82" s="20"/>
      <c r="GH82" s="58" t="str">
        <f>IFERROR(VLOOKUP("4P09-24-00-01",pareto,18,FALSE),"-")</f>
        <v>-</v>
      </c>
    </row>
    <row r="83" spans="3:190" ht="12" customHeight="1" thickTop="1" thickBot="1" x14ac:dyDescent="0.3">
      <c r="C83" s="270"/>
      <c r="D83" s="270"/>
      <c r="E83" s="270"/>
      <c r="F83" s="270"/>
      <c r="G83" s="270"/>
      <c r="H83" s="270"/>
      <c r="I83" s="270"/>
      <c r="J83" s="270"/>
      <c r="K83" s="270"/>
      <c r="L83" s="270"/>
      <c r="M83" s="270"/>
      <c r="N83" s="270"/>
      <c r="O83" s="270"/>
      <c r="P83" s="270"/>
      <c r="Q83" s="270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34"/>
      <c r="AX83" s="9"/>
      <c r="AY83" s="9"/>
      <c r="AZ83" s="38"/>
      <c r="BA83" s="103"/>
      <c r="BB83" s="20"/>
      <c r="BC83" s="20"/>
      <c r="BD83" s="20"/>
      <c r="BE83" s="109"/>
      <c r="BF83" s="40" t="str">
        <f>IFERROR(VLOOKUP("2P02-21-00-03",pareto,18,FALSE),"-")</f>
        <v>-</v>
      </c>
      <c r="BG83" s="20"/>
      <c r="BH83" s="20"/>
      <c r="BI83" s="20"/>
      <c r="BJ83" s="48" t="e">
        <f>VLOOKUP("2P02-22-00-03",pareto,18,FALSE)</f>
        <v>#N/A</v>
      </c>
      <c r="BK83" s="40" t="str">
        <f>IFERROR(VLOOKUP("2P03-21-00-03",pareto,18,FALSE),"-")</f>
        <v>-</v>
      </c>
      <c r="BL83" s="20"/>
      <c r="BM83" s="20"/>
      <c r="BN83" s="20"/>
      <c r="BO83" s="48" t="str">
        <f>IFERROR(VLOOKUP("2P03-22-00-03",pareto,18,FALSE),"-")</f>
        <v>-</v>
      </c>
      <c r="BP83" s="40" t="str">
        <f>IFERROR(VLOOKUP("2P04-21-00-03",pareto,18,FALSE),"-")</f>
        <v>-</v>
      </c>
      <c r="BQ83" s="20"/>
      <c r="BR83" s="20"/>
      <c r="BS83" s="20"/>
      <c r="BT83" s="51" t="str">
        <f>IFERROR(VLOOKUP("2P04-22-00-03",pareto,18,FALSE),"-")</f>
        <v>-</v>
      </c>
      <c r="BU83" s="40" t="str">
        <f>IFERROR(VLOOKUP("2P05-21-00-03",pareto,18,FALSE),"-")</f>
        <v>-</v>
      </c>
      <c r="BV83" s="20"/>
      <c r="BW83" s="20"/>
      <c r="BX83" s="20"/>
      <c r="BY83" s="48" t="str">
        <f>IFERROR(VLOOKUP("2P05-22-00-03",pareto,18,FALSE),"-")</f>
        <v>-</v>
      </c>
      <c r="BZ83" s="40" t="str">
        <f>IFERROR(VLOOKUP("2P06-21-00-03",pareto,18,FALSE),"-")</f>
        <v>-</v>
      </c>
      <c r="CA83" s="20"/>
      <c r="CB83" s="20"/>
      <c r="CC83" s="20"/>
      <c r="CD83" s="48" t="str">
        <f>IFERROR(VLOOKUP("2P06-22-00-03",pareto,18,FALSE),"-")</f>
        <v>-</v>
      </c>
      <c r="CE83" s="40" t="str">
        <f>IFERROR(VLOOKUP("2P07-21-00-03",pareto,18,FALSE),"-")</f>
        <v>-</v>
      </c>
      <c r="CF83" s="20"/>
      <c r="CG83" s="20"/>
      <c r="CH83" s="20"/>
      <c r="CI83" s="48" t="str">
        <f>IFERROR(VLOOKUP("2P07-22-01-03",pareto,18,FALSE),"-")</f>
        <v>-</v>
      </c>
      <c r="CJ83" s="40" t="str">
        <f>IFERROR(VLOOKUP("2P08-21-01-03",pareto,18,FALSE),"-")</f>
        <v>-</v>
      </c>
      <c r="CK83" s="20"/>
      <c r="CL83" s="20"/>
      <c r="CM83" s="20"/>
      <c r="CN83" s="48" t="str">
        <f>IFERROR(VLOOKUP("2P08-22-01-03",pareto,18,FALSE),"-")</f>
        <v>-</v>
      </c>
      <c r="CO83" s="40" t="str">
        <f>IFERROR(VLOOKUP("2P09-21-01-03",pareto,18,FALSE),"-")</f>
        <v>-</v>
      </c>
      <c r="CP83" s="20"/>
      <c r="CQ83" s="20"/>
      <c r="CR83" s="20"/>
      <c r="CS83" s="48" t="str">
        <f>IFERROR(VLOOKUP("2P09-20-00-03",pareto,18,FALSE),"-")</f>
        <v>-</v>
      </c>
      <c r="CT83" s="19"/>
      <c r="CU83" s="20"/>
      <c r="CV83" s="20"/>
      <c r="CW83" s="20"/>
      <c r="CX83" s="20"/>
      <c r="CY83" s="20"/>
      <c r="CZ83" s="20"/>
      <c r="DA83" s="20"/>
      <c r="DB83" s="20"/>
      <c r="DC83" s="20"/>
      <c r="DD83" s="20"/>
      <c r="DE83" s="20"/>
      <c r="DF83" s="20"/>
      <c r="DG83" s="103"/>
      <c r="DH83" s="20"/>
      <c r="DI83" s="20"/>
      <c r="DJ83" s="20"/>
      <c r="DK83" s="103"/>
      <c r="DL83" s="206"/>
      <c r="DM83" s="20"/>
      <c r="DN83" s="20"/>
      <c r="DO83" s="20"/>
      <c r="DP83" s="103"/>
      <c r="DQ83" s="206"/>
      <c r="DR83" s="20"/>
      <c r="DS83" s="20"/>
      <c r="DT83" s="20"/>
      <c r="DU83" s="103"/>
      <c r="DV83" s="206"/>
      <c r="DW83" s="20"/>
      <c r="DX83" s="20"/>
      <c r="DY83" s="20"/>
      <c r="DZ83" s="103"/>
      <c r="EA83" s="206"/>
      <c r="EB83" s="20"/>
      <c r="EC83" s="20"/>
      <c r="ED83" s="20"/>
      <c r="EE83" s="103"/>
      <c r="EF83" s="206"/>
      <c r="EG83" s="20"/>
      <c r="EH83" s="20"/>
      <c r="EI83" s="20"/>
      <c r="EJ83" s="103"/>
      <c r="EK83" s="206"/>
      <c r="EL83" s="20"/>
      <c r="EM83" s="20"/>
      <c r="EN83" s="20"/>
      <c r="EO83" s="206"/>
      <c r="EP83" s="40" t="str">
        <f>IFERROR(VLOOKUP("4P01-21-00-03",pareto,18,FALSE),"-")</f>
        <v>-</v>
      </c>
      <c r="EQ83" s="20"/>
      <c r="ER83" s="20"/>
      <c r="ES83" s="20"/>
      <c r="ET83" s="48" t="str">
        <f>IFERROR(VLOOKUP("4P01-22-00-03",pareto,18,FALSE),"-")</f>
        <v>-</v>
      </c>
      <c r="EU83" s="40" t="str">
        <f>IFERROR(VLOOKUP("4P02-21-00-03",pareto,18,FALSE),"-")</f>
        <v>-</v>
      </c>
      <c r="EV83" s="20"/>
      <c r="EW83" s="20"/>
      <c r="EX83" s="20"/>
      <c r="EY83" s="48" t="str">
        <f>IFERROR(VLOOKUP("4P02-22-00-03",pareto,18,FALSE),"-")</f>
        <v>-</v>
      </c>
      <c r="EZ83" s="40" t="str">
        <f>IFERROR(VLOOKUP("4P03-21-00-03",pareto,18,FALSE),"-")</f>
        <v>-</v>
      </c>
      <c r="FA83" s="20"/>
      <c r="FB83" s="20"/>
      <c r="FC83" s="20"/>
      <c r="FD83" s="48" t="str">
        <f>IFERROR(VLOOKUP("4P03-22-00-03",pareto,18,FALSE),"-")</f>
        <v>-</v>
      </c>
      <c r="FE83" s="40" t="str">
        <f>IFERROR(VLOOKUP("4P04-21-00-03",pareto,18,FALSE),"-")</f>
        <v>-</v>
      </c>
      <c r="FF83" s="20"/>
      <c r="FG83" s="20"/>
      <c r="FH83" s="20"/>
      <c r="FI83" s="48" t="str">
        <f>IFERROR(VLOOKUP("4P04-22-00-03",pareto,18,FALSE),"-")</f>
        <v>-</v>
      </c>
      <c r="FJ83" s="40" t="str">
        <f>IFERROR(VLOOKUP("4P05-21-00-03",pareto,18,FALSE),"-")</f>
        <v>-</v>
      </c>
      <c r="FK83" s="20"/>
      <c r="FL83" s="20"/>
      <c r="FM83" s="20"/>
      <c r="FN83" s="48" t="str">
        <f>IFERROR(VLOOKUP("4P05-22-00-03",pareto,18,FALSE),"-")</f>
        <v>-</v>
      </c>
      <c r="FO83" s="40" t="str">
        <f>IFERROR(VLOOKUP("4P06-21-00-03",pareto,18,FALSE),"-")</f>
        <v>-</v>
      </c>
      <c r="FP83" s="20"/>
      <c r="FQ83" s="20"/>
      <c r="FR83" s="20"/>
      <c r="FS83" s="48" t="str">
        <f>IFERROR(VLOOKUP("4P06-22-00-03",pareto,18,FALSE),"-")</f>
        <v>-</v>
      </c>
      <c r="FT83" s="40" t="str">
        <f>IFERROR(VLOOKUP("4P07-21-00-03",pareto,18,FALSE),"-")</f>
        <v>-</v>
      </c>
      <c r="FU83" s="20"/>
      <c r="FV83" s="20"/>
      <c r="FW83" s="20"/>
      <c r="FX83" s="48" t="str">
        <f>IFERROR(VLOOKUP("4P07-22-00-03",pareto,18,FALSE),"-")</f>
        <v>-</v>
      </c>
      <c r="FY83" s="40" t="str">
        <f>IFERROR(VLOOKUP("4P08-21-00-03",pareto,18,FALSE),"-")</f>
        <v>-</v>
      </c>
      <c r="FZ83" s="20"/>
      <c r="GA83" s="20"/>
      <c r="GB83" s="20"/>
      <c r="GC83" s="48" t="str">
        <f>IFERROR(VLOOKUP("4P08-22-00-03",pareto,18,FALSE),"-")</f>
        <v>-</v>
      </c>
      <c r="GD83" s="40" t="str">
        <f>IFERROR(VLOOKUP("4P09-21-00-03",pareto,18,FALSE),"-")</f>
        <v>-</v>
      </c>
      <c r="GE83" s="20"/>
      <c r="GF83" s="20"/>
      <c r="GG83" s="20"/>
      <c r="GH83" s="48" t="str">
        <f>IFERROR(VLOOKUP("4P09-22-00-03",pareto,18,FALSE),"-")</f>
        <v>-</v>
      </c>
    </row>
    <row r="84" spans="3:190" ht="12" customHeight="1" thickTop="1" thickBot="1" x14ac:dyDescent="0.3">
      <c r="C84" s="270"/>
      <c r="D84" s="270"/>
      <c r="E84" s="270"/>
      <c r="F84" s="270"/>
      <c r="G84" s="270"/>
      <c r="H84" s="270"/>
      <c r="I84" s="270"/>
      <c r="J84" s="270"/>
      <c r="K84" s="270"/>
      <c r="L84" s="270"/>
      <c r="M84" s="270"/>
      <c r="N84" s="270"/>
      <c r="O84" s="270"/>
      <c r="P84" s="270"/>
      <c r="Q84" s="270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32"/>
      <c r="AX84" s="9"/>
      <c r="AY84" s="9"/>
      <c r="AZ84" s="36"/>
      <c r="BA84" s="105"/>
      <c r="BB84" s="20"/>
      <c r="BC84" s="20"/>
      <c r="BD84" s="20"/>
      <c r="BE84" s="110"/>
      <c r="BF84" s="43" t="str">
        <f>IFERROR(VLOOKUP("2P02-21-00-02",pareto,18,FALSE),"-")</f>
        <v>-</v>
      </c>
      <c r="BG84" s="20"/>
      <c r="BH84" s="20"/>
      <c r="BI84" s="20"/>
      <c r="BJ84" s="49" t="e">
        <f>VLOOKUP("2P02-22-00-02",pareto,18,FALSE)</f>
        <v>#N/A</v>
      </c>
      <c r="BK84" s="43" t="str">
        <f>IFERROR(VLOOKUP("2P03-21-00-02",pareto,18,FALSE),"-")</f>
        <v>-</v>
      </c>
      <c r="BL84" s="20"/>
      <c r="BM84" s="20"/>
      <c r="BN84" s="20"/>
      <c r="BO84" s="49" t="str">
        <f>IFERROR(VLOOKUP("2P03-22-00-02",pareto,18,FALSE),"-")</f>
        <v>-</v>
      </c>
      <c r="BP84" s="43" t="str">
        <f>IFERROR(VLOOKUP("2P04-21-00-02",pareto,18,FALSE),"-")</f>
        <v>-</v>
      </c>
      <c r="BQ84" s="20"/>
      <c r="BR84" s="20"/>
      <c r="BS84" s="20"/>
      <c r="BT84" s="58" t="str">
        <f>IFERROR(VLOOKUP("2P04-22-00-02",pareto,18,FALSE),"-")</f>
        <v>-</v>
      </c>
      <c r="BU84" s="43" t="str">
        <f>IFERROR(VLOOKUP("2P05-21-00-02",pareto,18,FALSE),"-")</f>
        <v>-</v>
      </c>
      <c r="BV84" s="20"/>
      <c r="BW84" s="20"/>
      <c r="BX84" s="20"/>
      <c r="BY84" s="49" t="str">
        <f>IFERROR(VLOOKUP("2P05-22-00-02",pareto,18,FALSE),"-")</f>
        <v>-</v>
      </c>
      <c r="BZ84" s="43" t="str">
        <f>IFERROR(VLOOKUP("2P06-21-00-02",pareto,18,FALSE),"-")</f>
        <v>-</v>
      </c>
      <c r="CA84" s="20"/>
      <c r="CB84" s="20"/>
      <c r="CC84" s="20"/>
      <c r="CD84" s="49" t="str">
        <f>IFERROR(VLOOKUP("2P06-22-00-02",pareto,18,FALSE),"-")</f>
        <v>-</v>
      </c>
      <c r="CE84" s="43" t="str">
        <f>IFERROR(VLOOKUP("2P07-21-00-02",pareto,18,FALSE),"-")</f>
        <v>-</v>
      </c>
      <c r="CF84" s="20"/>
      <c r="CG84" s="20"/>
      <c r="CH84" s="20"/>
      <c r="CI84" s="49" t="str">
        <f>IFERROR(VLOOKUP("2P07-22-01-02",pareto,18,FALSE),"-")</f>
        <v>-</v>
      </c>
      <c r="CJ84" s="43" t="str">
        <f>IFERROR(VLOOKUP("2P08-21-01-02",pareto,18,FALSE),"-")</f>
        <v>-</v>
      </c>
      <c r="CK84" s="20"/>
      <c r="CL84" s="20"/>
      <c r="CM84" s="20"/>
      <c r="CN84" s="49" t="str">
        <f>IFERROR(VLOOKUP("2P08-22-01-02",pareto,18,FALSE),"-")</f>
        <v>-</v>
      </c>
      <c r="CO84" s="43" t="str">
        <f>IFERROR(VLOOKUP("2P09-21-01-02",pareto,18,FALSE),"-")</f>
        <v>-</v>
      </c>
      <c r="CP84" s="20"/>
      <c r="CQ84" s="20"/>
      <c r="CR84" s="20"/>
      <c r="CS84" s="54" t="str">
        <f>IFERROR(VLOOKUP("2P09-20-00-02",pareto,18,FALSE),"-")</f>
        <v>-</v>
      </c>
      <c r="CT84" s="19"/>
      <c r="CU84" s="20"/>
      <c r="CV84" s="20"/>
      <c r="CW84" s="20"/>
      <c r="CX84" s="20"/>
      <c r="CY84" s="20"/>
      <c r="CZ84" s="20"/>
      <c r="DA84" s="20"/>
      <c r="DB84" s="20"/>
      <c r="DC84" s="20"/>
      <c r="DD84" s="20"/>
      <c r="DE84" s="20"/>
      <c r="DF84" s="20"/>
      <c r="DG84" s="105"/>
      <c r="DH84" s="20"/>
      <c r="DI84" s="20"/>
      <c r="DJ84" s="20"/>
      <c r="DK84" s="105"/>
      <c r="DL84" s="207"/>
      <c r="DM84" s="20"/>
      <c r="DN84" s="20"/>
      <c r="DO84" s="20"/>
      <c r="DP84" s="105"/>
      <c r="DQ84" s="207"/>
      <c r="DR84" s="20"/>
      <c r="DS84" s="20"/>
      <c r="DT84" s="20"/>
      <c r="DU84" s="105"/>
      <c r="DV84" s="207"/>
      <c r="DW84" s="20"/>
      <c r="DX84" s="20"/>
      <c r="DY84" s="20"/>
      <c r="DZ84" s="105"/>
      <c r="EA84" s="207"/>
      <c r="EB84" s="20"/>
      <c r="EC84" s="20"/>
      <c r="ED84" s="20"/>
      <c r="EE84" s="105"/>
      <c r="EF84" s="207"/>
      <c r="EG84" s="20"/>
      <c r="EH84" s="20"/>
      <c r="EI84" s="20"/>
      <c r="EJ84" s="105"/>
      <c r="EK84" s="207"/>
      <c r="EL84" s="20"/>
      <c r="EM84" s="20"/>
      <c r="EN84" s="20"/>
      <c r="EO84" s="207"/>
      <c r="EP84" s="43" t="str">
        <f>IFERROR(VLOOKUP("4P01-21-00-02",pareto,18,FALSE),"-")</f>
        <v>-</v>
      </c>
      <c r="EQ84" s="20"/>
      <c r="ER84" s="20"/>
      <c r="ES84" s="20"/>
      <c r="ET84" s="49" t="str">
        <f>IFERROR(VLOOKUP("4P01-22-00-02",pareto,18,FALSE),"-")</f>
        <v>-</v>
      </c>
      <c r="EU84" s="43" t="str">
        <f>IFERROR(VLOOKUP("4P02-21-00-02",pareto,18,FALSE),"-")</f>
        <v>-</v>
      </c>
      <c r="EV84" s="20"/>
      <c r="EW84" s="20"/>
      <c r="EX84" s="20"/>
      <c r="EY84" s="49" t="str">
        <f>IFERROR(VLOOKUP("4P02-22-00-02",pareto,18,FALSE),"-")</f>
        <v>-</v>
      </c>
      <c r="EZ84" s="43" t="str">
        <f>IFERROR(VLOOKUP("4P03-21-00-02",pareto,18,FALSE),"-")</f>
        <v>-</v>
      </c>
      <c r="FA84" s="20"/>
      <c r="FB84" s="20"/>
      <c r="FC84" s="20"/>
      <c r="FD84" s="49" t="str">
        <f>IFERROR(VLOOKUP("4P03-22-00-02",pareto,18,FALSE),"-")</f>
        <v>-</v>
      </c>
      <c r="FE84" s="43" t="str">
        <f>IFERROR(VLOOKUP("4P04-21-00-02",pareto,18,FALSE),"-")</f>
        <v>-</v>
      </c>
      <c r="FF84" s="20"/>
      <c r="FG84" s="20"/>
      <c r="FH84" s="20"/>
      <c r="FI84" s="49" t="str">
        <f>IFERROR(VLOOKUP("4P04-22-00-02",pareto,18,FALSE),"-")</f>
        <v>-</v>
      </c>
      <c r="FJ84" s="43" t="str">
        <f>IFERROR(VLOOKUP("4P05-21-00-02",pareto,18,FALSE),"-")</f>
        <v>-</v>
      </c>
      <c r="FK84" s="20"/>
      <c r="FL84" s="20"/>
      <c r="FM84" s="20"/>
      <c r="FN84" s="49" t="str">
        <f>IFERROR(VLOOKUP("4P05-22-00-02",pareto,18,FALSE),"-")</f>
        <v>-</v>
      </c>
      <c r="FO84" s="43" t="str">
        <f>IFERROR(VLOOKUP("4P06-21-00-02",pareto,18,FALSE),"-")</f>
        <v>-</v>
      </c>
      <c r="FP84" s="20"/>
      <c r="FQ84" s="20"/>
      <c r="FR84" s="20"/>
      <c r="FS84" s="49" t="str">
        <f>IFERROR(VLOOKUP("4P06-22-00-02",pareto,18,FALSE),"-")</f>
        <v>-</v>
      </c>
      <c r="FT84" s="43" t="str">
        <f>IFERROR(VLOOKUP("4P07-21-00-02",pareto,18,FALSE),"-")</f>
        <v>-</v>
      </c>
      <c r="FU84" s="20"/>
      <c r="FV84" s="20"/>
      <c r="FW84" s="20"/>
      <c r="FX84" s="49" t="str">
        <f>IFERROR(VLOOKUP("4P07-22-00-02",pareto,18,FALSE),"-")</f>
        <v>-</v>
      </c>
      <c r="FY84" s="43" t="str">
        <f>IFERROR(VLOOKUP("4P08-21-00-02",pareto,18,FALSE),"-")</f>
        <v>-</v>
      </c>
      <c r="FZ84" s="20"/>
      <c r="GA84" s="20"/>
      <c r="GB84" s="20"/>
      <c r="GC84" s="49" t="str">
        <f>IFERROR(VLOOKUP("4P08-22-00-02",pareto,18,FALSE),"-")</f>
        <v>-</v>
      </c>
      <c r="GD84" s="43" t="str">
        <f>IFERROR(VLOOKUP("4P09-21-00-02",pareto,18,FALSE),"-")</f>
        <v>-</v>
      </c>
      <c r="GE84" s="20"/>
      <c r="GF84" s="20"/>
      <c r="GG84" s="20"/>
      <c r="GH84" s="49" t="str">
        <f>IFERROR(VLOOKUP("4P09-22-00-02",pareto,18,FALSE),"-")</f>
        <v>-</v>
      </c>
    </row>
    <row r="85" spans="3:190" ht="12" customHeight="1" thickTop="1" thickBot="1" x14ac:dyDescent="0.3">
      <c r="C85" s="270"/>
      <c r="D85" s="270"/>
      <c r="E85" s="270"/>
      <c r="F85" s="270"/>
      <c r="G85" s="270"/>
      <c r="H85" s="270"/>
      <c r="I85" s="270"/>
      <c r="J85" s="270"/>
      <c r="K85" s="270"/>
      <c r="L85" s="270"/>
      <c r="M85" s="270"/>
      <c r="N85" s="270"/>
      <c r="O85" s="270"/>
      <c r="P85" s="270"/>
      <c r="Q85" s="270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33"/>
      <c r="AX85" s="9"/>
      <c r="AY85" s="9"/>
      <c r="AZ85" s="37"/>
      <c r="BA85" s="107"/>
      <c r="BB85" s="20"/>
      <c r="BC85" s="20"/>
      <c r="BD85" s="20"/>
      <c r="BE85" s="111"/>
      <c r="BF85" s="42" t="str">
        <f>IFERROR(VLOOKUP("2P02-21-00-01",pareto,18,FALSE),"-")</f>
        <v>-</v>
      </c>
      <c r="BG85" s="20"/>
      <c r="BH85" s="20"/>
      <c r="BI85" s="20"/>
      <c r="BJ85" s="52" t="e">
        <f>VLOOKUP("2P02-22-00-01",pareto,18,FALSE)</f>
        <v>#N/A</v>
      </c>
      <c r="BK85" s="42" t="str">
        <f>IFERROR(VLOOKUP("2P03-21-00-01",pareto,18,FALSE),"-")</f>
        <v>-</v>
      </c>
      <c r="BL85" s="20"/>
      <c r="BM85" s="20"/>
      <c r="BN85" s="20"/>
      <c r="BO85" s="52" t="str">
        <f>IFERROR(VLOOKUP("2P03-22-00-01",pareto,18,FALSE),"-")</f>
        <v>-</v>
      </c>
      <c r="BP85" s="42" t="str">
        <f>IFERROR(VLOOKUP("2P04-21-00-01",pareto,18,FALSE),"-")</f>
        <v>-</v>
      </c>
      <c r="BQ85" s="20"/>
      <c r="BR85" s="20"/>
      <c r="BS85" s="20"/>
      <c r="BT85" s="52" t="str">
        <f>IFERROR(VLOOKUP("2P04-22-00-01",pareto,18,FALSE),"-")</f>
        <v>-</v>
      </c>
      <c r="BU85" s="42" t="str">
        <f>IFERROR(VLOOKUP("2P05-21-00-01",pareto,18,FALSE),"-")</f>
        <v>-</v>
      </c>
      <c r="BV85" s="20"/>
      <c r="BW85" s="20"/>
      <c r="BX85" s="20"/>
      <c r="BY85" s="52" t="str">
        <f>IFERROR(VLOOKUP("2P05-22-00-01",pareto,18,FALSE),"-")</f>
        <v>-</v>
      </c>
      <c r="BZ85" s="42" t="str">
        <f>IFERROR(VLOOKUP("2P06-21-00-01",pareto,18,FALSE),"-")</f>
        <v>-</v>
      </c>
      <c r="CA85" s="20"/>
      <c r="CB85" s="20"/>
      <c r="CC85" s="20"/>
      <c r="CD85" s="52" t="str">
        <f>IFERROR(VLOOKUP("2P06-22-00-01",pareto,18,FALSE),"-")</f>
        <v>-</v>
      </c>
      <c r="CE85" s="42" t="str">
        <f>IFERROR(VLOOKUP("2P07-21-00-01",pareto,18,FALSE),"-")</f>
        <v>-</v>
      </c>
      <c r="CF85" s="20"/>
      <c r="CG85" s="20"/>
      <c r="CH85" s="20"/>
      <c r="CI85" s="52" t="str">
        <f>IFERROR(VLOOKUP("2P07-22-01-01",pareto,18,FALSE),"-")</f>
        <v>-</v>
      </c>
      <c r="CJ85" s="42" t="str">
        <f>IFERROR(VLOOKUP("2P08-21-01-01",pareto,18,FALSE),"-")</f>
        <v>-</v>
      </c>
      <c r="CK85" s="20"/>
      <c r="CL85" s="20"/>
      <c r="CM85" s="20"/>
      <c r="CN85" s="52" t="str">
        <f>IFERROR(VLOOKUP("2P08-22-01-01",pareto,18,FALSE),"-")</f>
        <v>-</v>
      </c>
      <c r="CO85" s="42" t="str">
        <f>IFERROR(VLOOKUP("2P09-21-01-01",pareto,18,FALSE),"-")</f>
        <v>-</v>
      </c>
      <c r="CP85" s="20"/>
      <c r="CQ85" s="20"/>
      <c r="CR85" s="20"/>
      <c r="CS85" s="52" t="str">
        <f>IFERROR(VLOOKUP("2P09-20-00-01",pareto,18,FALSE),"-")</f>
        <v>-</v>
      </c>
      <c r="CT85" s="19"/>
      <c r="CU85" s="20"/>
      <c r="CV85" s="20"/>
      <c r="CW85" s="20"/>
      <c r="CX85" s="20"/>
      <c r="CY85" s="20"/>
      <c r="CZ85" s="20"/>
      <c r="DA85" s="20"/>
      <c r="DB85" s="20"/>
      <c r="DC85" s="20"/>
      <c r="DD85" s="20"/>
      <c r="DE85" s="20"/>
      <c r="DF85" s="20"/>
      <c r="DG85" s="107"/>
      <c r="DH85" s="20"/>
      <c r="DI85" s="20"/>
      <c r="DJ85" s="20"/>
      <c r="DK85" s="107"/>
      <c r="DL85" s="205"/>
      <c r="DM85" s="20"/>
      <c r="DN85" s="20"/>
      <c r="DO85" s="20"/>
      <c r="DP85" s="107"/>
      <c r="DQ85" s="205"/>
      <c r="DR85" s="20"/>
      <c r="DS85" s="20"/>
      <c r="DT85" s="20"/>
      <c r="DU85" s="107"/>
      <c r="DV85" s="205"/>
      <c r="DW85" s="20"/>
      <c r="DX85" s="20"/>
      <c r="DY85" s="20"/>
      <c r="DZ85" s="107"/>
      <c r="EA85" s="205"/>
      <c r="EB85" s="20"/>
      <c r="EC85" s="20"/>
      <c r="ED85" s="20"/>
      <c r="EE85" s="107"/>
      <c r="EF85" s="205"/>
      <c r="EG85" s="20"/>
      <c r="EH85" s="20"/>
      <c r="EI85" s="20"/>
      <c r="EJ85" s="107"/>
      <c r="EK85" s="205"/>
      <c r="EL85" s="20"/>
      <c r="EM85" s="20"/>
      <c r="EN85" s="20"/>
      <c r="EO85" s="205"/>
      <c r="EP85" s="42" t="str">
        <f>IFERROR(VLOOKUP("4P01-21-00-01",pareto,18,FALSE),"-")</f>
        <v>-</v>
      </c>
      <c r="EQ85" s="20"/>
      <c r="ER85" s="20"/>
      <c r="ES85" s="20"/>
      <c r="ET85" s="52" t="str">
        <f>IFERROR(VLOOKUP("4P01-22-00-01",pareto,18,FALSE),"-")</f>
        <v>-</v>
      </c>
      <c r="EU85" s="42" t="str">
        <f>IFERROR(VLOOKUP("4P02-21-00-01",pareto,18,FALSE),"-")</f>
        <v>-</v>
      </c>
      <c r="EV85" s="20"/>
      <c r="EW85" s="20"/>
      <c r="EX85" s="20"/>
      <c r="EY85" s="52" t="str">
        <f>IFERROR(VLOOKUP("4P02-22-00-01",pareto,18,FALSE),"-")</f>
        <v>-</v>
      </c>
      <c r="EZ85" s="42" t="str">
        <f>IFERROR(VLOOKUP("4P03-21-00-01",pareto,18,FALSE),"-")</f>
        <v>-</v>
      </c>
      <c r="FA85" s="20"/>
      <c r="FB85" s="20"/>
      <c r="FC85" s="20"/>
      <c r="FD85" s="52" t="str">
        <f>IFERROR(VLOOKUP("4P03-22-00-01",pareto,18,FALSE),"-")</f>
        <v>-</v>
      </c>
      <c r="FE85" s="42" t="str">
        <f>IFERROR(VLOOKUP("4P04-21-00-01",pareto,18,FALSE),"-")</f>
        <v>-</v>
      </c>
      <c r="FF85" s="20"/>
      <c r="FG85" s="20"/>
      <c r="FH85" s="20"/>
      <c r="FI85" s="52" t="str">
        <f>IFERROR(VLOOKUP("4P04-22-00-01",pareto,18,FALSE),"-")</f>
        <v>-</v>
      </c>
      <c r="FJ85" s="42" t="str">
        <f>IFERROR(VLOOKUP("4P05-21-00-01",pareto,18,FALSE),"-")</f>
        <v>-</v>
      </c>
      <c r="FK85" s="20"/>
      <c r="FL85" s="20"/>
      <c r="FM85" s="20"/>
      <c r="FN85" s="52" t="str">
        <f>IFERROR(VLOOKUP("4P05-22-00-01",pareto,18,FALSE),"-")</f>
        <v>-</v>
      </c>
      <c r="FO85" s="42" t="str">
        <f>IFERROR(VLOOKUP("4P06-21-00-01",pareto,18,FALSE),"-")</f>
        <v>-</v>
      </c>
      <c r="FP85" s="20"/>
      <c r="FQ85" s="20"/>
      <c r="FR85" s="20"/>
      <c r="FS85" s="52" t="str">
        <f>IFERROR(VLOOKUP("4P06-22-00-01",pareto,18,FALSE),"-")</f>
        <v>-</v>
      </c>
      <c r="FT85" s="42" t="str">
        <f>IFERROR(VLOOKUP("4P07-21-00-01",pareto,18,FALSE),"-")</f>
        <v>-</v>
      </c>
      <c r="FU85" s="20"/>
      <c r="FV85" s="20"/>
      <c r="FW85" s="20"/>
      <c r="FX85" s="52" t="str">
        <f>IFERROR(VLOOKUP("4P07-22-00-01",pareto,18,FALSE),"-")</f>
        <v>-</v>
      </c>
      <c r="FY85" s="42" t="str">
        <f>IFERROR(VLOOKUP("4P08-21-00-01",pareto,18,FALSE),"-")</f>
        <v>-</v>
      </c>
      <c r="FZ85" s="20"/>
      <c r="GA85" s="20"/>
      <c r="GB85" s="20"/>
      <c r="GC85" s="52" t="str">
        <f>IFERROR(VLOOKUP("4P08-22-00-01",pareto,18,FALSE),"-")</f>
        <v>-</v>
      </c>
      <c r="GD85" s="42" t="str">
        <f>IFERROR(VLOOKUP("4P09-21-00-01",pareto,18,FALSE),"-")</f>
        <v>-</v>
      </c>
      <c r="GE85" s="20"/>
      <c r="GF85" s="20"/>
      <c r="GG85" s="20"/>
      <c r="GH85" s="52" t="str">
        <f>IFERROR(VLOOKUP("4P09-22-00-01",pareto,18,FALSE),"-")</f>
        <v>-</v>
      </c>
    </row>
    <row r="86" spans="3:190" ht="12" customHeight="1" thickTop="1" thickBot="1" x14ac:dyDescent="0.3">
      <c r="C86" s="270"/>
      <c r="D86" s="270"/>
      <c r="E86" s="270"/>
      <c r="F86" s="270"/>
      <c r="G86" s="270"/>
      <c r="H86" s="270"/>
      <c r="I86" s="270"/>
      <c r="J86" s="270"/>
      <c r="K86" s="270"/>
      <c r="L86" s="270"/>
      <c r="M86" s="270"/>
      <c r="N86" s="270"/>
      <c r="O86" s="270"/>
      <c r="P86" s="270"/>
      <c r="Q86" s="270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34"/>
      <c r="AX86" s="9"/>
      <c r="AY86" s="9"/>
      <c r="AZ86" s="38"/>
      <c r="BA86" s="103"/>
      <c r="BB86" s="20"/>
      <c r="BC86" s="20"/>
      <c r="BD86" s="20"/>
      <c r="BE86" s="109"/>
      <c r="BF86" s="40" t="str">
        <f>IFERROR(VLOOKUP("2P02-19-00-03",pareto,18,FALSE),"-")</f>
        <v>-</v>
      </c>
      <c r="BG86" s="20"/>
      <c r="BH86" s="20"/>
      <c r="BI86" s="20"/>
      <c r="BJ86" s="48" t="e">
        <f>VLOOKUP("2P02-20-00-03",pareto,18,FALSE)</f>
        <v>#N/A</v>
      </c>
      <c r="BK86" s="40" t="str">
        <f>IFERROR(VLOOKUP("2P03-19-00-03",pareto,18,FALSE),"-")</f>
        <v>-</v>
      </c>
      <c r="BL86" s="20"/>
      <c r="BM86" s="20"/>
      <c r="BN86" s="20"/>
      <c r="BO86" s="48" t="str">
        <f>IFERROR(VLOOKUP("2P03-20-00-03",pareto,18,FALSE),"-")</f>
        <v>-</v>
      </c>
      <c r="BP86" s="60" t="str">
        <f>IFERROR(VLOOKUP("2P04-19-00-03",pareto,18,FALSE),"-")</f>
        <v>-</v>
      </c>
      <c r="BQ86" s="20"/>
      <c r="BR86" s="20"/>
      <c r="BS86" s="20"/>
      <c r="BT86" s="51" t="str">
        <f>IFERROR(VLOOKUP("2P04-20-00-03",pareto,18,FALSE),"-")</f>
        <v>-</v>
      </c>
      <c r="BU86" s="40" t="str">
        <f>IFERROR(VLOOKUP("2P05-19-00-03",pareto,18,FALSE),"-")</f>
        <v>-</v>
      </c>
      <c r="BV86" s="20"/>
      <c r="BW86" s="20"/>
      <c r="BX86" s="20"/>
      <c r="BY86" s="48" t="str">
        <f>IFERROR(VLOOKUP("2P05-20-00-03",pareto,18,FALSE),"-")</f>
        <v>-</v>
      </c>
      <c r="BZ86" s="40" t="str">
        <f>IFERROR(VLOOKUP("2P06-19-00-03",pareto,18,FALSE),"-")</f>
        <v>-</v>
      </c>
      <c r="CA86" s="20"/>
      <c r="CB86" s="20"/>
      <c r="CC86" s="20"/>
      <c r="CD86" s="48" t="str">
        <f>IFERROR(VLOOKUP("2P06-20-00-03",pareto,18,FALSE),"-")</f>
        <v>-</v>
      </c>
      <c r="CE86" s="40" t="str">
        <f>IFERROR(VLOOKUP("2P07-19-00-03",pareto,18,FALSE),"-")</f>
        <v>-</v>
      </c>
      <c r="CF86" s="20"/>
      <c r="CG86" s="20"/>
      <c r="CH86" s="20"/>
      <c r="CI86" s="48" t="str">
        <f>IFERROR(VLOOKUP("2P07-20-01-03",pareto,18,FALSE),"-")</f>
        <v>-</v>
      </c>
      <c r="CJ86" s="40" t="str">
        <f>IFERROR(VLOOKUP("2P08-19-01-03",pareto,18,FALSE),"-")</f>
        <v>-</v>
      </c>
      <c r="CK86" s="20"/>
      <c r="CL86" s="20"/>
      <c r="CM86" s="20"/>
      <c r="CN86" s="48" t="str">
        <f>IFERROR(VLOOKUP("2P08-20-01-03",pareto,18,FALSE),"-")</f>
        <v>-</v>
      </c>
      <c r="CO86" s="40" t="str">
        <f>IFERROR(VLOOKUP("2P09-19-01-03",pareto,18,FALSE),"-")</f>
        <v>-</v>
      </c>
      <c r="CP86" s="20"/>
      <c r="CQ86" s="20"/>
      <c r="CR86" s="20"/>
      <c r="CS86" s="48" t="str">
        <f>IFERROR(VLOOKUP("2P09-20-00-03",pareto,18,FALSE),"-")</f>
        <v>-</v>
      </c>
      <c r="CT86" s="19"/>
      <c r="CU86" s="20"/>
      <c r="CV86" s="20"/>
      <c r="CW86" s="20"/>
      <c r="CX86" s="20"/>
      <c r="CY86" s="20"/>
      <c r="CZ86" s="20"/>
      <c r="DA86" s="20"/>
      <c r="DB86" s="20"/>
      <c r="DC86" s="20"/>
      <c r="DD86" s="20"/>
      <c r="DE86" s="20"/>
      <c r="DF86" s="20"/>
      <c r="DG86" s="103"/>
      <c r="DH86" s="20"/>
      <c r="DI86" s="20"/>
      <c r="DJ86" s="20"/>
      <c r="DK86" s="103"/>
      <c r="DL86" s="206"/>
      <c r="DM86" s="20"/>
      <c r="DN86" s="20"/>
      <c r="DO86" s="20"/>
      <c r="DP86" s="103"/>
      <c r="DQ86" s="206"/>
      <c r="DR86" s="20"/>
      <c r="DS86" s="20"/>
      <c r="DT86" s="20"/>
      <c r="DU86" s="103"/>
      <c r="DV86" s="206"/>
      <c r="DW86" s="20"/>
      <c r="DX86" s="20"/>
      <c r="DY86" s="20"/>
      <c r="DZ86" s="103"/>
      <c r="EA86" s="206"/>
      <c r="EB86" s="20"/>
      <c r="EC86" s="20"/>
      <c r="ED86" s="20"/>
      <c r="EE86" s="103"/>
      <c r="EF86" s="206"/>
      <c r="EG86" s="20"/>
      <c r="EH86" s="20"/>
      <c r="EI86" s="20"/>
      <c r="EJ86" s="103"/>
      <c r="EK86" s="206"/>
      <c r="EL86" s="20"/>
      <c r="EM86" s="20"/>
      <c r="EN86" s="20"/>
      <c r="EO86" s="206"/>
      <c r="EP86" s="40" t="str">
        <f>IFERROR(VLOOKUP("4P01-19-00-03",pareto,18,FALSE),"-")</f>
        <v>-</v>
      </c>
      <c r="EQ86" s="20"/>
      <c r="ER86" s="20"/>
      <c r="ES86" s="20"/>
      <c r="ET86" s="48" t="str">
        <f>IFERROR(VLOOKUP("4P01-20-00-03",pareto,18,FALSE),"-")</f>
        <v>-</v>
      </c>
      <c r="EU86" s="40" t="str">
        <f>IFERROR(VLOOKUP("4P02-19-00-03",pareto,18,FALSE),"-")</f>
        <v>-</v>
      </c>
      <c r="EV86" s="20"/>
      <c r="EW86" s="20"/>
      <c r="EX86" s="20"/>
      <c r="EY86" s="48" t="str">
        <f>IFERROR(VLOOKUP("4P02-20-00-03",pareto,18,FALSE),"-")</f>
        <v>-</v>
      </c>
      <c r="EZ86" s="40" t="str">
        <f>IFERROR(VLOOKUP("4P03-19-00-03",pareto,18,FALSE),"-")</f>
        <v>-</v>
      </c>
      <c r="FA86" s="20"/>
      <c r="FB86" s="20"/>
      <c r="FC86" s="20"/>
      <c r="FD86" s="48" t="str">
        <f>IFERROR(VLOOKUP("4P03-20-00-03",pareto,18,FALSE),"-")</f>
        <v>-</v>
      </c>
      <c r="FE86" s="40" t="str">
        <f>IFERROR(VLOOKUP("4P04-19-00-03",pareto,18,FALSE),"-")</f>
        <v>-</v>
      </c>
      <c r="FF86" s="20"/>
      <c r="FG86" s="20"/>
      <c r="FH86" s="20"/>
      <c r="FI86" s="48" t="str">
        <f>IFERROR(VLOOKUP("4P04-20-00-03",pareto,18,FALSE),"-")</f>
        <v>-</v>
      </c>
      <c r="FJ86" s="40" t="str">
        <f>IFERROR(VLOOKUP("4P05-19-00-03",pareto,18,FALSE),"-")</f>
        <v>-</v>
      </c>
      <c r="FK86" s="20"/>
      <c r="FL86" s="20"/>
      <c r="FM86" s="20"/>
      <c r="FN86" s="48" t="str">
        <f>IFERROR(VLOOKUP("4P05-20-00-03",pareto,18,FALSE),"-")</f>
        <v>-</v>
      </c>
      <c r="FO86" s="40" t="str">
        <f>IFERROR(VLOOKUP("4P06-19-00-03",pareto,18,FALSE),"-")</f>
        <v>-</v>
      </c>
      <c r="FP86" s="20"/>
      <c r="FQ86" s="20"/>
      <c r="FR86" s="20"/>
      <c r="FS86" s="48" t="str">
        <f>IFERROR(VLOOKUP("4P06-20-00-03",pareto,18,FALSE),"-")</f>
        <v>-</v>
      </c>
      <c r="FT86" s="40" t="str">
        <f>IFERROR(VLOOKUP("4P07-19-00-03",pareto,18,FALSE),"-")</f>
        <v>-</v>
      </c>
      <c r="FU86" s="20"/>
      <c r="FV86" s="20"/>
      <c r="FW86" s="20"/>
      <c r="FX86" s="48" t="str">
        <f>IFERROR(VLOOKUP("4P07-20-00-03",pareto,18,FALSE),"-")</f>
        <v>-</v>
      </c>
      <c r="FY86" s="40" t="str">
        <f>IFERROR(VLOOKUP("4P08-19-00-03",pareto,18,FALSE),"-")</f>
        <v>-</v>
      </c>
      <c r="FZ86" s="20"/>
      <c r="GA86" s="20"/>
      <c r="GB86" s="20"/>
      <c r="GC86" s="48" t="str">
        <f>IFERROR(VLOOKUP("4P08-20-00-03",pareto,18,FALSE),"-")</f>
        <v>-</v>
      </c>
      <c r="GD86" s="40" t="str">
        <f>IFERROR(VLOOKUP("4P09-19-00-03",pareto,18,FALSE),"-")</f>
        <v>-</v>
      </c>
      <c r="GE86" s="20"/>
      <c r="GF86" s="20"/>
      <c r="GG86" s="20"/>
      <c r="GH86" s="48" t="str">
        <f>IFERROR(VLOOKUP("4P09-20-00-03",pareto,18,FALSE),"-")</f>
        <v>-</v>
      </c>
    </row>
    <row r="87" spans="3:190" ht="12" customHeight="1" thickTop="1" thickBot="1" x14ac:dyDescent="0.3">
      <c r="C87" s="270"/>
      <c r="D87" s="270"/>
      <c r="E87" s="270"/>
      <c r="F87" s="270"/>
      <c r="G87" s="270"/>
      <c r="H87" s="270"/>
      <c r="I87" s="270"/>
      <c r="J87" s="270"/>
      <c r="K87" s="270"/>
      <c r="L87" s="270"/>
      <c r="M87" s="270"/>
      <c r="N87" s="270"/>
      <c r="O87" s="270"/>
      <c r="P87" s="270"/>
      <c r="Q87" s="270"/>
      <c r="R87" s="9"/>
      <c r="S87" s="9"/>
      <c r="T87" s="9"/>
      <c r="U87" s="9"/>
      <c r="V87" s="9"/>
      <c r="W87" s="9"/>
      <c r="X87" s="275"/>
      <c r="Y87" s="275"/>
      <c r="Z87" s="275"/>
      <c r="AA87" s="275"/>
      <c r="AB87" s="275"/>
      <c r="AC87" s="275"/>
      <c r="AD87" s="275"/>
      <c r="AE87" s="275"/>
      <c r="AF87" s="275"/>
      <c r="AG87" s="275"/>
      <c r="AH87" s="275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32"/>
      <c r="AX87" s="9"/>
      <c r="AY87" s="9"/>
      <c r="AZ87" s="36"/>
      <c r="BA87" s="105"/>
      <c r="BB87" s="20"/>
      <c r="BC87" s="20"/>
      <c r="BD87" s="20"/>
      <c r="BE87" s="110"/>
      <c r="BF87" s="43" t="str">
        <f>IFERROR(VLOOKUP("2P02-19-00-02",pareto,18,FALSE),"-")</f>
        <v>-</v>
      </c>
      <c r="BG87" s="20"/>
      <c r="BH87" s="20"/>
      <c r="BI87" s="20"/>
      <c r="BJ87" s="54" t="e">
        <f>VLOOKUP("2P02-20-00-02",pareto,18,FALSE)</f>
        <v>#N/A</v>
      </c>
      <c r="BK87" s="43" t="str">
        <f>IFERROR(VLOOKUP("2P03-19-00-02",pareto,18,FALSE),"-")</f>
        <v>-</v>
      </c>
      <c r="BL87" s="20"/>
      <c r="BM87" s="20"/>
      <c r="BN87" s="20"/>
      <c r="BO87" s="61" t="str">
        <f>IFERROR(VLOOKUP("2P03-20-00-02",pareto,18,FALSE),"-")</f>
        <v>-</v>
      </c>
      <c r="BP87" s="62" t="str">
        <f>IFERROR(VLOOKUP("2P04-19-00-02",pareto,18,FALSE),"-")</f>
        <v>-</v>
      </c>
      <c r="BQ87" s="20"/>
      <c r="BR87" s="20"/>
      <c r="BS87" s="20"/>
      <c r="BT87" s="58" t="str">
        <f>IFERROR(VLOOKUP("2P04-20-00-02",pareto,18,FALSE),"-")</f>
        <v>-</v>
      </c>
      <c r="BU87" s="43" t="str">
        <f>IFERROR(VLOOKUP("2P05-19-00-02",pareto,18,FALSE),"-")</f>
        <v>-</v>
      </c>
      <c r="BV87" s="20"/>
      <c r="BW87" s="20"/>
      <c r="BX87" s="20"/>
      <c r="BY87" s="54" t="str">
        <f>IFERROR(VLOOKUP("2P05-20-00-02",pareto,18,FALSE),"-")</f>
        <v>-</v>
      </c>
      <c r="BZ87" s="43" t="str">
        <f>IFERROR(VLOOKUP("2P06-19-00-02",pareto,18,FALSE),"-")</f>
        <v>-</v>
      </c>
      <c r="CA87" s="20"/>
      <c r="CB87" s="20"/>
      <c r="CC87" s="20"/>
      <c r="CD87" s="54" t="str">
        <f>IFERROR(VLOOKUP("2P06-20-00-02",pareto,18,FALSE),"-")</f>
        <v>-</v>
      </c>
      <c r="CE87" s="43" t="str">
        <f>IFERROR(VLOOKUP("2P07-19-00-02",pareto,18,FALSE),"-")</f>
        <v>-</v>
      </c>
      <c r="CF87" s="20"/>
      <c r="CG87" s="20"/>
      <c r="CH87" s="20"/>
      <c r="CI87" s="54" t="str">
        <f>IFERROR(VLOOKUP("2P07-20-01-02",pareto,18,FALSE),"-")</f>
        <v>-</v>
      </c>
      <c r="CJ87" s="43" t="str">
        <f>IFERROR(VLOOKUP("2P08-19-01-02",pareto,18,FALSE),"-")</f>
        <v>-</v>
      </c>
      <c r="CK87" s="20"/>
      <c r="CL87" s="20"/>
      <c r="CM87" s="20"/>
      <c r="CN87" s="54" t="str">
        <f>IFERROR(VLOOKUP("2P08-20-01-02",pareto,18,FALSE),"-")</f>
        <v>-</v>
      </c>
      <c r="CO87" s="43" t="str">
        <f>IFERROR(VLOOKUP("2P09-19-01-02",pareto,18,FALSE),"-")</f>
        <v>-</v>
      </c>
      <c r="CP87" s="20"/>
      <c r="CQ87" s="20"/>
      <c r="CR87" s="20"/>
      <c r="CS87" s="54" t="str">
        <f>IFERROR(VLOOKUP("2P09-20-00-02",pareto,18,FALSE),"-")</f>
        <v>-</v>
      </c>
      <c r="CT87" s="19"/>
      <c r="CU87" s="20"/>
      <c r="CV87" s="20"/>
      <c r="CW87" s="20"/>
      <c r="CX87" s="20"/>
      <c r="CY87" s="20"/>
      <c r="CZ87" s="20"/>
      <c r="DA87" s="20"/>
      <c r="DB87" s="20"/>
      <c r="DC87" s="20"/>
      <c r="DD87" s="20"/>
      <c r="DE87" s="20"/>
      <c r="DF87" s="20"/>
      <c r="DG87" s="105"/>
      <c r="DH87" s="20"/>
      <c r="DI87" s="20"/>
      <c r="DJ87" s="20"/>
      <c r="DK87" s="105"/>
      <c r="DL87" s="207"/>
      <c r="DM87" s="20"/>
      <c r="DN87" s="20"/>
      <c r="DO87" s="20"/>
      <c r="DP87" s="105"/>
      <c r="DQ87" s="207"/>
      <c r="DR87" s="20"/>
      <c r="DS87" s="20"/>
      <c r="DT87" s="20"/>
      <c r="DU87" s="105"/>
      <c r="DV87" s="207"/>
      <c r="DW87" s="20"/>
      <c r="DX87" s="20"/>
      <c r="DY87" s="20"/>
      <c r="DZ87" s="105"/>
      <c r="EA87" s="207"/>
      <c r="EB87" s="20"/>
      <c r="EC87" s="20"/>
      <c r="ED87" s="20"/>
      <c r="EE87" s="105"/>
      <c r="EF87" s="207"/>
      <c r="EG87" s="20"/>
      <c r="EH87" s="20"/>
      <c r="EI87" s="20"/>
      <c r="EJ87" s="105"/>
      <c r="EK87" s="207"/>
      <c r="EL87" s="20"/>
      <c r="EM87" s="20"/>
      <c r="EN87" s="20"/>
      <c r="EO87" s="207"/>
      <c r="EP87" s="43" t="str">
        <f>IFERROR(VLOOKUP("4P01-19-00-02",pareto,18,FALSE),"-")</f>
        <v>-</v>
      </c>
      <c r="EQ87" s="20"/>
      <c r="ER87" s="20"/>
      <c r="ES87" s="20"/>
      <c r="ET87" s="54" t="str">
        <f>IFERROR(VLOOKUP("4P01-20-00-02",pareto,18,FALSE),"-")</f>
        <v>-</v>
      </c>
      <c r="EU87" s="43" t="str">
        <f>IFERROR(VLOOKUP("4P02-19-00-02",pareto,18,FALSE),"-")</f>
        <v>-</v>
      </c>
      <c r="EV87" s="20"/>
      <c r="EW87" s="20"/>
      <c r="EX87" s="20"/>
      <c r="EY87" s="54" t="str">
        <f>IFERROR(VLOOKUP("4P02-20-00-02",pareto,18,FALSE),"-")</f>
        <v>-</v>
      </c>
      <c r="EZ87" s="43" t="str">
        <f>IFERROR(VLOOKUP("4P03-19-00-02",pareto,18,FALSE),"-")</f>
        <v>-</v>
      </c>
      <c r="FA87" s="20"/>
      <c r="FB87" s="20"/>
      <c r="FC87" s="20"/>
      <c r="FD87" s="54" t="str">
        <f>IFERROR(VLOOKUP("4P03-20-00-02",pareto,18,FALSE),"-")</f>
        <v>-</v>
      </c>
      <c r="FE87" s="43" t="str">
        <f>IFERROR(VLOOKUP("4P04-19-00-02",pareto,18,FALSE),"-")</f>
        <v>-</v>
      </c>
      <c r="FF87" s="20"/>
      <c r="FG87" s="20"/>
      <c r="FH87" s="20"/>
      <c r="FI87" s="54" t="str">
        <f>IFERROR(VLOOKUP("4P04-20-00-02",pareto,18,FALSE),"-")</f>
        <v>-</v>
      </c>
      <c r="FJ87" s="43" t="str">
        <f>IFERROR(VLOOKUP("4P05-19-00-02",pareto,18,FALSE),"-")</f>
        <v>-</v>
      </c>
      <c r="FK87" s="20"/>
      <c r="FL87" s="20"/>
      <c r="FM87" s="20"/>
      <c r="FN87" s="54" t="str">
        <f>IFERROR(VLOOKUP("4P05-20-00-02",pareto,18,FALSE),"-")</f>
        <v>-</v>
      </c>
      <c r="FO87" s="43" t="str">
        <f>IFERROR(VLOOKUP("4P06-19-00-02",pareto,18,FALSE),"-")</f>
        <v>-</v>
      </c>
      <c r="FP87" s="20"/>
      <c r="FQ87" s="20"/>
      <c r="FR87" s="20"/>
      <c r="FS87" s="54" t="str">
        <f>IFERROR(VLOOKUP("4P06-20-00-02",pareto,18,FALSE),"-")</f>
        <v>-</v>
      </c>
      <c r="FT87" s="43" t="str">
        <f>IFERROR(VLOOKUP("4P07-19-00-02",pareto,18,FALSE),"-")</f>
        <v>-</v>
      </c>
      <c r="FU87" s="20"/>
      <c r="FV87" s="20"/>
      <c r="FW87" s="20"/>
      <c r="FX87" s="54" t="str">
        <f>IFERROR(VLOOKUP("4P07-20-00-02",pareto,18,FALSE),"-")</f>
        <v>-</v>
      </c>
      <c r="FY87" s="43" t="str">
        <f>IFERROR(VLOOKUP("4P08-19-00-02",pareto,18,FALSE),"-")</f>
        <v>-</v>
      </c>
      <c r="FZ87" s="20"/>
      <c r="GA87" s="20"/>
      <c r="GB87" s="20"/>
      <c r="GC87" s="54" t="str">
        <f>IFERROR(VLOOKUP("4P08-20-00-02",pareto,18,FALSE),"-")</f>
        <v>-</v>
      </c>
      <c r="GD87" s="43" t="str">
        <f>IFERROR(VLOOKUP("4P09-19-00-02",pareto,18,FALSE),"-")</f>
        <v>-</v>
      </c>
      <c r="GE87" s="20"/>
      <c r="GF87" s="20"/>
      <c r="GG87" s="20"/>
      <c r="GH87" s="54" t="str">
        <f>IFERROR(VLOOKUP("4P09-20-00-02",pareto,18,FALSE),"-")</f>
        <v>-</v>
      </c>
    </row>
    <row r="88" spans="3:190" ht="12" customHeight="1" thickTop="1" thickBot="1" x14ac:dyDescent="0.3">
      <c r="C88" s="270"/>
      <c r="D88" s="270"/>
      <c r="E88" s="270"/>
      <c r="F88" s="270"/>
      <c r="G88" s="270"/>
      <c r="H88" s="270"/>
      <c r="I88" s="270"/>
      <c r="J88" s="270"/>
      <c r="K88" s="270"/>
      <c r="L88" s="270"/>
      <c r="M88" s="270"/>
      <c r="N88" s="270"/>
      <c r="O88" s="270"/>
      <c r="P88" s="270"/>
      <c r="Q88" s="270"/>
      <c r="R88" s="9"/>
      <c r="S88" s="9"/>
      <c r="T88" s="9"/>
      <c r="U88" s="9"/>
      <c r="V88" s="9"/>
      <c r="W88" s="9"/>
      <c r="X88" s="275"/>
      <c r="Y88" s="275"/>
      <c r="Z88" s="275"/>
      <c r="AA88" s="275"/>
      <c r="AB88" s="275"/>
      <c r="AC88" s="275"/>
      <c r="AD88" s="275"/>
      <c r="AE88" s="275"/>
      <c r="AF88" s="275"/>
      <c r="AG88" s="275"/>
      <c r="AH88" s="275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33"/>
      <c r="AX88" s="9"/>
      <c r="AY88" s="9"/>
      <c r="AZ88" s="37"/>
      <c r="BA88" s="107"/>
      <c r="BB88" s="20"/>
      <c r="BC88" s="20"/>
      <c r="BD88" s="20"/>
      <c r="BE88" s="111"/>
      <c r="BF88" s="42" t="str">
        <f>IFERROR(VLOOKUP("2P02-19-00-01",pareto,18,FALSE),"-")</f>
        <v>-</v>
      </c>
      <c r="BG88" s="20"/>
      <c r="BH88" s="20"/>
      <c r="BI88" s="20"/>
      <c r="BJ88" s="52" t="e">
        <f>VLOOKUP("2P02-20-00-01",pareto,18,FALSE)</f>
        <v>#N/A</v>
      </c>
      <c r="BK88" s="42" t="str">
        <f>IFERROR(VLOOKUP("2P03-19-00-01",pareto,18,FALSE),"-")</f>
        <v>-</v>
      </c>
      <c r="BL88" s="20"/>
      <c r="BM88" s="20"/>
      <c r="BN88" s="20"/>
      <c r="BO88" s="52" t="str">
        <f>IFERROR(VLOOKUP("2P03-20-00-01",pareto,18,FALSE),"-")</f>
        <v>-</v>
      </c>
      <c r="BP88" s="42" t="str">
        <f>IFERROR(VLOOKUP("2P04-19-00-01",pareto,18,FALSE),"-")</f>
        <v>-</v>
      </c>
      <c r="BQ88" s="20"/>
      <c r="BR88" s="20"/>
      <c r="BS88" s="20"/>
      <c r="BT88" s="52" t="str">
        <f>IFERROR(VLOOKUP("2P04-20-00-01",pareto,18,FALSE),"-")</f>
        <v>-</v>
      </c>
      <c r="BU88" s="42" t="str">
        <f>IFERROR(VLOOKUP("2P05-19-00-01",pareto,18,FALSE),"-")</f>
        <v>-</v>
      </c>
      <c r="BV88" s="20"/>
      <c r="BW88" s="20"/>
      <c r="BX88" s="20"/>
      <c r="BY88" s="52" t="str">
        <f>IFERROR(VLOOKUP("2P05-20-00-01",pareto,18,FALSE),"-")</f>
        <v>-</v>
      </c>
      <c r="BZ88" s="42" t="str">
        <f>IFERROR(VLOOKUP("2P06-19-00-01",pareto,18,FALSE),"-")</f>
        <v>-</v>
      </c>
      <c r="CA88" s="20"/>
      <c r="CB88" s="20"/>
      <c r="CC88" s="20"/>
      <c r="CD88" s="52" t="str">
        <f>IFERROR(VLOOKUP("2P06-20-00-01",pareto,18,FALSE),"-")</f>
        <v>-</v>
      </c>
      <c r="CE88" s="42" t="str">
        <f>IFERROR(VLOOKUP("2P07-19-00-01",pareto,18,FALSE),"-")</f>
        <v>-</v>
      </c>
      <c r="CF88" s="20"/>
      <c r="CG88" s="20"/>
      <c r="CH88" s="20"/>
      <c r="CI88" s="52" t="str">
        <f>IFERROR(VLOOKUP("2P07-20-01-01",pareto,18,FALSE),"-")</f>
        <v>-</v>
      </c>
      <c r="CJ88" s="42" t="str">
        <f>IFERROR(VLOOKUP("2P08-19-01-01",pareto,18,FALSE),"-")</f>
        <v>-</v>
      </c>
      <c r="CK88" s="20"/>
      <c r="CL88" s="20"/>
      <c r="CM88" s="20"/>
      <c r="CN88" s="52" t="str">
        <f>IFERROR(VLOOKUP("2P08-20-01-01",pareto,18,FALSE),"-")</f>
        <v>-</v>
      </c>
      <c r="CO88" s="42" t="str">
        <f>IFERROR(VLOOKUP("2P09-19-01-01",pareto,18,FALSE),"-")</f>
        <v>-</v>
      </c>
      <c r="CP88" s="20"/>
      <c r="CQ88" s="20"/>
      <c r="CR88" s="20"/>
      <c r="CS88" s="52" t="str">
        <f>IFERROR(VLOOKUP("2P09-18-00-01",pareto,18,FALSE),"-")</f>
        <v>-</v>
      </c>
      <c r="CT88" s="19"/>
      <c r="CU88" s="20"/>
      <c r="CV88" s="20"/>
      <c r="CW88" s="20"/>
      <c r="CX88" s="20"/>
      <c r="CY88" s="20"/>
      <c r="CZ88" s="20"/>
      <c r="DA88" s="20"/>
      <c r="DB88" s="20"/>
      <c r="DC88" s="20"/>
      <c r="DD88" s="20"/>
      <c r="DE88" s="20"/>
      <c r="DF88" s="20"/>
      <c r="DG88" s="107"/>
      <c r="DH88" s="20"/>
      <c r="DI88" s="20"/>
      <c r="DJ88" s="20"/>
      <c r="DK88" s="107"/>
      <c r="DL88" s="205"/>
      <c r="DM88" s="20"/>
      <c r="DN88" s="20"/>
      <c r="DO88" s="20"/>
      <c r="DP88" s="107"/>
      <c r="DQ88" s="205"/>
      <c r="DR88" s="20"/>
      <c r="DS88" s="20"/>
      <c r="DT88" s="20"/>
      <c r="DU88" s="107"/>
      <c r="DV88" s="205"/>
      <c r="DW88" s="20"/>
      <c r="DX88" s="20"/>
      <c r="DY88" s="20"/>
      <c r="DZ88" s="107"/>
      <c r="EA88" s="205"/>
      <c r="EB88" s="20"/>
      <c r="EC88" s="20"/>
      <c r="ED88" s="20"/>
      <c r="EE88" s="107"/>
      <c r="EF88" s="205"/>
      <c r="EG88" s="20"/>
      <c r="EH88" s="20"/>
      <c r="EI88" s="20"/>
      <c r="EJ88" s="107"/>
      <c r="EK88" s="205"/>
      <c r="EL88" s="20"/>
      <c r="EM88" s="20"/>
      <c r="EN88" s="20"/>
      <c r="EO88" s="205"/>
      <c r="EP88" s="42" t="str">
        <f>IFERROR(VLOOKUP("4P01-19-00-01",pareto,18,FALSE),"-")</f>
        <v>-</v>
      </c>
      <c r="EQ88" s="20"/>
      <c r="ER88" s="20"/>
      <c r="ES88" s="20"/>
      <c r="ET88" s="52" t="str">
        <f>IFERROR(VLOOKUP("4P01-20-00-01",pareto,18,FALSE),"-")</f>
        <v>-</v>
      </c>
      <c r="EU88" s="42" t="str">
        <f>IFERROR(VLOOKUP("4P02-19-00-01",pareto,18,FALSE),"-")</f>
        <v>-</v>
      </c>
      <c r="EV88" s="20"/>
      <c r="EW88" s="20"/>
      <c r="EX88" s="20"/>
      <c r="EY88" s="52" t="str">
        <f>IFERROR(VLOOKUP("4P02-20-00-01",pareto,18,FALSE),"-")</f>
        <v>-</v>
      </c>
      <c r="EZ88" s="42" t="str">
        <f>IFERROR(VLOOKUP("4P03-19-00-01",pareto,18,FALSE),"-")</f>
        <v>-</v>
      </c>
      <c r="FA88" s="20"/>
      <c r="FB88" s="20"/>
      <c r="FC88" s="20"/>
      <c r="FD88" s="52" t="str">
        <f>IFERROR(VLOOKUP("4P03-20-00-01",pareto,18,FALSE),"-")</f>
        <v>-</v>
      </c>
      <c r="FE88" s="42" t="str">
        <f>IFERROR(VLOOKUP("4P04-19-00-01",pareto,18,FALSE),"-")</f>
        <v>-</v>
      </c>
      <c r="FF88" s="20"/>
      <c r="FG88" s="20"/>
      <c r="FH88" s="20"/>
      <c r="FI88" s="52" t="str">
        <f>IFERROR(VLOOKUP("4P04-20-00-01",pareto,18,FALSE),"-")</f>
        <v>-</v>
      </c>
      <c r="FJ88" s="42" t="str">
        <f>IFERROR(VLOOKUP("4P05-19-00-01",pareto,18,FALSE),"-")</f>
        <v>-</v>
      </c>
      <c r="FK88" s="20"/>
      <c r="FL88" s="20"/>
      <c r="FM88" s="20"/>
      <c r="FN88" s="52" t="str">
        <f>IFERROR(VLOOKUP("4P05-20-00-01",pareto,18,FALSE),"-")</f>
        <v>-</v>
      </c>
      <c r="FO88" s="42" t="str">
        <f>IFERROR(VLOOKUP("4P06-19-00-01",pareto,18,FALSE),"-")</f>
        <v>-</v>
      </c>
      <c r="FP88" s="20"/>
      <c r="FQ88" s="20"/>
      <c r="FR88" s="20"/>
      <c r="FS88" s="52" t="str">
        <f>IFERROR(VLOOKUP("4P06-20-00-01",pareto,18,FALSE),"-")</f>
        <v>-</v>
      </c>
      <c r="FT88" s="42" t="str">
        <f>IFERROR(VLOOKUP("4P07-19-00-01",pareto,18,FALSE),"-")</f>
        <v>-</v>
      </c>
      <c r="FU88" s="20"/>
      <c r="FV88" s="20"/>
      <c r="FW88" s="20"/>
      <c r="FX88" s="52" t="str">
        <f>IFERROR(VLOOKUP("4P07-20-00-01",pareto,18,FALSE),"-")</f>
        <v>-</v>
      </c>
      <c r="FY88" s="42" t="str">
        <f>IFERROR(VLOOKUP("4P08-19-00-01",pareto,18,FALSE),"-")</f>
        <v>-</v>
      </c>
      <c r="FZ88" s="20"/>
      <c r="GA88" s="20"/>
      <c r="GB88" s="20"/>
      <c r="GC88" s="52" t="str">
        <f>IFERROR(VLOOKUP("4P08-20-00-01",pareto,18,FALSE),"-")</f>
        <v>-</v>
      </c>
      <c r="GD88" s="42" t="str">
        <f>IFERROR(VLOOKUP("4P09-19-00-01",pareto,18,FALSE),"-")</f>
        <v>-</v>
      </c>
      <c r="GE88" s="20"/>
      <c r="GF88" s="20"/>
      <c r="GG88" s="20"/>
      <c r="GH88" s="52" t="str">
        <f>IFERROR(VLOOKUP("4P09-20-00-01",pareto,18,FALSE),"-")</f>
        <v>-</v>
      </c>
    </row>
    <row r="89" spans="3:190" ht="12" customHeight="1" thickTop="1" thickBot="1" x14ac:dyDescent="0.3">
      <c r="C89" s="270"/>
      <c r="D89" s="270"/>
      <c r="E89" s="270"/>
      <c r="F89" s="270"/>
      <c r="G89" s="270"/>
      <c r="H89" s="270"/>
      <c r="I89" s="270"/>
      <c r="J89" s="270"/>
      <c r="K89" s="270"/>
      <c r="L89" s="270"/>
      <c r="M89" s="270"/>
      <c r="N89" s="270"/>
      <c r="O89" s="270"/>
      <c r="P89" s="270"/>
      <c r="Q89" s="270"/>
      <c r="R89" s="9"/>
      <c r="S89" s="9"/>
      <c r="T89" s="9"/>
      <c r="U89" s="9"/>
      <c r="V89" s="9"/>
      <c r="W89" s="9"/>
      <c r="X89" s="275"/>
      <c r="Y89" s="275"/>
      <c r="Z89" s="275"/>
      <c r="AA89" s="275"/>
      <c r="AB89" s="275"/>
      <c r="AC89" s="275"/>
      <c r="AD89" s="275"/>
      <c r="AE89" s="275"/>
      <c r="AF89" s="275"/>
      <c r="AG89" s="275"/>
      <c r="AH89" s="275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34"/>
      <c r="AX89" s="9"/>
      <c r="AY89" s="9"/>
      <c r="AZ89" s="38"/>
      <c r="BA89" s="103"/>
      <c r="BB89" s="20"/>
      <c r="BC89" s="20"/>
      <c r="BD89" s="20"/>
      <c r="BE89" s="109"/>
      <c r="BF89" s="40" t="str">
        <f>IFERROR(VLOOKUP("2P02-17-00-03",pareto,18,FALSE),"-")</f>
        <v>-</v>
      </c>
      <c r="BG89" s="20"/>
      <c r="BH89" s="20"/>
      <c r="BI89" s="20"/>
      <c r="BJ89" s="48" t="e">
        <f>VLOOKUP("2P02-18-00-03",pareto,18,FALSE)</f>
        <v>#N/A</v>
      </c>
      <c r="BK89" s="40" t="str">
        <f>IFERROR(VLOOKUP("2P03-17-00-03",pareto,18,FALSE),"-")</f>
        <v>-</v>
      </c>
      <c r="BL89" s="20"/>
      <c r="BM89" s="20"/>
      <c r="BN89" s="20"/>
      <c r="BO89" s="115"/>
      <c r="BP89" s="59" t="str">
        <f>IFERROR(VLOOKUP("2P04-17-00-03",pareto,18,FALSE),"-")</f>
        <v>-</v>
      </c>
      <c r="BQ89" s="20"/>
      <c r="BR89" s="20"/>
      <c r="BS89" s="20"/>
      <c r="BT89" s="48" t="str">
        <f>IFERROR(VLOOKUP("2P04-20-00-03",pareto,18,FALSE),"-")</f>
        <v>-</v>
      </c>
      <c r="BU89" s="40" t="str">
        <f>IFERROR(VLOOKUP("2P05-17-00-03",pareto,18,FALSE),"-")</f>
        <v>-</v>
      </c>
      <c r="BV89" s="20"/>
      <c r="BW89" s="20"/>
      <c r="BX89" s="20"/>
      <c r="BY89" s="48" t="str">
        <f>IFERROR(VLOOKUP("2P05-20-00-03",pareto,18,FALSE),"-")</f>
        <v>-</v>
      </c>
      <c r="BZ89" s="40" t="str">
        <f>IFERROR(VLOOKUP("2P06-17-00-03",pareto,18,FALSE),"-")</f>
        <v>-</v>
      </c>
      <c r="CA89" s="20"/>
      <c r="CB89" s="20"/>
      <c r="CC89" s="20"/>
      <c r="CD89" s="48" t="str">
        <f>IFERROR(VLOOKUP("2P06-20-00-03",pareto,18,FALSE),"-")</f>
        <v>-</v>
      </c>
      <c r="CE89" s="66"/>
      <c r="CF89" s="20"/>
      <c r="CG89" s="20"/>
      <c r="CH89" s="20"/>
      <c r="CI89" s="48" t="str">
        <f>IFERROR(VLOOKUP("2P07-20-01-03",pareto,18,FALSE),"-")</f>
        <v>-</v>
      </c>
      <c r="CJ89" s="40" t="str">
        <f>IFERROR(VLOOKUP("2P08-17-01-03",pareto,18,FALSE),"-")</f>
        <v>-</v>
      </c>
      <c r="CK89" s="20"/>
      <c r="CL89" s="20"/>
      <c r="CM89" s="20"/>
      <c r="CN89" s="48" t="str">
        <f>IFERROR(VLOOKUP("2P08-20-01-03",pareto,18,FALSE),"-")</f>
        <v>-</v>
      </c>
      <c r="CO89" s="40" t="str">
        <f>IFERROR(VLOOKUP("2P09-17-01-03",pareto,18,FALSE),"-")</f>
        <v>-</v>
      </c>
      <c r="CP89" s="20"/>
      <c r="CQ89" s="20"/>
      <c r="CR89" s="20"/>
      <c r="CS89" s="52" t="str">
        <f>IFERROR(VLOOKUP("2P09-18-00-01",pareto,18,FALSE),"-")</f>
        <v>-</v>
      </c>
      <c r="CT89" s="19"/>
      <c r="CU89" s="20"/>
      <c r="CV89" s="20"/>
      <c r="CW89" s="20"/>
      <c r="CX89" s="20"/>
      <c r="CY89" s="20"/>
      <c r="CZ89" s="20"/>
      <c r="DA89" s="20"/>
      <c r="DB89" s="20"/>
      <c r="DC89" s="20"/>
      <c r="DD89" s="20"/>
      <c r="DE89" s="20"/>
      <c r="DF89" s="20"/>
      <c r="DG89" s="103"/>
      <c r="DH89" s="20"/>
      <c r="DI89" s="20"/>
      <c r="DJ89" s="20"/>
      <c r="DK89" s="103"/>
      <c r="DL89" s="206"/>
      <c r="DM89" s="20"/>
      <c r="DN89" s="20"/>
      <c r="DO89" s="20"/>
      <c r="DP89" s="103"/>
      <c r="DQ89" s="206"/>
      <c r="DR89" s="20"/>
      <c r="DS89" s="20"/>
      <c r="DT89" s="20"/>
      <c r="DU89" s="103"/>
      <c r="DV89" s="206"/>
      <c r="DW89" s="20"/>
      <c r="DX89" s="20"/>
      <c r="DY89" s="20"/>
      <c r="DZ89" s="103"/>
      <c r="EA89" s="206"/>
      <c r="EB89" s="20"/>
      <c r="EC89" s="20"/>
      <c r="ED89" s="20"/>
      <c r="EE89" s="103"/>
      <c r="EF89" s="206"/>
      <c r="EG89" s="20"/>
      <c r="EH89" s="20"/>
      <c r="EI89" s="20"/>
      <c r="EJ89" s="103"/>
      <c r="EK89" s="206"/>
      <c r="EL89" s="20"/>
      <c r="EM89" s="20"/>
      <c r="EN89" s="20"/>
      <c r="EO89" s="206"/>
      <c r="EP89" s="40" t="str">
        <f>IFERROR(VLOOKUP("4P01-17-00-03",pareto,18,FALSE),"-")</f>
        <v>-</v>
      </c>
      <c r="EQ89" s="20"/>
      <c r="ER89" s="20"/>
      <c r="ES89" s="20"/>
      <c r="ET89" s="48" t="str">
        <f>IFERROR(VLOOKUP("4P01-20-00-03",pareto,18,FALSE),"-")</f>
        <v>-</v>
      </c>
      <c r="EU89" s="40" t="str">
        <f>IFERROR(VLOOKUP("4P02-17-00-03",pareto,18,FALSE),"-")</f>
        <v>-</v>
      </c>
      <c r="EV89" s="20"/>
      <c r="EW89" s="20"/>
      <c r="EX89" s="20"/>
      <c r="EY89" s="48" t="str">
        <f>IFERROR(VLOOKUP("4P02-20-00-03",pareto,18,FALSE),"-")</f>
        <v>-</v>
      </c>
      <c r="EZ89" s="40" t="str">
        <f>IFERROR(VLOOKUP("4P03-17-00-03",pareto,18,FALSE),"-")</f>
        <v>-</v>
      </c>
      <c r="FA89" s="20"/>
      <c r="FB89" s="20"/>
      <c r="FC89" s="20"/>
      <c r="FD89" s="73"/>
      <c r="FE89" s="40" t="str">
        <f>IFERROR(VLOOKUP("4P04-17-00-03",pareto,18,FALSE),"-")</f>
        <v>-</v>
      </c>
      <c r="FF89" s="20"/>
      <c r="FG89" s="20"/>
      <c r="FH89" s="20"/>
      <c r="FI89" s="48" t="str">
        <f>IFERROR(VLOOKUP("4P04-20-00-03",pareto,18,FALSE),"-")</f>
        <v>-</v>
      </c>
      <c r="FJ89" s="40" t="str">
        <f>IFERROR(VLOOKUP("4P05-17-00-03",pareto,18,FALSE),"-")</f>
        <v>-</v>
      </c>
      <c r="FK89" s="20"/>
      <c r="FL89" s="20"/>
      <c r="FM89" s="20"/>
      <c r="FN89" s="48" t="str">
        <f>IFERROR(VLOOKUP("4P05-20-00-03",pareto,18,FALSE),"-")</f>
        <v>-</v>
      </c>
      <c r="FO89" s="40" t="str">
        <f>IFERROR(VLOOKUP("4P06-17-00-03",pareto,18,FALSE),"-")</f>
        <v>-</v>
      </c>
      <c r="FP89" s="20"/>
      <c r="FQ89" s="20"/>
      <c r="FR89" s="20"/>
      <c r="FS89" s="48" t="str">
        <f>IFERROR(VLOOKUP("4P06-20-00-03",pareto,18,FALSE),"-")</f>
        <v>-</v>
      </c>
      <c r="FT89" s="66"/>
      <c r="FU89" s="20"/>
      <c r="FV89" s="20"/>
      <c r="FW89" s="20"/>
      <c r="FX89" s="48" t="str">
        <f>IFERROR(VLOOKUP("4P07-20-00-03",pareto,18,FALSE),"-")</f>
        <v>-</v>
      </c>
      <c r="FY89" s="40" t="str">
        <f>IFERROR(VLOOKUP("4P08-17-00-03",pareto,18,FALSE),"-")</f>
        <v>-</v>
      </c>
      <c r="FZ89" s="20"/>
      <c r="GA89" s="20"/>
      <c r="GB89" s="20"/>
      <c r="GC89" s="48" t="str">
        <f>IFERROR(VLOOKUP("4P08-20-00-03",pareto,18,FALSE),"-")</f>
        <v>-</v>
      </c>
      <c r="GD89" s="40" t="str">
        <f>IFERROR(VLOOKUP("4P09-17-00-03",pareto,18,FALSE),"-")</f>
        <v>-</v>
      </c>
      <c r="GE89" s="20"/>
      <c r="GF89" s="20"/>
      <c r="GG89" s="20"/>
      <c r="GH89" s="48" t="str">
        <f>IFERROR(VLOOKUP("4P09-20-00-03",pareto,18,FALSE),"-")</f>
        <v>-</v>
      </c>
    </row>
    <row r="90" spans="3:190" ht="12" customHeight="1" thickTop="1" thickBot="1" x14ac:dyDescent="0.3">
      <c r="C90" s="270"/>
      <c r="D90" s="270"/>
      <c r="E90" s="270"/>
      <c r="F90" s="270"/>
      <c r="G90" s="270"/>
      <c r="H90" s="270"/>
      <c r="I90" s="270"/>
      <c r="J90" s="270"/>
      <c r="K90" s="270"/>
      <c r="L90" s="270"/>
      <c r="M90" s="270"/>
      <c r="N90" s="270"/>
      <c r="O90" s="270"/>
      <c r="P90" s="270"/>
      <c r="Q90" s="270"/>
      <c r="R90" s="9"/>
      <c r="S90" s="9"/>
      <c r="T90" s="9"/>
      <c r="U90" s="9"/>
      <c r="V90" s="9"/>
      <c r="W90" s="9"/>
      <c r="X90" s="275"/>
      <c r="Y90" s="275"/>
      <c r="Z90" s="275"/>
      <c r="AA90" s="275"/>
      <c r="AB90" s="275"/>
      <c r="AC90" s="275"/>
      <c r="AD90" s="275"/>
      <c r="AE90" s="275"/>
      <c r="AF90" s="275"/>
      <c r="AG90" s="275"/>
      <c r="AH90" s="275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32"/>
      <c r="AX90" s="9"/>
      <c r="AY90" s="9"/>
      <c r="AZ90" s="36"/>
      <c r="BA90" s="116"/>
      <c r="BB90" s="20"/>
      <c r="BC90" s="20"/>
      <c r="BD90" s="20"/>
      <c r="BE90" s="117"/>
      <c r="BF90" s="43" t="str">
        <f>IFERROR(VLOOKUP("2P02-17-00-02",pareto,18,FALSE),"-")</f>
        <v>-</v>
      </c>
      <c r="BG90" s="20"/>
      <c r="BH90" s="20"/>
      <c r="BI90" s="20"/>
      <c r="BJ90" s="49" t="e">
        <f>VLOOKUP("2P02-18-00-02",pareto,18,FALSE)</f>
        <v>#N/A</v>
      </c>
      <c r="BK90" s="43" t="str">
        <f>IFERROR(VLOOKUP("2P03-17-00-02",pareto,18,FALSE),"-")</f>
        <v>-</v>
      </c>
      <c r="BL90" s="20"/>
      <c r="BM90" s="20"/>
      <c r="BN90" s="20"/>
      <c r="BO90" s="118"/>
      <c r="BP90" s="43" t="str">
        <f>IFERROR(VLOOKUP("2P04-17-00-02",pareto,18,FALSE),"-")</f>
        <v>-</v>
      </c>
      <c r="BQ90" s="20"/>
      <c r="BR90" s="20"/>
      <c r="BS90" s="20"/>
      <c r="BT90" s="54" t="str">
        <f>IFERROR(VLOOKUP("2P04-20-00-02",pareto,18,FALSE),"-")</f>
        <v>-</v>
      </c>
      <c r="BU90" s="43" t="str">
        <f>IFERROR(VLOOKUP("2P05-17-00-02",pareto,18,FALSE),"-")</f>
        <v>-</v>
      </c>
      <c r="BV90" s="20"/>
      <c r="BW90" s="20"/>
      <c r="BX90" s="20"/>
      <c r="BY90" s="54" t="str">
        <f>IFERROR(VLOOKUP("2P05-20-00-02",pareto,18,FALSE),"-")</f>
        <v>-</v>
      </c>
      <c r="BZ90" s="43" t="str">
        <f>IFERROR(VLOOKUP("2P06-17-00-02",pareto,18,FALSE),"-")</f>
        <v>-</v>
      </c>
      <c r="CA90" s="20"/>
      <c r="CB90" s="20"/>
      <c r="CC90" s="20"/>
      <c r="CD90" s="54" t="str">
        <f>IFERROR(VLOOKUP("2P06-20-00-02",pareto,18,FALSE),"-")</f>
        <v>-</v>
      </c>
      <c r="CE90" s="67"/>
      <c r="CF90" s="20"/>
      <c r="CG90" s="20"/>
      <c r="CH90" s="20"/>
      <c r="CI90" s="54" t="str">
        <f>IFERROR(VLOOKUP("2P07-20-01-02",pareto,18,FALSE),"-")</f>
        <v>-</v>
      </c>
      <c r="CJ90" s="43" t="str">
        <f>IFERROR(VLOOKUP("2P08-17-01-02",pareto,18,FALSE),"-")</f>
        <v>-</v>
      </c>
      <c r="CK90" s="20"/>
      <c r="CL90" s="20"/>
      <c r="CM90" s="20"/>
      <c r="CN90" s="54" t="str">
        <f>IFERROR(VLOOKUP("2P08-20-01-02",pareto,18,FALSE),"-")</f>
        <v>-</v>
      </c>
      <c r="CO90" s="43" t="str">
        <f>IFERROR(VLOOKUP("2P09-17-01-02",pareto,18,FALSE),"-")</f>
        <v>-</v>
      </c>
      <c r="CP90" s="20"/>
      <c r="CQ90" s="20"/>
      <c r="CR90" s="20"/>
      <c r="CS90" s="49" t="str">
        <f>IFERROR(VLOOKUP("2P09-16-00-02",pareto,18,FALSE),"-")</f>
        <v>-</v>
      </c>
      <c r="CT90" s="19"/>
      <c r="CU90" s="20"/>
      <c r="CV90" s="20"/>
      <c r="CW90" s="20"/>
      <c r="CX90" s="20"/>
      <c r="CY90" s="20"/>
      <c r="CZ90" s="20"/>
      <c r="DA90" s="20"/>
      <c r="DB90" s="20"/>
      <c r="DC90" s="20"/>
      <c r="DD90" s="20"/>
      <c r="DE90" s="20"/>
      <c r="DF90" s="20"/>
      <c r="DG90" s="105"/>
      <c r="DH90" s="20"/>
      <c r="DI90" s="20"/>
      <c r="DJ90" s="20"/>
      <c r="DK90" s="105"/>
      <c r="DL90" s="207"/>
      <c r="DM90" s="20"/>
      <c r="DN90" s="20"/>
      <c r="DO90" s="20"/>
      <c r="DP90" s="105"/>
      <c r="DQ90" s="207"/>
      <c r="DR90" s="20"/>
      <c r="DS90" s="20"/>
      <c r="DT90" s="20"/>
      <c r="DU90" s="105"/>
      <c r="DV90" s="207"/>
      <c r="DW90" s="20"/>
      <c r="DX90" s="20"/>
      <c r="DY90" s="20"/>
      <c r="DZ90" s="105"/>
      <c r="EA90" s="207"/>
      <c r="EB90" s="20"/>
      <c r="EC90" s="20"/>
      <c r="ED90" s="20"/>
      <c r="EE90" s="105"/>
      <c r="EF90" s="207"/>
      <c r="EG90" s="20"/>
      <c r="EH90" s="20"/>
      <c r="EI90" s="20"/>
      <c r="EJ90" s="105"/>
      <c r="EK90" s="207"/>
      <c r="EL90" s="20"/>
      <c r="EM90" s="20"/>
      <c r="EN90" s="20"/>
      <c r="EO90" s="207"/>
      <c r="EP90" s="43" t="str">
        <f>IFERROR(VLOOKUP("4P01-17-00-02",pareto,18,FALSE),"-")</f>
        <v>-</v>
      </c>
      <c r="EQ90" s="20"/>
      <c r="ER90" s="20"/>
      <c r="ES90" s="20"/>
      <c r="ET90" s="54" t="str">
        <f>IFERROR(VLOOKUP("4P01-20-00-02",pareto,18,FALSE),"-")</f>
        <v>-</v>
      </c>
      <c r="EU90" s="43" t="str">
        <f>IFERROR(VLOOKUP("4P02-17-00-02",pareto,18,FALSE),"-")</f>
        <v>-</v>
      </c>
      <c r="EV90" s="20"/>
      <c r="EW90" s="20"/>
      <c r="EX90" s="20"/>
      <c r="EY90" s="54" t="str">
        <f>IFERROR(VLOOKUP("4P02-20-00-02",pareto,18,FALSE),"-")</f>
        <v>-</v>
      </c>
      <c r="EZ90" s="43" t="str">
        <f>IFERROR(VLOOKUP("4P03-17-00-02",pareto,18,FALSE),"-")</f>
        <v>-</v>
      </c>
      <c r="FA90" s="20"/>
      <c r="FB90" s="20"/>
      <c r="FC90" s="20"/>
      <c r="FD90" s="74"/>
      <c r="FE90" s="43" t="str">
        <f>IFERROR(VLOOKUP("4P04-17-00-02",pareto,18,FALSE),"-")</f>
        <v>-</v>
      </c>
      <c r="FF90" s="20"/>
      <c r="FG90" s="20"/>
      <c r="FH90" s="20"/>
      <c r="FI90" s="54" t="str">
        <f>IFERROR(VLOOKUP("4P04-20-00-02",pareto,18,FALSE),"-")</f>
        <v>-</v>
      </c>
      <c r="FJ90" s="43" t="str">
        <f>IFERROR(VLOOKUP("4P05-17-00-02",pareto,18,FALSE),"-")</f>
        <v>-</v>
      </c>
      <c r="FK90" s="20"/>
      <c r="FL90" s="20"/>
      <c r="FM90" s="20"/>
      <c r="FN90" s="54" t="str">
        <f>IFERROR(VLOOKUP("4P05-20-00-02",pareto,18,FALSE),"-")</f>
        <v>-</v>
      </c>
      <c r="FO90" s="43" t="str">
        <f>IFERROR(VLOOKUP("4P06-17-00-02",pareto,18,FALSE),"-")</f>
        <v>-</v>
      </c>
      <c r="FP90" s="20"/>
      <c r="FQ90" s="20"/>
      <c r="FR90" s="20"/>
      <c r="FS90" s="54" t="str">
        <f>IFERROR(VLOOKUP("4P06-20-00-02",pareto,18,FALSE),"-")</f>
        <v>-</v>
      </c>
      <c r="FT90" s="67"/>
      <c r="FU90" s="20"/>
      <c r="FV90" s="20"/>
      <c r="FW90" s="20"/>
      <c r="FX90" s="54" t="str">
        <f>IFERROR(VLOOKUP("4P07-20-00-02",pareto,18,FALSE),"-")</f>
        <v>-</v>
      </c>
      <c r="FY90" s="43" t="str">
        <f>IFERROR(VLOOKUP("4P08-17-00-02",pareto,18,FALSE),"-")</f>
        <v>-</v>
      </c>
      <c r="FZ90" s="20"/>
      <c r="GA90" s="20"/>
      <c r="GB90" s="119"/>
      <c r="GC90" s="54" t="str">
        <f>IFERROR(VLOOKUP("4P08-20-00-02",pareto,18,FALSE),"-")</f>
        <v>-</v>
      </c>
      <c r="GD90" s="43" t="str">
        <f>IFERROR(VLOOKUP("4P09-17-00-02",pareto,18,FALSE),"-")</f>
        <v>-</v>
      </c>
      <c r="GE90" s="20"/>
      <c r="GF90" s="20"/>
      <c r="GG90" s="20"/>
      <c r="GH90" s="54" t="str">
        <f>IFERROR(VLOOKUP("4P09-20-00-02",pareto,18,FALSE),"-")</f>
        <v>-</v>
      </c>
    </row>
    <row r="91" spans="3:190" ht="12" customHeight="1" thickTop="1" thickBot="1" x14ac:dyDescent="0.3">
      <c r="C91" s="270"/>
      <c r="D91" s="270"/>
      <c r="E91" s="270"/>
      <c r="F91" s="270"/>
      <c r="G91" s="270"/>
      <c r="H91" s="270"/>
      <c r="I91" s="270"/>
      <c r="J91" s="270"/>
      <c r="K91" s="270"/>
      <c r="L91" s="270"/>
      <c r="M91" s="270"/>
      <c r="N91" s="270"/>
      <c r="O91" s="270"/>
      <c r="P91" s="270"/>
      <c r="Q91" s="270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33"/>
      <c r="AX91" s="9"/>
      <c r="AY91" s="9"/>
      <c r="AZ91" s="37"/>
      <c r="BA91" s="107"/>
      <c r="BB91" s="20"/>
      <c r="BC91" s="20"/>
      <c r="BD91" s="20"/>
      <c r="BE91" s="111"/>
      <c r="BF91" s="42" t="str">
        <f>IFERROR(VLOOKUP("2P02-17-00-01",pareto,18,FALSE),"-")</f>
        <v>-</v>
      </c>
      <c r="BG91" s="20"/>
      <c r="BH91" s="20"/>
      <c r="BI91" s="20"/>
      <c r="BJ91" s="52" t="str">
        <f>IFERROR(VLOOKUP("2P02-18-00-01",pareto,18,FALSE),"-")</f>
        <v>-</v>
      </c>
      <c r="BK91" s="42" t="str">
        <f>IFERROR(VLOOKUP("2P03-17-00-01",pareto,18,FALSE),"-")</f>
        <v>-</v>
      </c>
      <c r="BL91" s="20"/>
      <c r="BM91" s="20"/>
      <c r="BN91" s="20"/>
      <c r="BO91" s="52" t="e">
        <f>VLOOKUP("2P03-18-00-01",pareto,18,FALSE)</f>
        <v>#N/A</v>
      </c>
      <c r="BP91" s="42" t="str">
        <f>IFERROR(VLOOKUP("2P04-17-00-01",pareto,18,FALSE),"-")</f>
        <v>-</v>
      </c>
      <c r="BQ91" s="20"/>
      <c r="BR91" s="20"/>
      <c r="BS91" s="20"/>
      <c r="BT91" s="52" t="e">
        <f>VLOOKUP("2P03-18-00-01",pareto,18,FALSE)</f>
        <v>#N/A</v>
      </c>
      <c r="BU91" s="42" t="str">
        <f>IFERROR(VLOOKUP("2P05-17-00-01",pareto,18,FALSE),"-")</f>
        <v>-</v>
      </c>
      <c r="BV91" s="20"/>
      <c r="BW91" s="20"/>
      <c r="BX91" s="20"/>
      <c r="BY91" s="52" t="str">
        <f>IFERROR(VLOOKUP("2P05-18-00-01",pareto,18,FALSE),"-")</f>
        <v>-</v>
      </c>
      <c r="BZ91" s="42" t="str">
        <f>IFERROR(VLOOKUP("2P06-17-00-01",pareto,18,FALSE),"-")</f>
        <v>-</v>
      </c>
      <c r="CA91" s="20"/>
      <c r="CB91" s="20"/>
      <c r="CC91" s="20"/>
      <c r="CD91" s="52" t="str">
        <f>IFERROR(VLOOKUP("2P06-18-00-01",pareto,18,FALSE),"-")</f>
        <v>-</v>
      </c>
      <c r="CE91" s="42" t="str">
        <f>IFERROR(VLOOKUP("2P07-17-00-01",pareto,18,FALSE),"-")</f>
        <v>-</v>
      </c>
      <c r="CF91" s="20"/>
      <c r="CG91" s="20"/>
      <c r="CH91" s="20"/>
      <c r="CI91" s="52" t="str">
        <f>IFERROR(VLOOKUP("2P07-18-01-01",pareto,18,FALSE),"-")</f>
        <v>-</v>
      </c>
      <c r="CJ91" s="42" t="str">
        <f>IFERROR(VLOOKUP("2P08-17-01-01",pareto,18,FALSE),"-")</f>
        <v>-</v>
      </c>
      <c r="CK91" s="20"/>
      <c r="CL91" s="20"/>
      <c r="CM91" s="20"/>
      <c r="CN91" s="52" t="str">
        <f>IFERROR(VLOOKUP("2P08-18-01-01",pareto,18,FALSE),"-")</f>
        <v>-</v>
      </c>
      <c r="CO91" s="42" t="str">
        <f>IFERROR(VLOOKUP("2P09-17-01-01",pareto,18,FALSE),"-")</f>
        <v>-</v>
      </c>
      <c r="CP91" s="20"/>
      <c r="CQ91" s="20"/>
      <c r="CR91" s="20"/>
      <c r="CS91" s="52" t="str">
        <f>IFERROR(VLOOKUP("2P09-16-00-01",pareto,18,FALSE),"-")</f>
        <v>-</v>
      </c>
      <c r="CT91" s="19"/>
      <c r="CU91" s="20"/>
      <c r="CV91" s="20"/>
      <c r="CW91" s="20"/>
      <c r="CX91" s="20"/>
      <c r="CY91" s="20"/>
      <c r="CZ91" s="20"/>
      <c r="DA91" s="20"/>
      <c r="DB91" s="20"/>
      <c r="DC91" s="20"/>
      <c r="DD91" s="20"/>
      <c r="DE91" s="20"/>
      <c r="DF91" s="20"/>
      <c r="DG91" s="107"/>
      <c r="DH91" s="20"/>
      <c r="DI91" s="20"/>
      <c r="DJ91" s="20"/>
      <c r="DK91" s="208"/>
      <c r="DL91" s="209"/>
      <c r="DM91" s="20"/>
      <c r="DN91" s="20"/>
      <c r="DO91" s="20"/>
      <c r="DP91" s="107"/>
      <c r="DQ91" s="205"/>
      <c r="DR91" s="20"/>
      <c r="DS91" s="20"/>
      <c r="DT91" s="20"/>
      <c r="DU91" s="107"/>
      <c r="DV91" s="205"/>
      <c r="DW91" s="20"/>
      <c r="DX91" s="20"/>
      <c r="DY91" s="20"/>
      <c r="DZ91" s="107"/>
      <c r="EA91" s="205"/>
      <c r="EB91" s="20"/>
      <c r="EC91" s="20"/>
      <c r="ED91" s="20"/>
      <c r="EE91" s="208"/>
      <c r="EF91" s="209"/>
      <c r="EG91" s="20"/>
      <c r="EH91" s="20"/>
      <c r="EI91" s="20"/>
      <c r="EJ91" s="107"/>
      <c r="EK91" s="205"/>
      <c r="EL91" s="20"/>
      <c r="EM91" s="20"/>
      <c r="EN91" s="20"/>
      <c r="EO91" s="205"/>
      <c r="EP91" s="42" t="str">
        <f>IFERROR(VLOOKUP("4P01-17-00-01",pareto,18,FALSE),"-")</f>
        <v>-</v>
      </c>
      <c r="EQ91" s="20"/>
      <c r="ER91" s="20"/>
      <c r="ES91" s="20"/>
      <c r="ET91" s="52" t="str">
        <f>IFERROR(VLOOKUP("4P01-18-00-01",pareto,18,FALSE),"-")</f>
        <v>-</v>
      </c>
      <c r="EU91" s="42" t="str">
        <f>IFERROR(VLOOKUP("4P02-17-00-01",pareto,18,FALSE),"-")</f>
        <v>-</v>
      </c>
      <c r="EV91" s="20"/>
      <c r="EW91" s="20"/>
      <c r="EX91" s="20"/>
      <c r="EY91" s="52" t="str">
        <f>IFERROR(VLOOKUP("4P02-18-00-01",pareto,18,FALSE),"-")</f>
        <v>-</v>
      </c>
      <c r="EZ91" s="42" t="str">
        <f>IFERROR(VLOOKUP("4P03-17-00-01",pareto,18,FALSE),"-")</f>
        <v>-</v>
      </c>
      <c r="FA91" s="20"/>
      <c r="FB91" s="20"/>
      <c r="FC91" s="20"/>
      <c r="FD91" s="52" t="str">
        <f>IFERROR(VLOOKUP("4P03-18-00-01",pareto,18,FALSE),"-")</f>
        <v>-</v>
      </c>
      <c r="FE91" s="42" t="str">
        <f>IFERROR(VLOOKUP("4P04-17-00-01",pareto,18,FALSE),"-")</f>
        <v>-</v>
      </c>
      <c r="FF91" s="20"/>
      <c r="FG91" s="20"/>
      <c r="FH91" s="20"/>
      <c r="FI91" s="52" t="str">
        <f>IFERROR(VLOOKUP("4P04-18-00-01",pareto,18,FALSE),"-")</f>
        <v>-</v>
      </c>
      <c r="FJ91" s="42" t="str">
        <f>IFERROR(VLOOKUP("4P05-17-00-01",pareto,18,FALSE),"-")</f>
        <v>-</v>
      </c>
      <c r="FK91" s="20"/>
      <c r="FL91" s="20"/>
      <c r="FM91" s="20"/>
      <c r="FN91" s="52" t="str">
        <f>IFERROR(VLOOKUP("4P05-18-00-01",pareto,18,FALSE),"-")</f>
        <v>-</v>
      </c>
      <c r="FO91" s="42" t="str">
        <f>IFERROR(VLOOKUP("4P06-17-00-01",pareto,18,FALSE),"-")</f>
        <v>-</v>
      </c>
      <c r="FP91" s="20"/>
      <c r="FQ91" s="20"/>
      <c r="FR91" s="20"/>
      <c r="FS91" s="52" t="str">
        <f>IFERROR(VLOOKUP("4P06-18-00-01",pareto,18,FALSE),"-")</f>
        <v>-</v>
      </c>
      <c r="FT91" s="42" t="str">
        <f>IFERROR(VLOOKUP("4P07-17-00-01",pareto,18,FALSE),"-")</f>
        <v>-</v>
      </c>
      <c r="FU91" s="20"/>
      <c r="FV91" s="20"/>
      <c r="FW91" s="20"/>
      <c r="FX91" s="52" t="str">
        <f>IFERROR(VLOOKUP("4P07-18-00-01",pareto,18,FALSE),"-")</f>
        <v>-</v>
      </c>
      <c r="FY91" s="42" t="str">
        <f>IFERROR(VLOOKUP("4P08-17-00-01",pareto,18,FALSE),"-")</f>
        <v>-</v>
      </c>
      <c r="FZ91" s="20"/>
      <c r="GA91" s="20"/>
      <c r="GB91" s="20"/>
      <c r="GC91" s="52" t="str">
        <f>IFERROR(VLOOKUP("4P08-18-00-01",pareto,18,FALSE),"-")</f>
        <v>-</v>
      </c>
      <c r="GD91" s="42" t="str">
        <f>IFERROR(VLOOKUP("4P09-17-00-01",pareto,18,FALSE),"-")</f>
        <v>-</v>
      </c>
      <c r="GE91" s="20"/>
      <c r="GF91" s="20"/>
      <c r="GG91" s="20"/>
      <c r="GH91" s="52" t="str">
        <f>IFERROR(VLOOKUP("4P09-18-00-01",pareto,18,FALSE),"-")</f>
        <v>-</v>
      </c>
    </row>
    <row r="92" spans="3:190" ht="12" customHeight="1" thickTop="1" thickBot="1" x14ac:dyDescent="0.3">
      <c r="C92" s="270"/>
      <c r="D92" s="270"/>
      <c r="E92" s="270"/>
      <c r="F92" s="270"/>
      <c r="G92" s="270"/>
      <c r="H92" s="270"/>
      <c r="I92" s="270"/>
      <c r="J92" s="270"/>
      <c r="K92" s="270"/>
      <c r="L92" s="270"/>
      <c r="M92" s="270"/>
      <c r="N92" s="270"/>
      <c r="O92" s="270"/>
      <c r="P92" s="270"/>
      <c r="Q92" s="270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34"/>
      <c r="AX92" s="9"/>
      <c r="AY92" s="9"/>
      <c r="AZ92" s="38"/>
      <c r="BA92" s="89"/>
      <c r="BB92" s="20"/>
      <c r="BC92" s="20"/>
      <c r="BD92" s="20"/>
      <c r="BE92" s="120"/>
      <c r="BF92" s="121"/>
      <c r="BG92" s="20"/>
      <c r="BH92" s="20"/>
      <c r="BI92" s="20"/>
      <c r="BJ92" s="122"/>
      <c r="BK92" s="123"/>
      <c r="BL92" s="20"/>
      <c r="BM92" s="20"/>
      <c r="BN92" s="20"/>
      <c r="BO92" s="124"/>
      <c r="BP92" s="123"/>
      <c r="BQ92" s="64"/>
      <c r="BR92" s="20"/>
      <c r="BS92" s="20"/>
      <c r="BT92" s="124"/>
      <c r="BU92" s="123"/>
      <c r="BV92" s="20"/>
      <c r="BW92" s="20"/>
      <c r="BX92" s="20"/>
      <c r="BY92" s="124"/>
      <c r="BZ92" s="123"/>
      <c r="CA92" s="20"/>
      <c r="CB92" s="20"/>
      <c r="CC92" s="20"/>
      <c r="CD92" s="124"/>
      <c r="CE92" s="123"/>
      <c r="CF92" s="20"/>
      <c r="CG92" s="20"/>
      <c r="CH92" s="20"/>
      <c r="CI92" s="52" t="str">
        <f>IFERROR(VLOOKUP("2P07-16-01-03",pareto,18,FALSE),"-")</f>
        <v>-</v>
      </c>
      <c r="CJ92" s="43" t="str">
        <f>IFERROR(VLOOKUP("2P08-15-01-02",pareto,18,FALSE),"-")</f>
        <v>-</v>
      </c>
      <c r="CK92" s="20"/>
      <c r="CL92" s="20"/>
      <c r="CM92" s="20"/>
      <c r="CN92" s="49" t="str">
        <f>IFERROR(VLOOKUP("2P08-16-01-03",pareto,18,FALSE),"-")</f>
        <v>-</v>
      </c>
      <c r="CO92" s="43" t="str">
        <f>IFERROR(VLOOKUP("2P09-15-01-03",pareto,18,FALSE),"-")</f>
        <v>-</v>
      </c>
      <c r="CP92" s="20"/>
      <c r="CQ92" s="20"/>
      <c r="CR92" s="20"/>
      <c r="CS92" s="48" t="str">
        <f>IFERROR(VLOOKUP("2P09-14-00-03",pareto,18,FALSE),"-")</f>
        <v>-</v>
      </c>
      <c r="CT92" s="19"/>
      <c r="CU92" s="20"/>
      <c r="CV92" s="20"/>
      <c r="CW92" s="20"/>
      <c r="CX92" s="20"/>
      <c r="CY92" s="20"/>
      <c r="CZ92" s="20"/>
      <c r="DA92" s="20"/>
      <c r="DB92" s="20"/>
      <c r="DC92" s="20"/>
      <c r="DD92" s="20"/>
      <c r="DE92" s="20"/>
      <c r="DF92" s="20"/>
      <c r="DG92" s="103"/>
      <c r="DH92" s="20"/>
      <c r="DI92" s="20"/>
      <c r="DJ92" s="20"/>
      <c r="DK92" s="20"/>
      <c r="DL92" s="20"/>
      <c r="DM92" s="20"/>
      <c r="DN92" s="20"/>
      <c r="DO92" s="20"/>
      <c r="DP92" s="210"/>
      <c r="DQ92" s="211"/>
      <c r="DR92" s="20"/>
      <c r="DS92" s="20"/>
      <c r="DT92" s="20"/>
      <c r="DU92" s="103"/>
      <c r="DV92" s="206"/>
      <c r="DW92" s="20"/>
      <c r="DX92" s="20"/>
      <c r="DY92" s="20"/>
      <c r="DZ92" s="103"/>
      <c r="EA92" s="206"/>
      <c r="EB92" s="20"/>
      <c r="EC92" s="20"/>
      <c r="ED92" s="20"/>
      <c r="EE92" s="20"/>
      <c r="EF92" s="20"/>
      <c r="EG92" s="20"/>
      <c r="EH92" s="20"/>
      <c r="EI92" s="20"/>
      <c r="EJ92" s="103"/>
      <c r="EK92" s="206"/>
      <c r="EL92" s="20"/>
      <c r="EM92" s="20"/>
      <c r="EN92" s="20"/>
      <c r="EO92" s="206"/>
      <c r="EP92" s="43" t="str">
        <f>IFERROR(VLOOKUP("4P01-15-00-03",pareto,18,FALSE),"-")</f>
        <v>-</v>
      </c>
      <c r="EQ92" s="20"/>
      <c r="ER92" s="20"/>
      <c r="ES92" s="20"/>
      <c r="ET92" s="49" t="str">
        <f>IFERROR(VLOOKUP("4P01-16-00-03",pareto,18,FALSE),"-")</f>
        <v>-</v>
      </c>
      <c r="EU92" s="43" t="str">
        <f>IFERROR(VLOOKUP("4P02-15-00-03",pareto,18,FALSE),"-")</f>
        <v>-</v>
      </c>
      <c r="EV92" s="20"/>
      <c r="EW92" s="20"/>
      <c r="EX92" s="20"/>
      <c r="EY92" s="49" t="str">
        <f>IFERROR(VLOOKUP("4P02-16-00-03",pareto,18,FALSE),"-")</f>
        <v>-</v>
      </c>
      <c r="EZ92" s="43" t="str">
        <f>IFERROR(VLOOKUP("4P03-15-00-03",pareto,18,FALSE),"-")</f>
        <v>-</v>
      </c>
      <c r="FA92" s="20"/>
      <c r="FB92" s="20"/>
      <c r="FC92" s="20"/>
      <c r="FD92" s="49" t="str">
        <f>IFERROR(VLOOKUP("4P03-16-00-03",pareto,18,FALSE),"-")</f>
        <v>-</v>
      </c>
      <c r="FE92" s="43" t="str">
        <f>IFERROR(VLOOKUP("4P04-15-00-03",pareto,18,FALSE),"-")</f>
        <v>-</v>
      </c>
      <c r="FF92" s="20"/>
      <c r="FG92" s="20"/>
      <c r="FH92" s="20"/>
      <c r="FI92" s="49" t="str">
        <f>IFERROR(VLOOKUP("4P04-16-00-03",pareto,18,FALSE),"-")</f>
        <v>-</v>
      </c>
      <c r="FJ92" s="43" t="str">
        <f>IFERROR(VLOOKUP("4P05-15-00-03",pareto,18,FALSE),"-")</f>
        <v>-</v>
      </c>
      <c r="FK92" s="20"/>
      <c r="FL92" s="20"/>
      <c r="FM92" s="20"/>
      <c r="FN92" s="49" t="str">
        <f>IFERROR(VLOOKUP("4P05-16-00-03",pareto,18,FALSE),"-")</f>
        <v>-</v>
      </c>
      <c r="FO92" s="43" t="str">
        <f>IFERROR(VLOOKUP("4P06-15-00-03",pareto,18,FALSE),"-")</f>
        <v>-</v>
      </c>
      <c r="FP92" s="20"/>
      <c r="FQ92" s="20"/>
      <c r="FR92" s="20"/>
      <c r="FS92" s="49" t="str">
        <f>IFERROR(VLOOKUP("4P06-16-00-03",pareto,18,FALSE),"-")</f>
        <v>-</v>
      </c>
      <c r="FT92" s="43" t="str">
        <f>IFERROR(VLOOKUP("4P07-15-00-03",pareto,18,FALSE),"-")</f>
        <v>-</v>
      </c>
      <c r="FU92" s="20"/>
      <c r="FV92" s="20"/>
      <c r="FW92" s="20"/>
      <c r="FX92" s="49" t="str">
        <f>IFERROR(VLOOKUP("4P07-16-00-03",pareto,18,FALSE),"-")</f>
        <v>-</v>
      </c>
      <c r="FY92" s="43" t="str">
        <f>IFERROR(VLOOKUP("4P08-15-00-03",pareto,18,FALSE),"-")</f>
        <v>-</v>
      </c>
      <c r="FZ92" s="20"/>
      <c r="GA92" s="20"/>
      <c r="GB92" s="20"/>
      <c r="GC92" s="49" t="str">
        <f>IFERROR(VLOOKUP("4P08-16-00-03",pareto,18,FALSE),"-")</f>
        <v>-</v>
      </c>
      <c r="GD92" s="43" t="str">
        <f>IFERROR(VLOOKUP("4P09-15-00-03",pareto,18,FALSE),"-")</f>
        <v>-</v>
      </c>
      <c r="GE92" s="20"/>
      <c r="GF92" s="20"/>
      <c r="GG92" s="20"/>
      <c r="GH92" s="49" t="str">
        <f>IFERROR(VLOOKUP("4P09-16-00-03",pareto,18,FALSE),"-")</f>
        <v>-</v>
      </c>
    </row>
    <row r="93" spans="3:190" ht="12" customHeight="1" thickTop="1" thickBot="1" x14ac:dyDescent="0.3">
      <c r="C93" s="270"/>
      <c r="D93" s="270"/>
      <c r="E93" s="270"/>
      <c r="F93" s="270"/>
      <c r="G93" s="270"/>
      <c r="H93" s="270"/>
      <c r="I93" s="270"/>
      <c r="J93" s="270"/>
      <c r="K93" s="270"/>
      <c r="L93" s="270"/>
      <c r="M93" s="270"/>
      <c r="N93" s="270"/>
      <c r="O93" s="270"/>
      <c r="P93" s="270"/>
      <c r="Q93" s="270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32"/>
      <c r="AX93" s="9"/>
      <c r="AY93" s="9"/>
      <c r="AZ93" s="36"/>
      <c r="BA93" s="105"/>
      <c r="BB93" s="20"/>
      <c r="BC93" s="20"/>
      <c r="BD93" s="20"/>
      <c r="BE93" s="110"/>
      <c r="BF93" s="43" t="str">
        <f>IFERROR(VLOOKUP("2P02-15-00-02",pareto,18,FALSE),"-")</f>
        <v>-</v>
      </c>
      <c r="BG93" s="20"/>
      <c r="BH93" s="20"/>
      <c r="BI93" s="20"/>
      <c r="BJ93" s="46" t="e">
        <f>VLOOKUP("2P02-16-00-02",pareto,18,FALSE)</f>
        <v>#N/A</v>
      </c>
      <c r="BK93" s="43" t="str">
        <f>IFERROR(VLOOKUP("2P03-15-00-02",pareto,18,FALSE),"-")</f>
        <v>-</v>
      </c>
      <c r="BL93" s="20"/>
      <c r="BM93" s="20"/>
      <c r="BN93" s="20"/>
      <c r="BO93" s="49">
        <f>IFERROR(VLOOKUP("2P03-16-00-02",pareto,18,FALSE),2)</f>
        <v>2</v>
      </c>
      <c r="BP93" s="43" t="str">
        <f>IFERROR(VLOOKUP("2P04-15-00-02",pareto,18,FALSE),"-")</f>
        <v>-</v>
      </c>
      <c r="BQ93" s="20"/>
      <c r="BR93" s="20"/>
      <c r="BS93" s="20"/>
      <c r="BT93" s="49" t="str">
        <f>IFERROR(VLOOKUP("2P04-16-00-02",pareto,18,FALSE),"-")</f>
        <v>-</v>
      </c>
      <c r="BU93" s="43" t="str">
        <f>IFERROR(VLOOKUP("2P05-15-00-02",pareto,18,FALSE),"-")</f>
        <v>-</v>
      </c>
      <c r="BV93" s="20"/>
      <c r="BW93" s="20"/>
      <c r="BX93" s="20"/>
      <c r="BY93" s="49" t="str">
        <f>IFERROR(VLOOKUP("2P05-16-00-02",pareto,18,FALSE),"-")</f>
        <v>-</v>
      </c>
      <c r="BZ93" s="43" t="str">
        <f>IFERROR(VLOOKUP("2P06-15-00-02",pareto,18,FALSE),"-")</f>
        <v>-</v>
      </c>
      <c r="CA93" s="20"/>
      <c r="CB93" s="20"/>
      <c r="CC93" s="20"/>
      <c r="CD93" s="49" t="str">
        <f>IFERROR(VLOOKUP("2P06-16-00-02",pareto,18,FALSE),"-")</f>
        <v>-</v>
      </c>
      <c r="CE93" s="43" t="str">
        <f>IFERROR(VLOOKUP("2P07-15-00-02",pareto,18,FALSE),"-")</f>
        <v>-</v>
      </c>
      <c r="CF93" s="20"/>
      <c r="CG93" s="20"/>
      <c r="CH93" s="20"/>
      <c r="CI93" s="49" t="str">
        <f>IFERROR(VLOOKUP("2P07-16-01-02",pareto,18,FALSE),"-")</f>
        <v>-</v>
      </c>
      <c r="CJ93" s="43" t="str">
        <f>IFERROR(VLOOKUP("2P08-15-01-02",pareto,18,FALSE),"-")</f>
        <v>-</v>
      </c>
      <c r="CK93" s="20"/>
      <c r="CL93" s="20"/>
      <c r="CM93" s="20"/>
      <c r="CN93" s="49" t="str">
        <f>IFERROR(VLOOKUP("2P08-16-01-02",pareto,18,FALSE),"-")</f>
        <v>-</v>
      </c>
      <c r="CO93" s="43" t="str">
        <f>IFERROR(VLOOKUP("2P09-15-01-02",pareto,18,FALSE),"-")</f>
        <v>-</v>
      </c>
      <c r="CP93" s="20"/>
      <c r="CQ93" s="20"/>
      <c r="CR93" s="20"/>
      <c r="CS93" s="54" t="str">
        <f>IFERROR(VLOOKUP("2P09-14-00-02",pareto,18,FALSE),"-")</f>
        <v>-</v>
      </c>
      <c r="CT93" s="19"/>
      <c r="CU93" s="20"/>
      <c r="CV93" s="20"/>
      <c r="CW93" s="20"/>
      <c r="CX93" s="20"/>
      <c r="CY93" s="20"/>
      <c r="CZ93" s="20"/>
      <c r="DA93" s="20"/>
      <c r="DB93" s="20"/>
      <c r="DC93" s="20"/>
      <c r="DD93" s="20"/>
      <c r="DE93" s="20"/>
      <c r="DF93" s="20"/>
      <c r="DG93" s="105"/>
      <c r="DH93" s="20"/>
      <c r="DI93" s="20"/>
      <c r="DJ93" s="20"/>
      <c r="DK93" s="20"/>
      <c r="DL93" s="20"/>
      <c r="DM93" s="20"/>
      <c r="DN93" s="20"/>
      <c r="DO93" s="20"/>
      <c r="DP93" s="212"/>
      <c r="DQ93" s="213"/>
      <c r="DR93" s="20"/>
      <c r="DS93" s="20"/>
      <c r="DT93" s="20"/>
      <c r="DU93" s="105"/>
      <c r="DV93" s="207"/>
      <c r="DW93" s="20"/>
      <c r="DX93" s="20"/>
      <c r="DY93" s="20"/>
      <c r="DZ93" s="105"/>
      <c r="EA93" s="207"/>
      <c r="EB93" s="20"/>
      <c r="EC93" s="20"/>
      <c r="ED93" s="20"/>
      <c r="EE93" s="20"/>
      <c r="EF93" s="20"/>
      <c r="EG93" s="20"/>
      <c r="EH93" s="20"/>
      <c r="EI93" s="20"/>
      <c r="EJ93" s="105"/>
      <c r="EK93" s="207"/>
      <c r="EL93" s="20"/>
      <c r="EM93" s="20"/>
      <c r="EN93" s="20"/>
      <c r="EO93" s="207"/>
      <c r="EP93" s="43" t="str">
        <f>IFERROR(VLOOKUP("4P01-15-00-02",pareto,18,FALSE),"-")</f>
        <v>-</v>
      </c>
      <c r="EQ93" s="20"/>
      <c r="ER93" s="20"/>
      <c r="ES93" s="20"/>
      <c r="ET93" s="49" t="str">
        <f>IFERROR(VLOOKUP("4P01-16-00-02",pareto,18,FALSE),"-")</f>
        <v>-</v>
      </c>
      <c r="EU93" s="43" t="str">
        <f>IFERROR(VLOOKUP("4P02-15-00-02",pareto,18,FALSE),"-")</f>
        <v>-</v>
      </c>
      <c r="EV93" s="20"/>
      <c r="EW93" s="20"/>
      <c r="EX93" s="20"/>
      <c r="EY93" s="49" t="str">
        <f>IFERROR(VLOOKUP("4P02-16-00-02",pareto,18,FALSE),"-")</f>
        <v>-</v>
      </c>
      <c r="EZ93" s="43" t="str">
        <f>IFERROR(VLOOKUP("4P03-15-00-02",pareto,18,FALSE),"-")</f>
        <v>-</v>
      </c>
      <c r="FA93" s="20"/>
      <c r="FB93" s="20"/>
      <c r="FC93" s="20"/>
      <c r="FD93" s="49" t="str">
        <f>IFERROR(VLOOKUP("4P03-16-00-02",pareto,18,FALSE),"-")</f>
        <v>-</v>
      </c>
      <c r="FE93" s="43" t="str">
        <f>IFERROR(VLOOKUP("4P04-15-00-02",pareto,18,FALSE),"-")</f>
        <v>-</v>
      </c>
      <c r="FF93" s="20"/>
      <c r="FG93" s="20"/>
      <c r="FH93" s="20"/>
      <c r="FI93" s="49" t="str">
        <f>IFERROR(VLOOKUP("4P04-16-00-02",pareto,18,FALSE),"-")</f>
        <v>-</v>
      </c>
      <c r="FJ93" s="43" t="str">
        <f>IFERROR(VLOOKUP("4P05-15-00-02",pareto,18,FALSE),"-")</f>
        <v>-</v>
      </c>
      <c r="FK93" s="20"/>
      <c r="FL93" s="20"/>
      <c r="FM93" s="20"/>
      <c r="FN93" s="49" t="str">
        <f>IFERROR(VLOOKUP("4P05-16-00-02",pareto,18,FALSE),"-")</f>
        <v>-</v>
      </c>
      <c r="FO93" s="43" t="str">
        <f>IFERROR(VLOOKUP("4P06-15-00-02",pareto,18,FALSE),"-")</f>
        <v>-</v>
      </c>
      <c r="FP93" s="20"/>
      <c r="FQ93" s="20"/>
      <c r="FR93" s="20"/>
      <c r="FS93" s="49" t="str">
        <f>IFERROR(VLOOKUP("4P06-16-00-02",pareto,18,FALSE),"-")</f>
        <v>-</v>
      </c>
      <c r="FT93" s="43" t="str">
        <f>IFERROR(VLOOKUP("4P07-15-00-02",pareto,18,FALSE),"-")</f>
        <v>-</v>
      </c>
      <c r="FU93" s="20"/>
      <c r="FV93" s="20"/>
      <c r="FW93" s="20"/>
      <c r="FX93" s="49" t="str">
        <f>IFERROR(VLOOKUP("4P07-16-00-02",pareto,18,FALSE),"-")</f>
        <v>-</v>
      </c>
      <c r="FY93" s="43" t="str">
        <f>IFERROR(VLOOKUP("4P08-15-00-02",pareto,18,FALSE),"-")</f>
        <v>-</v>
      </c>
      <c r="FZ93" s="20"/>
      <c r="GA93" s="20"/>
      <c r="GB93" s="20"/>
      <c r="GC93" s="49" t="str">
        <f>IFERROR(VLOOKUP("4P08-16-00-02",pareto,18,FALSE),"-")</f>
        <v>-</v>
      </c>
      <c r="GD93" s="43" t="str">
        <f>IFERROR(VLOOKUP("4P09-15-00-02",pareto,18,FALSE),"-")</f>
        <v>-</v>
      </c>
      <c r="GE93" s="20"/>
      <c r="GF93" s="20"/>
      <c r="GG93" s="20"/>
      <c r="GH93" s="49" t="str">
        <f>IFERROR(VLOOKUP("4P09-16-00-02",pareto,18,FALSE),"-")</f>
        <v>-</v>
      </c>
    </row>
    <row r="94" spans="3:190" ht="12" customHeight="1" thickTop="1" thickBot="1" x14ac:dyDescent="0.3">
      <c r="C94" s="270"/>
      <c r="D94" s="270"/>
      <c r="E94" s="270"/>
      <c r="F94" s="270"/>
      <c r="G94" s="270"/>
      <c r="H94" s="270"/>
      <c r="I94" s="270"/>
      <c r="J94" s="270"/>
      <c r="K94" s="270"/>
      <c r="L94" s="270"/>
      <c r="M94" s="270"/>
      <c r="N94" s="270"/>
      <c r="O94" s="270"/>
      <c r="P94" s="270"/>
      <c r="Q94" s="270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33"/>
      <c r="AX94" s="9"/>
      <c r="AY94" s="9"/>
      <c r="AZ94" s="37"/>
      <c r="BA94" s="107"/>
      <c r="BB94" s="20"/>
      <c r="BC94" s="20"/>
      <c r="BD94" s="20"/>
      <c r="BE94" s="111"/>
      <c r="BF94" s="42" t="str">
        <f>IFERROR(VLOOKUP("2P02-15-00-01",pareto,18,FALSE),"-")</f>
        <v>-</v>
      </c>
      <c r="BG94" s="20"/>
      <c r="BH94" s="20"/>
      <c r="BI94" s="20"/>
      <c r="BJ94" s="47" t="str">
        <f>IFERROR(VLOOKUP("2P02-16-00-01",pareto,18,FALSE),"-")</f>
        <v>-</v>
      </c>
      <c r="BK94" s="42" t="str">
        <f>IFERROR(VLOOKUP("2P03-15-00-01",pareto,18,FALSE),"-")</f>
        <v>-</v>
      </c>
      <c r="BL94" s="20"/>
      <c r="BM94" s="20"/>
      <c r="BN94" s="20"/>
      <c r="BO94" s="58">
        <f>IFERROR(VLOOKUP("2P03-16-00-01",pareto,18,FALSE),2)</f>
        <v>2</v>
      </c>
      <c r="BP94" s="42" t="str">
        <f>IFERROR(VLOOKUP("2P04-15-00-01",pareto,18,FALSE),"-")</f>
        <v>-</v>
      </c>
      <c r="BQ94" s="20"/>
      <c r="BR94" s="20"/>
      <c r="BS94" s="20"/>
      <c r="BT94" s="58" t="str">
        <f>IFERROR(VLOOKUP("2P04-16-00-01",pareto,18,FALSE),"-")</f>
        <v>-</v>
      </c>
      <c r="BU94" s="42" t="str">
        <f>IFERROR(VLOOKUP("2P05-15-00-01",pareto,18,FALSE),"-")</f>
        <v>-</v>
      </c>
      <c r="BV94" s="20"/>
      <c r="BW94" s="20"/>
      <c r="BX94" s="20"/>
      <c r="BY94" s="52">
        <f>IFERROR(VLOOKUP("2P05-16-00-01",pareto,18,FALSE),2)</f>
        <v>2</v>
      </c>
      <c r="BZ94" s="42" t="str">
        <f>IFERROR(VLOOKUP("2P06-15-00-01",pareto,18,FALSE),"-")</f>
        <v>-</v>
      </c>
      <c r="CA94" s="20"/>
      <c r="CB94" s="20"/>
      <c r="CC94" s="20"/>
      <c r="CD94" s="52">
        <f>IFERROR(VLOOKUP("2P06-16-00-01",pareto,18,FALSE),2)</f>
        <v>2</v>
      </c>
      <c r="CE94" s="42" t="str">
        <f>IFERROR(VLOOKUP("2P07-15-00-01",pareto,18,FALSE),"-")</f>
        <v>-</v>
      </c>
      <c r="CF94" s="20"/>
      <c r="CG94" s="20"/>
      <c r="CH94" s="20"/>
      <c r="CI94" s="52" t="str">
        <f>IFERROR(VLOOKUP("2P07-16-01-01",pareto,18,FALSE),"-")</f>
        <v>-</v>
      </c>
      <c r="CJ94" s="42" t="str">
        <f>IFERROR(VLOOKUP("2P08-15-01-01",pareto,18,FALSE),"-")</f>
        <v>-</v>
      </c>
      <c r="CK94" s="20"/>
      <c r="CL94" s="20"/>
      <c r="CM94" s="20"/>
      <c r="CN94" s="52" t="str">
        <f>IFERROR(VLOOKUP("2P08-16-01-01",pareto,18,FALSE),"-")</f>
        <v>-</v>
      </c>
      <c r="CO94" s="42" t="str">
        <f>IFERROR(VLOOKUP("2P09-15-01-01",pareto,18,FALSE),"-")</f>
        <v>-</v>
      </c>
      <c r="CP94" s="20"/>
      <c r="CQ94" s="20"/>
      <c r="CR94" s="20"/>
      <c r="CS94" s="52" t="str">
        <f>IFERROR(VLOOKUP("2P09-14-00-01",pareto,18,FALSE),"-")</f>
        <v>-</v>
      </c>
      <c r="CT94" s="19"/>
      <c r="CU94" s="20"/>
      <c r="CV94" s="20"/>
      <c r="CW94" s="20"/>
      <c r="CX94" s="20"/>
      <c r="CY94" s="20"/>
      <c r="CZ94" s="20"/>
      <c r="DA94" s="20"/>
      <c r="DB94" s="20"/>
      <c r="DC94" s="20"/>
      <c r="DD94" s="20"/>
      <c r="DE94" s="20"/>
      <c r="DF94" s="20"/>
      <c r="DG94" s="107"/>
      <c r="DH94" s="20"/>
      <c r="DI94" s="20"/>
      <c r="DJ94" s="20"/>
      <c r="DK94" s="20"/>
      <c r="DL94" s="20"/>
      <c r="DM94" s="20"/>
      <c r="DN94" s="20"/>
      <c r="DO94" s="20"/>
      <c r="DP94" s="214"/>
      <c r="DQ94" s="215"/>
      <c r="DR94" s="20"/>
      <c r="DS94" s="20"/>
      <c r="DT94" s="20"/>
      <c r="DU94" s="107"/>
      <c r="DV94" s="205"/>
      <c r="DW94" s="20"/>
      <c r="DX94" s="20"/>
      <c r="DY94" s="20"/>
      <c r="DZ94" s="107"/>
      <c r="EA94" s="205"/>
      <c r="EB94" s="20"/>
      <c r="EC94" s="20"/>
      <c r="ED94" s="20"/>
      <c r="EE94" s="20"/>
      <c r="EF94" s="20"/>
      <c r="EG94" s="20"/>
      <c r="EH94" s="20"/>
      <c r="EI94" s="20"/>
      <c r="EJ94" s="107"/>
      <c r="EK94" s="205"/>
      <c r="EL94" s="20"/>
      <c r="EM94" s="20"/>
      <c r="EN94" s="20"/>
      <c r="EO94" s="205"/>
      <c r="EP94" s="42" t="str">
        <f>IFERROR(VLOOKUP("4P01-15-00-01",pareto,18,FALSE),"-")</f>
        <v>-</v>
      </c>
      <c r="EQ94" s="20"/>
      <c r="ER94" s="20"/>
      <c r="ES94" s="20"/>
      <c r="ET94" s="52" t="str">
        <f>IFERROR(VLOOKUP("4P01-16-00-01",pareto,18,FALSE),"-")</f>
        <v>-</v>
      </c>
      <c r="EU94" s="42" t="str">
        <f>IFERROR(VLOOKUP("4P02-15-00-01",pareto,18,FALSE),"-")</f>
        <v>-</v>
      </c>
      <c r="EV94" s="20"/>
      <c r="EW94" s="20"/>
      <c r="EX94" s="20"/>
      <c r="EY94" s="52" t="str">
        <f>IFERROR(VLOOKUP("4P02-16-00-01",pareto,18,FALSE),"-")</f>
        <v>-</v>
      </c>
      <c r="EZ94" s="42" t="str">
        <f>IFERROR(VLOOKUP("4P03-15-00-01",pareto,18,FALSE),"-")</f>
        <v>-</v>
      </c>
      <c r="FA94" s="20"/>
      <c r="FB94" s="20"/>
      <c r="FC94" s="20"/>
      <c r="FD94" s="52" t="str">
        <f>IFERROR(VLOOKUP("4P03-16-00-01",pareto,18,FALSE),"-")</f>
        <v>-</v>
      </c>
      <c r="FE94" s="42" t="str">
        <f>IFERROR(VLOOKUP("4P04-15-00-01",pareto,18,FALSE),"-")</f>
        <v>-</v>
      </c>
      <c r="FF94" s="20"/>
      <c r="FG94" s="20"/>
      <c r="FH94" s="20"/>
      <c r="FI94" s="52" t="str">
        <f>IFERROR(VLOOKUP("4P04-16-00-01",pareto,18,FALSE),"-")</f>
        <v>-</v>
      </c>
      <c r="FJ94" s="42" t="str">
        <f>IFERROR(VLOOKUP("4P05-15-00-01",pareto,18,FALSE),"-")</f>
        <v>-</v>
      </c>
      <c r="FK94" s="20"/>
      <c r="FL94" s="20"/>
      <c r="FM94" s="20"/>
      <c r="FN94" s="52" t="str">
        <f>IFERROR(VLOOKUP("4P05-16-00-01",pareto,18,FALSE),"-")</f>
        <v>-</v>
      </c>
      <c r="FO94" s="42" t="str">
        <f>IFERROR(VLOOKUP("4P06-15-00-01",pareto,18,FALSE),"-")</f>
        <v>-</v>
      </c>
      <c r="FP94" s="20"/>
      <c r="FQ94" s="20"/>
      <c r="FR94" s="20"/>
      <c r="FS94" s="52" t="str">
        <f>IFERROR(VLOOKUP("4P06-16-00-01",pareto,18,FALSE),"-")</f>
        <v>-</v>
      </c>
      <c r="FT94" s="42" t="str">
        <f>IFERROR(VLOOKUP("4P06-15-00-01",pareto,18,FALSE),"-")</f>
        <v>-</v>
      </c>
      <c r="FU94" s="20"/>
      <c r="FV94" s="20"/>
      <c r="FW94" s="20"/>
      <c r="FX94" s="52" t="str">
        <f>IFERROR(VLOOKUP("4P07-16-00-01",pareto,18,FALSE),"-")</f>
        <v>-</v>
      </c>
      <c r="FY94" s="42" t="str">
        <f>IFERROR(VLOOKUP("4P08-15-00-01",pareto,18,FALSE),"-")</f>
        <v>-</v>
      </c>
      <c r="FZ94" s="20"/>
      <c r="GA94" s="20"/>
      <c r="GB94" s="20"/>
      <c r="GC94" s="52" t="str">
        <f>IFERROR(VLOOKUP("4P08-16-00-01",pareto,18,FALSE),"-")</f>
        <v>-</v>
      </c>
      <c r="GD94" s="42" t="str">
        <f>IFERROR(VLOOKUP("4P09-15-00-01",pareto,18,FALSE),"-")</f>
        <v>-</v>
      </c>
      <c r="GE94" s="20"/>
      <c r="GF94" s="20"/>
      <c r="GG94" s="20"/>
      <c r="GH94" s="52" t="str">
        <f>IFERROR(VLOOKUP("4P09-16-00-01",pareto,18,FALSE),"-")</f>
        <v>-</v>
      </c>
    </row>
    <row r="95" spans="3:190" ht="12" customHeight="1" thickTop="1" thickBot="1" x14ac:dyDescent="0.3">
      <c r="C95" s="270"/>
      <c r="D95" s="270"/>
      <c r="E95" s="270"/>
      <c r="F95" s="270"/>
      <c r="G95" s="270"/>
      <c r="H95" s="270"/>
      <c r="I95" s="270"/>
      <c r="J95" s="270"/>
      <c r="K95" s="270"/>
      <c r="L95" s="270"/>
      <c r="M95" s="270"/>
      <c r="N95" s="270"/>
      <c r="O95" s="270"/>
      <c r="P95" s="270"/>
      <c r="Q95" s="270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34"/>
      <c r="AX95" s="9"/>
      <c r="AY95" s="9"/>
      <c r="AZ95" s="38"/>
      <c r="BA95" s="103"/>
      <c r="BB95" s="20"/>
      <c r="BC95" s="20"/>
      <c r="BD95" s="20"/>
      <c r="BE95" s="109"/>
      <c r="BF95" s="40" t="str">
        <f>IFERROR(VLOOKUP("2P02-13-00-03",pareto,18,FALSE),"-")</f>
        <v>-</v>
      </c>
      <c r="BG95" s="20"/>
      <c r="BH95" s="20"/>
      <c r="BI95" s="20"/>
      <c r="BJ95" s="48" t="e">
        <f>VLOOKUP("2P02-14-00-02",pareto,18,FALSE)</f>
        <v>#N/A</v>
      </c>
      <c r="BK95" s="40" t="str">
        <f>IFERROR(VLOOKUP("2P03-13-00-03",pareto,18,FALSE),"-")</f>
        <v>-</v>
      </c>
      <c r="BL95" s="20"/>
      <c r="BM95" s="20"/>
      <c r="BN95" s="20"/>
      <c r="BO95" s="48" t="str">
        <f>IFERROR(VLOOKUP("2P03-14-00-03",pareto,18,FALSE),"-")</f>
        <v>-</v>
      </c>
      <c r="BP95" s="40" t="str">
        <f>IFERROR(VLOOKUP("2P04-13-00-03",pareto,18,FALSE),"-")</f>
        <v>-</v>
      </c>
      <c r="BQ95" s="20"/>
      <c r="BR95" s="20"/>
      <c r="BS95" s="20"/>
      <c r="BT95" s="48" t="str">
        <f>IFERROR(VLOOKUP("2P04-14-00-03",pareto,18,FALSE),"-")</f>
        <v>-</v>
      </c>
      <c r="BU95" s="40" t="str">
        <f>IFERROR(VLOOKUP("2P05-13-00-03",pareto,18,FALSE),"-")</f>
        <v>-</v>
      </c>
      <c r="BV95" s="20"/>
      <c r="BW95" s="20"/>
      <c r="BX95" s="20"/>
      <c r="BY95" s="48" t="str">
        <f>IFERROR(VLOOKUP("2P05-14-00-03",pareto,18,FALSE),"-")</f>
        <v>-</v>
      </c>
      <c r="BZ95" s="40" t="str">
        <f>IFERROR(VLOOKUP("2P06-13-00-03",pareto,18,FALSE),"-")</f>
        <v>-</v>
      </c>
      <c r="CA95" s="20"/>
      <c r="CB95" s="20"/>
      <c r="CC95" s="20"/>
      <c r="CD95" s="48" t="str">
        <f>IFERROR(VLOOKUP("2P06-14-00-03",pareto,18,FALSE),"-")</f>
        <v>-</v>
      </c>
      <c r="CE95" s="40" t="str">
        <f>IFERROR(VLOOKUP("2P07-13-00-03",pareto,18,FALSE),"-")</f>
        <v>-</v>
      </c>
      <c r="CF95" s="20"/>
      <c r="CG95" s="20"/>
      <c r="CH95" s="20"/>
      <c r="CI95" s="48" t="str">
        <f>IFERROR(VLOOKUP("2P07-14-01-03",pareto,18,FALSE),"-")</f>
        <v>-</v>
      </c>
      <c r="CJ95" s="40" t="str">
        <f>IFERROR(VLOOKUP("2P08-13-01-03",pareto,18,FALSE),"-")</f>
        <v>-</v>
      </c>
      <c r="CK95" s="20"/>
      <c r="CL95" s="20"/>
      <c r="CM95" s="20"/>
      <c r="CN95" s="48" t="str">
        <f>IFERROR(VLOOKUP("2P08-14-01-03",pareto,18,FALSE),"-")</f>
        <v>-</v>
      </c>
      <c r="CO95" s="40" t="str">
        <f>IFERROR(VLOOKUP("2P09-13-01-03",pareto,18,FALSE),"-")</f>
        <v>-</v>
      </c>
      <c r="CP95" s="20"/>
      <c r="CQ95" s="20"/>
      <c r="CR95" s="20"/>
      <c r="CS95" s="48" t="str">
        <f>IFERROR(VLOOKUP("2P09-12-00-03",pareto,18,FALSE),"-")</f>
        <v>-</v>
      </c>
      <c r="CT95" s="19"/>
      <c r="CU95" s="20"/>
      <c r="CV95" s="20"/>
      <c r="CW95" s="20"/>
      <c r="CX95" s="20"/>
      <c r="CY95" s="20"/>
      <c r="CZ95" s="20"/>
      <c r="DA95" s="20"/>
      <c r="DB95" s="20"/>
      <c r="DC95" s="20"/>
      <c r="DD95" s="20"/>
      <c r="DE95" s="20"/>
      <c r="DF95" s="20"/>
      <c r="DG95" s="20"/>
      <c r="DH95" s="20"/>
      <c r="DI95" s="20"/>
      <c r="DJ95" s="20"/>
      <c r="DK95" s="20"/>
      <c r="DL95" s="20"/>
      <c r="DM95" s="20"/>
      <c r="DN95" s="20"/>
      <c r="DO95" s="20"/>
      <c r="DP95" s="20"/>
      <c r="DQ95" s="20"/>
      <c r="DR95" s="20"/>
      <c r="DS95" s="20"/>
      <c r="DT95" s="20"/>
      <c r="DU95" s="20"/>
      <c r="DV95" s="20"/>
      <c r="DW95" s="20"/>
      <c r="DX95" s="20"/>
      <c r="DY95" s="20"/>
      <c r="DZ95" s="20"/>
      <c r="EA95" s="20"/>
      <c r="EB95" s="20"/>
      <c r="EC95" s="20"/>
      <c r="ED95" s="20"/>
      <c r="EE95" s="20"/>
      <c r="EF95" s="20"/>
      <c r="EG95" s="20"/>
      <c r="EH95" s="20"/>
      <c r="EI95" s="20"/>
      <c r="EJ95" s="20"/>
      <c r="EK95" s="20"/>
      <c r="EL95" s="20"/>
      <c r="EM95" s="20"/>
      <c r="EN95" s="20"/>
      <c r="EO95" s="21"/>
      <c r="EP95" s="40" t="str">
        <f>IFERROR(VLOOKUP("4P01-13-00-03",pareto,18,FALSE),"-")</f>
        <v>-</v>
      </c>
      <c r="EQ95" s="20"/>
      <c r="ER95" s="20"/>
      <c r="ES95" s="20"/>
      <c r="ET95" s="71"/>
      <c r="EU95" s="72"/>
      <c r="EV95" s="20"/>
      <c r="EW95" s="20"/>
      <c r="EX95" s="20"/>
      <c r="EY95" s="71"/>
      <c r="EZ95" s="72"/>
      <c r="FA95" s="64"/>
      <c r="FB95" s="20"/>
      <c r="FC95" s="20"/>
      <c r="FD95" s="71"/>
      <c r="FE95" s="72"/>
      <c r="FF95" s="20"/>
      <c r="FG95" s="20"/>
      <c r="FH95" s="20"/>
      <c r="FI95" s="71"/>
      <c r="FJ95" s="72"/>
      <c r="FK95" s="20"/>
      <c r="FL95" s="20"/>
      <c r="FM95" s="20"/>
      <c r="FN95" s="71"/>
      <c r="FO95" s="72"/>
      <c r="FP95" s="20"/>
      <c r="FQ95" s="20"/>
      <c r="FR95" s="20"/>
      <c r="FS95" s="71"/>
      <c r="FT95" s="72"/>
      <c r="FU95" s="20"/>
      <c r="FV95" s="20"/>
      <c r="FW95" s="20"/>
      <c r="FX95" s="71"/>
      <c r="FY95" s="72"/>
      <c r="FZ95" s="20"/>
      <c r="GA95" s="20"/>
      <c r="GB95" s="20"/>
      <c r="GC95" s="71"/>
      <c r="GD95" s="72"/>
      <c r="GE95" s="20"/>
      <c r="GF95" s="20"/>
      <c r="GG95" s="20"/>
      <c r="GH95" s="71"/>
    </row>
    <row r="96" spans="3:190" ht="12" customHeight="1" thickTop="1" thickBot="1" x14ac:dyDescent="0.3">
      <c r="C96" s="270"/>
      <c r="D96" s="270"/>
      <c r="E96" s="270"/>
      <c r="F96" s="270"/>
      <c r="G96" s="270"/>
      <c r="H96" s="270"/>
      <c r="I96" s="270"/>
      <c r="J96" s="270"/>
      <c r="K96" s="270"/>
      <c r="L96" s="270"/>
      <c r="M96" s="270"/>
      <c r="N96" s="270"/>
      <c r="O96" s="270"/>
      <c r="P96" s="270"/>
      <c r="Q96" s="270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32"/>
      <c r="AX96" s="9"/>
      <c r="AY96" s="9"/>
      <c r="AZ96" s="36"/>
      <c r="BA96" s="105"/>
      <c r="BB96" s="20"/>
      <c r="BC96" s="20"/>
      <c r="BD96" s="20"/>
      <c r="BE96" s="110"/>
      <c r="BF96" s="43" t="str">
        <f>IFERROR(VLOOKUP("2P02-13-00-02",pareto,18,FALSE),"-")</f>
        <v>-</v>
      </c>
      <c r="BG96" s="20"/>
      <c r="BH96" s="20"/>
      <c r="BI96" s="20"/>
      <c r="BJ96" s="49" t="e">
        <f>VLOOKUP("2P02-14-00-01",pareto,18,FALSE)</f>
        <v>#N/A</v>
      </c>
      <c r="BK96" s="43" t="str">
        <f>IFERROR(VLOOKUP("2P03-13-00-02",pareto,18,FALSE),"-")</f>
        <v>-</v>
      </c>
      <c r="BL96" s="20"/>
      <c r="BM96" s="20"/>
      <c r="BN96" s="20"/>
      <c r="BO96" s="54" t="str">
        <f>IFERROR(VLOOKUP("2P03-14-00-02",pareto,18,FALSE),"-")</f>
        <v>-</v>
      </c>
      <c r="BP96" s="43" t="str">
        <f>IFERROR(VLOOKUP("2P04-13-00-02",pareto,18,FALSE),"-")</f>
        <v>-</v>
      </c>
      <c r="BQ96" s="20"/>
      <c r="BR96" s="20"/>
      <c r="BS96" s="20"/>
      <c r="BT96" s="49" t="str">
        <f>IFERROR(VLOOKUP("2P04-14-00-02",pareto,18,FALSE),"-")</f>
        <v>-</v>
      </c>
      <c r="BU96" s="43" t="str">
        <f>IFERROR(VLOOKUP("2P05-13-00-02",pareto,18,FALSE),"-")</f>
        <v>-</v>
      </c>
      <c r="BV96" s="20"/>
      <c r="BW96" s="20"/>
      <c r="BX96" s="20"/>
      <c r="BY96" s="54" t="str">
        <f>IFERROR(VLOOKUP("2P05-14-00-02",pareto,18,FALSE),"-")</f>
        <v>-</v>
      </c>
      <c r="BZ96" s="43" t="str">
        <f>IFERROR(VLOOKUP("2P06-13-00-02",pareto,18,FALSE),"-")</f>
        <v>-</v>
      </c>
      <c r="CA96" s="20"/>
      <c r="CB96" s="20"/>
      <c r="CC96" s="20"/>
      <c r="CD96" s="54" t="str">
        <f>IFERROR(VLOOKUP("2P06-14-00-02",pareto,18,FALSE),"-")</f>
        <v>-</v>
      </c>
      <c r="CE96" s="43" t="str">
        <f>IFERROR(VLOOKUP("2P07-13-00-02",pareto,18,FALSE),"-")</f>
        <v>-</v>
      </c>
      <c r="CF96" s="20"/>
      <c r="CG96" s="20"/>
      <c r="CH96" s="20"/>
      <c r="CI96" s="54" t="str">
        <f>IFERROR(VLOOKUP("2P07-14-01-02",pareto,18,FALSE),"-")</f>
        <v>-</v>
      </c>
      <c r="CJ96" s="43" t="str">
        <f>IFERROR(VLOOKUP("2P08-13-01-02",pareto,18,FALSE),"-")</f>
        <v>-</v>
      </c>
      <c r="CK96" s="20"/>
      <c r="CL96" s="20"/>
      <c r="CM96" s="20"/>
      <c r="CN96" s="54" t="str">
        <f>IFERROR(VLOOKUP("2P08-14-01-02",pareto,18,FALSE),"-")</f>
        <v>-</v>
      </c>
      <c r="CO96" s="43" t="str">
        <f>IFERROR(VLOOKUP("2P09-13-01-02",pareto,18,FALSE),"-")</f>
        <v>-</v>
      </c>
      <c r="CP96" s="20"/>
      <c r="CQ96" s="20"/>
      <c r="CR96" s="20"/>
      <c r="CS96" s="49" t="str">
        <f>IFERROR(VLOOKUP("2P09-12-00-02",pareto,18,FALSE),"-")</f>
        <v>-</v>
      </c>
      <c r="CT96" s="92"/>
      <c r="CU96" s="77"/>
      <c r="CV96" s="77"/>
      <c r="CW96" s="77"/>
      <c r="CX96" s="77"/>
      <c r="CY96" s="77"/>
      <c r="CZ96" s="77"/>
      <c r="DA96" s="77"/>
      <c r="DB96" s="77"/>
      <c r="DC96" s="77"/>
      <c r="DD96" s="77"/>
      <c r="DE96" s="77"/>
      <c r="DF96" s="77"/>
      <c r="DG96" s="77"/>
      <c r="DH96" s="77"/>
      <c r="DI96" s="77"/>
      <c r="DJ96" s="77"/>
      <c r="DK96" s="77"/>
      <c r="DL96" s="77"/>
      <c r="DM96" s="77"/>
      <c r="DN96" s="77"/>
      <c r="DO96" s="77"/>
      <c r="DP96" s="77"/>
      <c r="DQ96" s="77"/>
      <c r="DR96" s="77"/>
      <c r="DS96" s="77"/>
      <c r="DT96" s="77"/>
      <c r="DU96" s="77"/>
      <c r="DV96" s="77"/>
      <c r="DW96" s="77"/>
      <c r="DX96" s="77"/>
      <c r="DY96" s="77"/>
      <c r="DZ96" s="77"/>
      <c r="EA96" s="77"/>
      <c r="EB96" s="77"/>
      <c r="EC96" s="77"/>
      <c r="ED96" s="77"/>
      <c r="EE96" s="77"/>
      <c r="EF96" s="77"/>
      <c r="EG96" s="77"/>
      <c r="EH96" s="77"/>
      <c r="EI96" s="77"/>
      <c r="EJ96" s="77"/>
      <c r="EK96" s="77"/>
      <c r="EL96" s="77"/>
      <c r="EM96" s="77"/>
      <c r="EN96" s="77"/>
      <c r="EO96" s="125"/>
      <c r="EP96" s="43" t="str">
        <f>IFERROR(VLOOKUP("4P01-13-00-02",pareto,18,FALSE),"-")</f>
        <v>-</v>
      </c>
      <c r="EQ96" s="20"/>
      <c r="ER96" s="20"/>
      <c r="ES96" s="20"/>
      <c r="ET96" s="54" t="str">
        <f>IFERROR(VLOOKUP("4P01-14-00-02",pareto,18,FALSE),"-")</f>
        <v>-</v>
      </c>
      <c r="EU96" s="43" t="str">
        <f>IFERROR(VLOOKUP("4P02-13-00-02",pareto,18,FALSE),"-")</f>
        <v>-</v>
      </c>
      <c r="EV96" s="20"/>
      <c r="EW96" s="20"/>
      <c r="EX96" s="20"/>
      <c r="EY96" s="54" t="str">
        <f>IFERROR(VLOOKUP("4P02-14-00-02",pareto,18,FALSE),"-")</f>
        <v>-</v>
      </c>
      <c r="EZ96" s="43" t="str">
        <f>IFERROR(VLOOKUP("4P03-13-00-02",pareto,18,FALSE),"-")</f>
        <v>-</v>
      </c>
      <c r="FA96" s="20"/>
      <c r="FB96" s="20"/>
      <c r="FC96" s="20"/>
      <c r="FD96" s="54" t="str">
        <f>IFERROR(VLOOKUP("4P03-14-00-02",pareto,18,FALSE),"-")</f>
        <v>-</v>
      </c>
      <c r="FE96" s="43" t="str">
        <f>IFERROR(VLOOKUP("4P04-13-00-02",pareto,18,FALSE),"-")</f>
        <v>-</v>
      </c>
      <c r="FF96" s="20"/>
      <c r="FG96" s="20"/>
      <c r="FH96" s="20"/>
      <c r="FI96" s="54" t="str">
        <f>IFERROR(VLOOKUP("4P04-14-00-02",pareto,18,FALSE),"-")</f>
        <v>-</v>
      </c>
      <c r="FJ96" s="43" t="str">
        <f>IFERROR(VLOOKUP("4P05-13-00-02",pareto,18,FALSE),"-")</f>
        <v>-</v>
      </c>
      <c r="FK96" s="20"/>
      <c r="FL96" s="20"/>
      <c r="FM96" s="20"/>
      <c r="FN96" s="54" t="str">
        <f>IFERROR(VLOOKUP("4P05-14-00-02",pareto,18,FALSE),"-")</f>
        <v>-</v>
      </c>
      <c r="FO96" s="43" t="str">
        <f>IFERROR(VLOOKUP("4P06-13-00-02",pareto,18,FALSE),"-")</f>
        <v>-</v>
      </c>
      <c r="FP96" s="20"/>
      <c r="FQ96" s="20"/>
      <c r="FR96" s="20"/>
      <c r="FS96" s="54" t="str">
        <f>IFERROR(VLOOKUP("4P06-14-00-02",pareto,18,FALSE),"-")</f>
        <v>-</v>
      </c>
      <c r="FT96" s="43" t="str">
        <f>IFERROR(VLOOKUP("4P07-13-00-02",pareto,18,FALSE),"-")</f>
        <v>-</v>
      </c>
      <c r="FU96" s="20"/>
      <c r="FV96" s="20"/>
      <c r="FW96" s="20"/>
      <c r="FX96" s="54" t="str">
        <f>IFERROR(VLOOKUP("4P07-14-00-02",pareto,18,FALSE),"-")</f>
        <v>-</v>
      </c>
      <c r="FY96" s="43" t="str">
        <f>IFERROR(VLOOKUP("4P08-13-00-02",pareto,18,FALSE),"-")</f>
        <v>-</v>
      </c>
      <c r="FZ96" s="20"/>
      <c r="GA96" s="20"/>
      <c r="GB96" s="20"/>
      <c r="GC96" s="54" t="str">
        <f>IFERROR(VLOOKUP("4P08-14-00-02",pareto,18,FALSE),"-")</f>
        <v>-</v>
      </c>
      <c r="GD96" s="43" t="str">
        <f>IFERROR(VLOOKUP("4P09-13-00-02",pareto,18,FALSE),"-")</f>
        <v>-</v>
      </c>
      <c r="GE96" s="20"/>
      <c r="GF96" s="20"/>
      <c r="GG96" s="20"/>
      <c r="GH96" s="54" t="str">
        <f>IFERROR(VLOOKUP("4P09-14-00-02",pareto,18,FALSE),"-")</f>
        <v>-</v>
      </c>
    </row>
    <row r="97" spans="3:190" ht="12" customHeight="1" thickTop="1" thickBot="1" x14ac:dyDescent="0.3">
      <c r="C97" s="270"/>
      <c r="D97" s="270"/>
      <c r="E97" s="270"/>
      <c r="F97" s="270"/>
      <c r="G97" s="270"/>
      <c r="H97" s="270"/>
      <c r="I97" s="270"/>
      <c r="J97" s="270"/>
      <c r="K97" s="270"/>
      <c r="L97" s="270"/>
      <c r="M97" s="270"/>
      <c r="N97" s="270"/>
      <c r="O97" s="270"/>
      <c r="P97" s="270"/>
      <c r="Q97" s="270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33"/>
      <c r="AX97" s="9"/>
      <c r="AY97" s="9"/>
      <c r="AZ97" s="37"/>
      <c r="BA97" s="107"/>
      <c r="BB97" s="20"/>
      <c r="BC97" s="20"/>
      <c r="BD97" s="20"/>
      <c r="BE97" s="111"/>
      <c r="BF97" s="42" t="str">
        <f>IFERROR(VLOOKUP("2P02-13-00-01",pareto,18,FALSE),"-")</f>
        <v>-</v>
      </c>
      <c r="BG97" s="20"/>
      <c r="BH97" s="20"/>
      <c r="BI97" s="20"/>
      <c r="BJ97" s="50" t="e">
        <f>VLOOKUP("2P02-14-00-02",pareto,18,FALSE)</f>
        <v>#N/A</v>
      </c>
      <c r="BK97" s="42" t="str">
        <f>IFERROR(VLOOKUP("2P03-13-00-01",pareto,18,FALSE),"-")</f>
        <v>-</v>
      </c>
      <c r="BL97" s="20"/>
      <c r="BM97" s="20"/>
      <c r="BN97" s="20"/>
      <c r="BO97" s="52" t="str">
        <f>IFERROR(VLOOKUP("2P03-14-00-01",pareto,18,FALSE),"-")</f>
        <v>-</v>
      </c>
      <c r="BP97" s="42" t="str">
        <f>IFERROR(VLOOKUP("2P04-13-00-01",pareto,18,FALSE),"-")</f>
        <v>-</v>
      </c>
      <c r="BQ97" s="20"/>
      <c r="BR97" s="20"/>
      <c r="BS97" s="20"/>
      <c r="BT97" s="52" t="str">
        <f>IFERROR(VLOOKUP("2P04-14-00-01",pareto,18,FALSE),"-")</f>
        <v>-</v>
      </c>
      <c r="BU97" s="42" t="str">
        <f>IFERROR(VLOOKUP("2P05-13-00-01",pareto,18,FALSE),"-")</f>
        <v>-</v>
      </c>
      <c r="BV97" s="20"/>
      <c r="BW97" s="20"/>
      <c r="BX97" s="20"/>
      <c r="BY97" s="52" t="str">
        <f>IFERROR(VLOOKUP("2P05-14-00-01",pareto,18,FALSE),"-")</f>
        <v>-</v>
      </c>
      <c r="BZ97" s="42" t="str">
        <f>IFERROR(VLOOKUP("2P06-13-00-01",pareto,18,FALSE),"-")</f>
        <v>-</v>
      </c>
      <c r="CA97" s="20"/>
      <c r="CB97" s="20"/>
      <c r="CC97" s="20"/>
      <c r="CD97" s="52" t="str">
        <f>IFERROR(VLOOKUP("2P06-14-00-01",pareto,18,FALSE),"-")</f>
        <v>-</v>
      </c>
      <c r="CE97" s="42" t="str">
        <f>IFERROR(VLOOKUP("2P07-13-00-01",pareto,18,FALSE),"-")</f>
        <v>-</v>
      </c>
      <c r="CF97" s="20"/>
      <c r="CG97" s="20"/>
      <c r="CH97" s="20"/>
      <c r="CI97" s="52" t="str">
        <f>IFERROR(VLOOKUP("2P07-14-01-01",pareto,18,FALSE),"-")</f>
        <v>-</v>
      </c>
      <c r="CJ97" s="42" t="str">
        <f>IFERROR(VLOOKUP("2P08-13-01-01",pareto,18,FALSE),"-")</f>
        <v>-</v>
      </c>
      <c r="CK97" s="20"/>
      <c r="CL97" s="20"/>
      <c r="CM97" s="20"/>
      <c r="CN97" s="52" t="str">
        <f>IFERROR(VLOOKUP("2P08-14-01-01",pareto,18,FALSE),"-")</f>
        <v>-</v>
      </c>
      <c r="CO97" s="42" t="str">
        <f>IFERROR(VLOOKUP("2P09-13-01-01",pareto,18,FALSE),"-")</f>
        <v>-</v>
      </c>
      <c r="CP97" s="20"/>
      <c r="CQ97" s="20"/>
      <c r="CR97" s="20"/>
      <c r="CS97" s="52" t="str">
        <f>IFERROR(VLOOKUP("2P09-12-00-01",pareto,18,FALSE),"-")</f>
        <v>-</v>
      </c>
      <c r="CT97" s="92"/>
      <c r="CU97" s="77"/>
      <c r="CV97" s="77"/>
      <c r="CW97" s="77"/>
      <c r="CX97" s="77"/>
      <c r="CY97" s="77"/>
      <c r="CZ97" s="77"/>
      <c r="DA97" s="77"/>
      <c r="DB97" s="77"/>
      <c r="DC97" s="77"/>
      <c r="DD97" s="77"/>
      <c r="DE97" s="77"/>
      <c r="DF97" s="77"/>
      <c r="DG97" s="77"/>
      <c r="DH97" s="77"/>
      <c r="DI97" s="77"/>
      <c r="DJ97" s="77"/>
      <c r="DK97" s="77"/>
      <c r="DL97" s="77"/>
      <c r="DM97" s="77"/>
      <c r="DN97" s="77"/>
      <c r="DO97" s="77"/>
      <c r="DP97" s="77"/>
      <c r="DQ97" s="77"/>
      <c r="DR97" s="77"/>
      <c r="DS97" s="77"/>
      <c r="DT97" s="77"/>
      <c r="DU97" s="77"/>
      <c r="DV97" s="77"/>
      <c r="DW97" s="77"/>
      <c r="DX97" s="77"/>
      <c r="DY97" s="77"/>
      <c r="DZ97" s="77"/>
      <c r="EA97" s="77"/>
      <c r="EB97" s="77"/>
      <c r="EC97" s="77"/>
      <c r="ED97" s="77"/>
      <c r="EE97" s="77"/>
      <c r="EF97" s="77"/>
      <c r="EG97" s="77"/>
      <c r="EH97" s="77"/>
      <c r="EI97" s="77"/>
      <c r="EJ97" s="77"/>
      <c r="EK97" s="77"/>
      <c r="EL97" s="77"/>
      <c r="EM97" s="77"/>
      <c r="EN97" s="77"/>
      <c r="EO97" s="125"/>
      <c r="EP97" s="42" t="str">
        <f>IFERROR(VLOOKUP("4P01-13-00-01",pareto,18,FALSE),"-")</f>
        <v>-</v>
      </c>
      <c r="EQ97" s="20"/>
      <c r="ER97" s="20"/>
      <c r="ES97" s="20"/>
      <c r="ET97" s="52" t="str">
        <f>IFERROR(VLOOKUP("4P01-14-00-01",pareto,18,FALSE),"-")</f>
        <v>-</v>
      </c>
      <c r="EU97" s="42" t="str">
        <f>IFERROR(VLOOKUP("4P02-13-00-01",pareto,18,FALSE),"-")</f>
        <v>-</v>
      </c>
      <c r="EV97" s="20"/>
      <c r="EW97" s="20"/>
      <c r="EX97" s="20"/>
      <c r="EY97" s="52" t="str">
        <f>IFERROR(VLOOKUP("4P02-14-00-01",pareto,18,FALSE),"-")</f>
        <v>-</v>
      </c>
      <c r="EZ97" s="42" t="str">
        <f>IFERROR(VLOOKUP("4P03-13-00-01",pareto,18,FALSE),"-")</f>
        <v>-</v>
      </c>
      <c r="FA97" s="20"/>
      <c r="FB97" s="20"/>
      <c r="FC97" s="20"/>
      <c r="FD97" s="52" t="str">
        <f>IFERROR(VLOOKUP("4P03-14-00-01",pareto,18,FALSE),"-")</f>
        <v>-</v>
      </c>
      <c r="FE97" s="42" t="str">
        <f>IFERROR(VLOOKUP("4P04-13-00-01",pareto,18,FALSE),"-")</f>
        <v>-</v>
      </c>
      <c r="FF97" s="20"/>
      <c r="FG97" s="20"/>
      <c r="FH97" s="20"/>
      <c r="FI97" s="52" t="str">
        <f>IFERROR(VLOOKUP("4P04-14-00-01",pareto,18,FALSE),"-")</f>
        <v>-</v>
      </c>
      <c r="FJ97" s="42" t="str">
        <f>IFERROR(VLOOKUP("4P05-13-00-01",pareto,18,FALSE),"-")</f>
        <v>-</v>
      </c>
      <c r="FK97" s="20"/>
      <c r="FL97" s="20"/>
      <c r="FM97" s="20"/>
      <c r="FN97" s="52" t="str">
        <f>IFERROR(VLOOKUP("4P05-14-00-01",pareto,18,FALSE),"-")</f>
        <v>-</v>
      </c>
      <c r="FO97" s="42" t="str">
        <f>IFERROR(VLOOKUP("4P06-13-00-01",pareto,18,FALSE),"-")</f>
        <v>-</v>
      </c>
      <c r="FP97" s="20"/>
      <c r="FQ97" s="20"/>
      <c r="FR97" s="20"/>
      <c r="FS97" s="52" t="str">
        <f>IFERROR(VLOOKUP("4P06-14-00-01",pareto,18,FALSE),"-")</f>
        <v>-</v>
      </c>
      <c r="FT97" s="42" t="str">
        <f>IFERROR(VLOOKUP("4P07-13-00-01",pareto,18,FALSE),"-")</f>
        <v>-</v>
      </c>
      <c r="FU97" s="20"/>
      <c r="FV97" s="20"/>
      <c r="FW97" s="20"/>
      <c r="FX97" s="52" t="str">
        <f>IFERROR(VLOOKUP("4P07-14-00-01",pareto,18,FALSE),"-")</f>
        <v>-</v>
      </c>
      <c r="FY97" s="42" t="str">
        <f>IFERROR(VLOOKUP("4P08-13-00-01",pareto,18,FALSE),"-")</f>
        <v>-</v>
      </c>
      <c r="FZ97" s="20"/>
      <c r="GA97" s="20"/>
      <c r="GB97" s="20"/>
      <c r="GC97" s="52" t="str">
        <f>IFERROR(VLOOKUP("4P08-14-00-01",pareto,18,FALSE),"-")</f>
        <v>-</v>
      </c>
      <c r="GD97" s="42" t="str">
        <f>IFERROR(VLOOKUP("4P09-13-00-01",pareto,18,FALSE),"-")</f>
        <v>-</v>
      </c>
      <c r="GE97" s="20"/>
      <c r="GF97" s="20"/>
      <c r="GG97" s="20"/>
      <c r="GH97" s="52" t="str">
        <f>IFERROR(VLOOKUP("4P09-14-00-01",pareto,18,FALSE),"-")</f>
        <v>-</v>
      </c>
    </row>
    <row r="98" spans="3:190" ht="12" customHeight="1" thickTop="1" thickBot="1" x14ac:dyDescent="0.3">
      <c r="C98" s="270"/>
      <c r="D98" s="270"/>
      <c r="E98" s="270"/>
      <c r="F98" s="270"/>
      <c r="G98" s="270"/>
      <c r="H98" s="270"/>
      <c r="I98" s="270"/>
      <c r="J98" s="270"/>
      <c r="K98" s="270"/>
      <c r="L98" s="270"/>
      <c r="M98" s="270"/>
      <c r="N98" s="270"/>
      <c r="O98" s="270"/>
      <c r="P98" s="270"/>
      <c r="Q98" s="270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34"/>
      <c r="AX98" s="9"/>
      <c r="AY98" s="9"/>
      <c r="AZ98" s="38"/>
      <c r="BA98" s="103"/>
      <c r="BB98" s="20"/>
      <c r="BC98" s="20"/>
      <c r="BD98" s="20"/>
      <c r="BE98" s="109"/>
      <c r="BF98" s="40" t="str">
        <f>IFERROR(VLOOKUP("2P02-11-00-03",pareto,18,FALSE),"-")</f>
        <v>-</v>
      </c>
      <c r="BG98" s="20"/>
      <c r="BH98" s="20"/>
      <c r="BI98" s="20"/>
      <c r="BJ98" s="48" t="e">
        <f>VLOOKUP("2P02-12-00-03",pareto,18,FALSE)</f>
        <v>#N/A</v>
      </c>
      <c r="BK98" s="40" t="str">
        <f>IFERROR(VLOOKUP("2P03-11-00-03",pareto,18,FALSE),"-")</f>
        <v>-</v>
      </c>
      <c r="BL98" s="20"/>
      <c r="BM98" s="20"/>
      <c r="BN98" s="20"/>
      <c r="BO98" s="48" t="str">
        <f>IFERROR(VLOOKUP("2P03-12-00-03",pareto,18,FALSE),"-")</f>
        <v>-</v>
      </c>
      <c r="BP98" s="40" t="str">
        <f>IFERROR(VLOOKUP("2P04-11-00-03",pareto,18,FALSE),"-")</f>
        <v>-</v>
      </c>
      <c r="BQ98" s="20"/>
      <c r="BR98" s="20"/>
      <c r="BS98" s="20"/>
      <c r="BT98" s="48" t="str">
        <f>IFERROR(VLOOKUP("2P04-12-00-03",pareto,18,FALSE),"-")</f>
        <v>-</v>
      </c>
      <c r="BU98" s="40" t="str">
        <f>IFERROR(VLOOKUP("2P05-11-00-03",pareto,18,FALSE),"-")</f>
        <v>-</v>
      </c>
      <c r="BV98" s="20"/>
      <c r="BW98" s="20"/>
      <c r="BX98" s="20"/>
      <c r="BY98" s="48" t="str">
        <f>IFERROR(VLOOKUP("2P05-12-00-03",pareto,18,FALSE),"-")</f>
        <v>-</v>
      </c>
      <c r="BZ98" s="40" t="str">
        <f>IFERROR(VLOOKUP("2P06-11-00-03",pareto,18,FALSE),"-")</f>
        <v>-</v>
      </c>
      <c r="CA98" s="20"/>
      <c r="CB98" s="20"/>
      <c r="CC98" s="20"/>
      <c r="CD98" s="48" t="str">
        <f>IFERROR(VLOOKUP("2P06-12-00-03",pareto,18,FALSE),"-")</f>
        <v>-</v>
      </c>
      <c r="CE98" s="40" t="str">
        <f>IFERROR(VLOOKUP("2P07-11-00-03",pareto,18,FALSE),"-")</f>
        <v>-</v>
      </c>
      <c r="CF98" s="20"/>
      <c r="CG98" s="20"/>
      <c r="CH98" s="20"/>
      <c r="CI98" s="48" t="str">
        <f>IFERROR(VLOOKUP("2P07-12-01-03",pareto,18,FALSE),"-")</f>
        <v>-</v>
      </c>
      <c r="CJ98" s="40" t="str">
        <f>IFERROR(VLOOKUP("2P08-11-01-03",pareto,18,FALSE),"-")</f>
        <v>-</v>
      </c>
      <c r="CK98" s="20"/>
      <c r="CL98" s="20"/>
      <c r="CM98" s="20"/>
      <c r="CN98" s="48" t="str">
        <f>IFERROR(VLOOKUP("2P08-12-01-03",pareto,18,FALSE),"-")</f>
        <v>-</v>
      </c>
      <c r="CO98" s="40" t="str">
        <f>IFERROR(VLOOKUP("2P09-11-01-03",pareto,18,FALSE),"-")</f>
        <v>-</v>
      </c>
      <c r="CP98" s="20"/>
      <c r="CQ98" s="20"/>
      <c r="CR98" s="20"/>
      <c r="CS98" s="58" t="str">
        <f>IFERROR(VLOOKUP("2P09-10-00-03",pareto,18,FALSE),"-")</f>
        <v>-</v>
      </c>
      <c r="CT98" s="92"/>
      <c r="CU98" s="77"/>
      <c r="CV98" s="77"/>
      <c r="CW98" s="77"/>
      <c r="CX98" s="77"/>
      <c r="CY98" s="77"/>
      <c r="CZ98" s="77"/>
      <c r="DA98" s="77"/>
      <c r="DB98" s="77"/>
      <c r="DC98" s="77"/>
      <c r="DD98" s="77"/>
      <c r="DE98" s="77"/>
      <c r="DF98" s="77"/>
      <c r="DG98" s="77"/>
      <c r="DH98" s="77"/>
      <c r="DI98" s="77"/>
      <c r="DJ98" s="77"/>
      <c r="DK98" s="77"/>
      <c r="DL98" s="77"/>
      <c r="DM98" s="77"/>
      <c r="DN98" s="77"/>
      <c r="DO98" s="77"/>
      <c r="DP98" s="77"/>
      <c r="DQ98" s="77"/>
      <c r="DR98" s="77"/>
      <c r="DS98" s="77"/>
      <c r="DT98" s="77"/>
      <c r="DU98" s="77"/>
      <c r="DV98" s="77"/>
      <c r="DW98" s="77"/>
      <c r="DX98" s="77"/>
      <c r="DY98" s="77"/>
      <c r="DZ98" s="77"/>
      <c r="EA98" s="77"/>
      <c r="EB98" s="77"/>
      <c r="EC98" s="77"/>
      <c r="ED98" s="77"/>
      <c r="EE98" s="77"/>
      <c r="EF98" s="77"/>
      <c r="EG98" s="77"/>
      <c r="EH98" s="77"/>
      <c r="EI98" s="77"/>
      <c r="EJ98" s="77"/>
      <c r="EK98" s="77"/>
      <c r="EL98" s="77"/>
      <c r="EM98" s="77"/>
      <c r="EN98" s="77"/>
      <c r="EO98" s="125"/>
      <c r="EP98" s="40" t="str">
        <f>IFERROR(VLOOKUP("4P01-11-00-03",pareto,18,FALSE),"-")</f>
        <v>-</v>
      </c>
      <c r="EQ98" s="20"/>
      <c r="ER98" s="20"/>
      <c r="ES98" s="20"/>
      <c r="ET98" s="48" t="str">
        <f>IFERROR(VLOOKUP("4P01-12-00-03",pareto,18,FALSE),"-")</f>
        <v>-</v>
      </c>
      <c r="EU98" s="40" t="str">
        <f>IFERROR(VLOOKUP("4P02-11-00-03",pareto,18,FALSE),"-")</f>
        <v>-</v>
      </c>
      <c r="EV98" s="20"/>
      <c r="EW98" s="20"/>
      <c r="EX98" s="20"/>
      <c r="EY98" s="48" t="str">
        <f>IFERROR(VLOOKUP("4P02-12-00-03",pareto,18,FALSE),"-")</f>
        <v>-</v>
      </c>
      <c r="EZ98" s="40" t="str">
        <f>IFERROR(VLOOKUP("4P03-11-00-03",pareto,18,FALSE),"-")</f>
        <v>-</v>
      </c>
      <c r="FA98" s="20"/>
      <c r="FB98" s="20"/>
      <c r="FC98" s="20"/>
      <c r="FD98" s="48" t="str">
        <f>IFERROR(VLOOKUP("4P03-12-00-03",pareto,18,FALSE),"-")</f>
        <v>-</v>
      </c>
      <c r="FE98" s="40" t="str">
        <f>IFERROR(VLOOKUP("4P04-11-00-03",pareto,18,FALSE),"-")</f>
        <v>-</v>
      </c>
      <c r="FF98" s="20"/>
      <c r="FG98" s="20"/>
      <c r="FH98" s="20"/>
      <c r="FI98" s="48" t="str">
        <f>IFERROR(VLOOKUP("4P04-12-00-03",pareto,18,FALSE),"-")</f>
        <v>-</v>
      </c>
      <c r="FJ98" s="40" t="str">
        <f>IFERROR(VLOOKUP("4P05-11-00-03",pareto,18,FALSE),"-")</f>
        <v>-</v>
      </c>
      <c r="FK98" s="20"/>
      <c r="FL98" s="20"/>
      <c r="FM98" s="20"/>
      <c r="FN98" s="48" t="str">
        <f>IFERROR(VLOOKUP("4P05-12-00-03",pareto,18,FALSE),"-")</f>
        <v>-</v>
      </c>
      <c r="FO98" s="40" t="str">
        <f>IFERROR(VLOOKUP("4P06-11-00-03",pareto,18,FALSE),"-")</f>
        <v>-</v>
      </c>
      <c r="FP98" s="20"/>
      <c r="FQ98" s="20"/>
      <c r="FR98" s="20"/>
      <c r="FS98" s="48" t="str">
        <f>IFERROR(VLOOKUP("4P06-12-00-03",pareto,18,FALSE),"-")</f>
        <v>-</v>
      </c>
      <c r="FT98" s="40" t="str">
        <f>IFERROR(VLOOKUP("4P07-11-00-03",pareto,18,FALSE),"-")</f>
        <v>-</v>
      </c>
      <c r="FU98" s="20"/>
      <c r="FV98" s="20"/>
      <c r="FW98" s="20"/>
      <c r="FX98" s="48" t="str">
        <f>IFERROR(VLOOKUP("4P07-12-00-03",pareto,18,FALSE),"-")</f>
        <v>-</v>
      </c>
      <c r="FY98" s="40" t="str">
        <f>IFERROR(VLOOKUP("4P08-11-00-03",pareto,18,FALSE),"-")</f>
        <v>-</v>
      </c>
      <c r="FZ98" s="20"/>
      <c r="GA98" s="20"/>
      <c r="GB98" s="20"/>
      <c r="GC98" s="48" t="str">
        <f>IFERROR(VLOOKUP("4P08-12-00-03",pareto,18,FALSE),"-")</f>
        <v>-</v>
      </c>
      <c r="GD98" s="40" t="str">
        <f>IFERROR(VLOOKUP("4P09-11-00-03",pareto,18,FALSE),"-")</f>
        <v>-</v>
      </c>
      <c r="GE98" s="20"/>
      <c r="GF98" s="20"/>
      <c r="GG98" s="20"/>
      <c r="GH98" s="48" t="str">
        <f>IFERROR(VLOOKUP("4P09-12-00-03",pareto,18,FALSE),"-")</f>
        <v>-</v>
      </c>
    </row>
    <row r="99" spans="3:190" ht="12" customHeight="1" thickTop="1" thickBot="1" x14ac:dyDescent="0.3">
      <c r="C99" s="270"/>
      <c r="D99" s="270"/>
      <c r="E99" s="270"/>
      <c r="F99" s="270"/>
      <c r="G99" s="270"/>
      <c r="H99" s="270"/>
      <c r="I99" s="270"/>
      <c r="J99" s="270"/>
      <c r="K99" s="270"/>
      <c r="L99" s="270"/>
      <c r="M99" s="270"/>
      <c r="N99" s="270"/>
      <c r="O99" s="270"/>
      <c r="P99" s="270"/>
      <c r="Q99" s="270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32"/>
      <c r="AX99" s="9"/>
      <c r="AY99" s="9"/>
      <c r="AZ99" s="36"/>
      <c r="BA99" s="105"/>
      <c r="BB99" s="20"/>
      <c r="BC99" s="20"/>
      <c r="BD99" s="126"/>
      <c r="BE99" s="110"/>
      <c r="BF99" s="43" t="str">
        <f>IFERROR(VLOOKUP("2P02-11-00-02",pareto,18,FALSE),"-")</f>
        <v>-</v>
      </c>
      <c r="BG99" s="20"/>
      <c r="BH99" s="20"/>
      <c r="BI99" s="20"/>
      <c r="BJ99" s="49" t="e">
        <f>VLOOKUP("2P02-12-00-02",pareto,18,FALSE)</f>
        <v>#N/A</v>
      </c>
      <c r="BK99" s="43" t="str">
        <f>IFERROR(VLOOKUP("2P03-11-00-02",pareto,18,FALSE),"-")</f>
        <v>-</v>
      </c>
      <c r="BL99" s="20"/>
      <c r="BM99" s="20"/>
      <c r="BN99" s="20"/>
      <c r="BO99" s="49" t="str">
        <f>IFERROR(VLOOKUP("2P03-12-00-02",pareto,18,FALSE),"-")</f>
        <v>-</v>
      </c>
      <c r="BP99" s="43" t="str">
        <f>IFERROR(VLOOKUP("2P04-11-00-02",pareto,18,FALSE),"-")</f>
        <v>-</v>
      </c>
      <c r="BQ99" s="20"/>
      <c r="BR99" s="20"/>
      <c r="BS99" s="20"/>
      <c r="BT99" s="54" t="str">
        <f>IFERROR(VLOOKUP("2P04-12-00-02",pareto,18,FALSE),"-")</f>
        <v>-</v>
      </c>
      <c r="BU99" s="43" t="str">
        <f>IFERROR(VLOOKUP("2P05-11-00-02",pareto,18,FALSE),"-")</f>
        <v>-</v>
      </c>
      <c r="BV99" s="20"/>
      <c r="BW99" s="20"/>
      <c r="BX99" s="20"/>
      <c r="BY99" s="49" t="str">
        <f>IFERROR(VLOOKUP("2P05-12-00-02",pareto,18,FALSE),"-")</f>
        <v>-</v>
      </c>
      <c r="BZ99" s="43" t="str">
        <f>IFERROR(VLOOKUP("2P06-11-00-02",pareto,18,FALSE),"-")</f>
        <v>-</v>
      </c>
      <c r="CA99" s="20"/>
      <c r="CB99" s="20"/>
      <c r="CC99" s="20"/>
      <c r="CD99" s="49" t="str">
        <f>IFERROR(VLOOKUP("2P06-12-00-02",pareto,18,FALSE),"-")</f>
        <v>-</v>
      </c>
      <c r="CE99" s="43" t="str">
        <f>IFERROR(VLOOKUP("2P07-11-00-02",pareto,18,FALSE),"-")</f>
        <v>-</v>
      </c>
      <c r="CF99" s="20"/>
      <c r="CG99" s="20"/>
      <c r="CH99" s="20"/>
      <c r="CI99" s="49" t="str">
        <f>IFERROR(VLOOKUP("2P07-12-01-02",pareto,18,FALSE),"-")</f>
        <v>-</v>
      </c>
      <c r="CJ99" s="43" t="str">
        <f>IFERROR(VLOOKUP("2P08-11-01-02",pareto,18,FALSE),"-")</f>
        <v>-</v>
      </c>
      <c r="CK99" s="20"/>
      <c r="CL99" s="20"/>
      <c r="CM99" s="20"/>
      <c r="CN99" s="49" t="str">
        <f>IFERROR(VLOOKUP("2P08-12-01-02",pareto,18,FALSE),"-")</f>
        <v>-</v>
      </c>
      <c r="CO99" s="43" t="str">
        <f>IFERROR(VLOOKUP("2P09-11-01-02",pareto,18,FALSE),"-")</f>
        <v>-</v>
      </c>
      <c r="CP99" s="20"/>
      <c r="CQ99" s="20"/>
      <c r="CR99" s="20"/>
      <c r="CS99" s="49" t="str">
        <f>IFERROR(VLOOKUP("2P09-10-00-02",pareto,18,FALSE),"-")</f>
        <v>-</v>
      </c>
      <c r="CT99" s="92"/>
      <c r="CU99" s="77"/>
      <c r="CV99" s="77"/>
      <c r="CW99" s="77"/>
      <c r="CX99" s="77"/>
      <c r="CY99" s="77"/>
      <c r="CZ99" s="77"/>
      <c r="DA99" s="77"/>
      <c r="DB99" s="77"/>
      <c r="DC99" s="77"/>
      <c r="DD99" s="77"/>
      <c r="DE99" s="77"/>
      <c r="DF99" s="77"/>
      <c r="DG99" s="77"/>
      <c r="DH99" s="77"/>
      <c r="DI99" s="77"/>
      <c r="DJ99" s="77"/>
      <c r="DK99" s="77"/>
      <c r="DL99" s="77"/>
      <c r="DM99" s="77"/>
      <c r="DN99" s="77"/>
      <c r="DO99" s="77"/>
      <c r="DP99" s="77"/>
      <c r="DQ99" s="77"/>
      <c r="DR99" s="77"/>
      <c r="DS99" s="77"/>
      <c r="DT99" s="77"/>
      <c r="DU99" s="77"/>
      <c r="DV99" s="77"/>
      <c r="DW99" s="77"/>
      <c r="DX99" s="77"/>
      <c r="DY99" s="77"/>
      <c r="DZ99" s="77"/>
      <c r="EA99" s="77"/>
      <c r="EB99" s="77"/>
      <c r="EC99" s="77"/>
      <c r="ED99" s="77"/>
      <c r="EE99" s="77"/>
      <c r="EF99" s="77"/>
      <c r="EG99" s="77"/>
      <c r="EH99" s="77"/>
      <c r="EI99" s="77"/>
      <c r="EJ99" s="77"/>
      <c r="EK99" s="77"/>
      <c r="EL99" s="77"/>
      <c r="EM99" s="77"/>
      <c r="EN99" s="77"/>
      <c r="EO99" s="125"/>
      <c r="EP99" s="43" t="str">
        <f>IFERROR(VLOOKUP("4P01-11-00-02",pareto,18,FALSE),"-")</f>
        <v>-</v>
      </c>
      <c r="EQ99" s="20"/>
      <c r="ER99" s="20"/>
      <c r="ES99" s="20"/>
      <c r="ET99" s="49" t="str">
        <f>IFERROR(VLOOKUP("4P01-12-00-02",pareto,18,FALSE),"-")</f>
        <v>-</v>
      </c>
      <c r="EU99" s="43" t="str">
        <f>IFERROR(VLOOKUP("4P02-11-00-02",pareto,18,FALSE),"-")</f>
        <v>-</v>
      </c>
      <c r="EV99" s="20"/>
      <c r="EW99" s="20"/>
      <c r="EX99" s="20"/>
      <c r="EY99" s="49" t="str">
        <f>IFERROR(VLOOKUP("4P02-12-00-02",pareto,18,FALSE),"-")</f>
        <v>-</v>
      </c>
      <c r="EZ99" s="43" t="str">
        <f>IFERROR(VLOOKUP("4P03-11-00-02",pareto,18,FALSE),"-")</f>
        <v>-</v>
      </c>
      <c r="FA99" s="20"/>
      <c r="FB99" s="20"/>
      <c r="FC99" s="20"/>
      <c r="FD99" s="49" t="str">
        <f>IFERROR(VLOOKUP("4P03-12-00-02",pareto,18,FALSE),"-")</f>
        <v>-</v>
      </c>
      <c r="FE99" s="43" t="str">
        <f>IFERROR(VLOOKUP("4P04-11-00-02",pareto,18,FALSE),"-")</f>
        <v>-</v>
      </c>
      <c r="FF99" s="20"/>
      <c r="FG99" s="20"/>
      <c r="FH99" s="20"/>
      <c r="FI99" s="49" t="str">
        <f>IFERROR(VLOOKUP("4P04-12-00-02",pareto,18,FALSE),"-")</f>
        <v>-</v>
      </c>
      <c r="FJ99" s="43" t="str">
        <f>IFERROR(VLOOKUP("4P05-11-00-02",pareto,18,FALSE),"-")</f>
        <v>-</v>
      </c>
      <c r="FK99" s="20"/>
      <c r="FL99" s="20"/>
      <c r="FM99" s="20"/>
      <c r="FN99" s="49" t="str">
        <f>IFERROR(VLOOKUP("4P05-12-00-02",pareto,18,FALSE),"-")</f>
        <v>-</v>
      </c>
      <c r="FO99" s="43" t="str">
        <f>IFERROR(VLOOKUP("4P06-11-00-02",pareto,18,FALSE),"-")</f>
        <v>-</v>
      </c>
      <c r="FP99" s="20"/>
      <c r="FQ99" s="20"/>
      <c r="FR99" s="20"/>
      <c r="FS99" s="49" t="str">
        <f>IFERROR(VLOOKUP("4P06-12-00-02",pareto,18,FALSE),"-")</f>
        <v>-</v>
      </c>
      <c r="FT99" s="43" t="str">
        <f>IFERROR(VLOOKUP("4P07-11-00-02",pareto,18,FALSE),"-")</f>
        <v>-</v>
      </c>
      <c r="FU99" s="20"/>
      <c r="FV99" s="20"/>
      <c r="FW99" s="20"/>
      <c r="FX99" s="49" t="str">
        <f>IFERROR(VLOOKUP("4P07-12-00-02",pareto,18,FALSE),"-")</f>
        <v>-</v>
      </c>
      <c r="FY99" s="43" t="str">
        <f>IFERROR(VLOOKUP("4P08-11-00-02",pareto,18,FALSE),"-")</f>
        <v>-</v>
      </c>
      <c r="FZ99" s="20"/>
      <c r="GA99" s="20"/>
      <c r="GB99" s="20"/>
      <c r="GC99" s="49" t="str">
        <f>IFERROR(VLOOKUP("4P08-12-00-02",pareto,18,FALSE),"-")</f>
        <v>-</v>
      </c>
      <c r="GD99" s="43" t="str">
        <f>IFERROR(VLOOKUP("4P09-11-00-02",pareto,18,FALSE),"-")</f>
        <v>-</v>
      </c>
      <c r="GE99" s="20"/>
      <c r="GF99" s="20"/>
      <c r="GG99" s="20"/>
      <c r="GH99" s="49" t="str">
        <f>IFERROR(VLOOKUP("4P09-12-00-02",pareto,18,FALSE),"-")</f>
        <v>-</v>
      </c>
    </row>
    <row r="100" spans="3:190" ht="12" customHeight="1" thickTop="1" thickBot="1" x14ac:dyDescent="0.3">
      <c r="C100" s="270"/>
      <c r="D100" s="270"/>
      <c r="E100" s="270"/>
      <c r="F100" s="270"/>
      <c r="G100" s="270"/>
      <c r="H100" s="270"/>
      <c r="I100" s="270"/>
      <c r="J100" s="270"/>
      <c r="K100" s="270"/>
      <c r="L100" s="270"/>
      <c r="M100" s="270"/>
      <c r="N100" s="270"/>
      <c r="O100" s="270"/>
      <c r="P100" s="270"/>
      <c r="Q100" s="270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33"/>
      <c r="AX100" s="9"/>
      <c r="AY100" s="9"/>
      <c r="AZ100" s="37"/>
      <c r="BA100" s="107"/>
      <c r="BB100" s="20"/>
      <c r="BC100" s="20"/>
      <c r="BD100" s="126"/>
      <c r="BE100" s="111"/>
      <c r="BF100" s="42" t="str">
        <f>IFERROR(VLOOKUP("2P02-11-00-01",pareto,18,FALSE),"-")</f>
        <v>-</v>
      </c>
      <c r="BG100" s="20"/>
      <c r="BH100" s="20"/>
      <c r="BI100" s="20"/>
      <c r="BJ100" s="50" t="e">
        <f>VLOOKUP("2P02-12-00-01",pareto,18,FALSE)</f>
        <v>#N/A</v>
      </c>
      <c r="BK100" s="42" t="str">
        <f>IFERROR(VLOOKUP("2P03-11-00-01",pareto,18,FALSE),"-")</f>
        <v>-</v>
      </c>
      <c r="BL100" s="20"/>
      <c r="BM100" s="20"/>
      <c r="BN100" s="20"/>
      <c r="BO100" s="50" t="str">
        <f>IFERROR(VLOOKUP("2P03-12-00-01",pareto,18,FALSE),"-")</f>
        <v>-</v>
      </c>
      <c r="BP100" s="42" t="str">
        <f>IFERROR(VLOOKUP("2P04-11-00-01",pareto,18,FALSE),"-")</f>
        <v>-</v>
      </c>
      <c r="BQ100" s="20"/>
      <c r="BR100" s="20"/>
      <c r="BS100" s="20"/>
      <c r="BT100" s="52" t="str">
        <f>IFERROR(VLOOKUP("2P04-12-00-01",pareto,18,FALSE),"-")</f>
        <v>-</v>
      </c>
      <c r="BU100" s="42" t="str">
        <f>IFERROR(VLOOKUP("2P05-11-00-01",pareto,18,FALSE),"-")</f>
        <v>-</v>
      </c>
      <c r="BV100" s="20"/>
      <c r="BW100" s="20"/>
      <c r="BX100" s="20"/>
      <c r="BY100" s="52" t="str">
        <f>IFERROR(VLOOKUP("2P05-12-00-01",pareto,18,FALSE),"-")</f>
        <v>-</v>
      </c>
      <c r="BZ100" s="42" t="str">
        <f>IFERROR(VLOOKUP("2P06-11-00-01",pareto,18,FALSE),"-")</f>
        <v>-</v>
      </c>
      <c r="CA100" s="20"/>
      <c r="CB100" s="20"/>
      <c r="CC100" s="20"/>
      <c r="CD100" s="52" t="str">
        <f>IFERROR(VLOOKUP("2P06-12-00-01",pareto,18,FALSE),"-")</f>
        <v>-</v>
      </c>
      <c r="CE100" s="42" t="str">
        <f>IFERROR(VLOOKUP("2P07-11-00-01",pareto,18,FALSE),"-")</f>
        <v>-</v>
      </c>
      <c r="CF100" s="20"/>
      <c r="CG100" s="20"/>
      <c r="CH100" s="20"/>
      <c r="CI100" s="52" t="str">
        <f>IFERROR(VLOOKUP("2P07-12-01-01",pareto,18,FALSE),"-")</f>
        <v>-</v>
      </c>
      <c r="CJ100" s="42" t="str">
        <f>IFERROR(VLOOKUP("2P08-11-01-01",pareto,18,FALSE),"-")</f>
        <v>-</v>
      </c>
      <c r="CK100" s="20"/>
      <c r="CL100" s="20"/>
      <c r="CM100" s="20"/>
      <c r="CN100" s="52" t="str">
        <f>IFERROR(VLOOKUP("2P08-12-01-01",pareto,18,FALSE),"-")</f>
        <v>-</v>
      </c>
      <c r="CO100" s="42" t="str">
        <f>IFERROR(VLOOKUP("2P09-11-01-01",pareto,18,FALSE),"-")</f>
        <v>-</v>
      </c>
      <c r="CP100" s="20"/>
      <c r="CQ100" s="20"/>
      <c r="CR100" s="20"/>
      <c r="CS100" s="52" t="str">
        <f>IFERROR(VLOOKUP("2P09-10-00-01",pareto,18,FALSE),"-")</f>
        <v>-</v>
      </c>
      <c r="CT100" s="92"/>
      <c r="CU100" s="77"/>
      <c r="CV100" s="77"/>
      <c r="CW100" s="77"/>
      <c r="CX100" s="77"/>
      <c r="CY100" s="77"/>
      <c r="CZ100" s="77"/>
      <c r="DA100" s="77"/>
      <c r="DB100" s="77"/>
      <c r="DC100" s="77"/>
      <c r="DD100" s="77"/>
      <c r="DE100" s="77"/>
      <c r="DF100" s="77"/>
      <c r="DG100" s="77"/>
      <c r="DH100" s="77"/>
      <c r="DI100" s="77"/>
      <c r="DJ100" s="77"/>
      <c r="DK100" s="77"/>
      <c r="DL100" s="77"/>
      <c r="DM100" s="77"/>
      <c r="DN100" s="77"/>
      <c r="DO100" s="77"/>
      <c r="DP100" s="77"/>
      <c r="DQ100" s="77"/>
      <c r="DR100" s="77"/>
      <c r="DS100" s="77"/>
      <c r="DT100" s="77"/>
      <c r="DU100" s="77"/>
      <c r="DV100" s="77"/>
      <c r="DW100" s="77"/>
      <c r="DX100" s="77"/>
      <c r="DY100" s="77"/>
      <c r="DZ100" s="77"/>
      <c r="EA100" s="77"/>
      <c r="EB100" s="77"/>
      <c r="EC100" s="77"/>
      <c r="ED100" s="77"/>
      <c r="EE100" s="77"/>
      <c r="EF100" s="77"/>
      <c r="EG100" s="77"/>
      <c r="EH100" s="77"/>
      <c r="EI100" s="77"/>
      <c r="EJ100" s="77"/>
      <c r="EK100" s="77"/>
      <c r="EL100" s="77"/>
      <c r="EM100" s="77"/>
      <c r="EN100" s="77"/>
      <c r="EO100" s="125"/>
      <c r="EP100" s="42" t="str">
        <f>IFERROR(VLOOKUP("4P01-11-00-01",pareto,18,FALSE),"-")</f>
        <v>-</v>
      </c>
      <c r="EQ100" s="20"/>
      <c r="ER100" s="20"/>
      <c r="ES100" s="20"/>
      <c r="ET100" s="52" t="str">
        <f>IFERROR(VLOOKUP("4P01-12-00-01",pareto,18,FALSE),"-")</f>
        <v>-</v>
      </c>
      <c r="EU100" s="42" t="str">
        <f>IFERROR(VLOOKUP("4P02-11-00-01",pareto,18,FALSE),"-")</f>
        <v>-</v>
      </c>
      <c r="EV100" s="20"/>
      <c r="EW100" s="20"/>
      <c r="EX100" s="20"/>
      <c r="EY100" s="52" t="str">
        <f>IFERROR(VLOOKUP("4P02-12-00-01",pareto,18,FALSE),"-")</f>
        <v>-</v>
      </c>
      <c r="EZ100" s="42" t="str">
        <f>IFERROR(VLOOKUP("4P03-11-00-01",pareto,18,FALSE),"-")</f>
        <v>-</v>
      </c>
      <c r="FA100" s="20"/>
      <c r="FB100" s="20"/>
      <c r="FC100" s="20"/>
      <c r="FD100" s="52" t="str">
        <f>IFERROR(VLOOKUP("4P03-12-00-01",pareto,18,FALSE),"-")</f>
        <v>-</v>
      </c>
      <c r="FE100" s="42" t="str">
        <f>IFERROR(VLOOKUP("4P04-11-00-01",pareto,18,FALSE),"-")</f>
        <v>-</v>
      </c>
      <c r="FF100" s="20"/>
      <c r="FG100" s="20"/>
      <c r="FH100" s="20"/>
      <c r="FI100" s="52" t="str">
        <f>IFERROR(VLOOKUP("4P04-12-00-01",pareto,18,FALSE),"-")</f>
        <v>-</v>
      </c>
      <c r="FJ100" s="42" t="str">
        <f>IFERROR(VLOOKUP("4P05-11-00-01",pareto,18,FALSE),"-")</f>
        <v>-</v>
      </c>
      <c r="FK100" s="20"/>
      <c r="FL100" s="20"/>
      <c r="FM100" s="20"/>
      <c r="FN100" s="52" t="str">
        <f>IFERROR(VLOOKUP("4P05-12-00-01",pareto,18,FALSE),"-")</f>
        <v>-</v>
      </c>
      <c r="FO100" s="42" t="str">
        <f>IFERROR(VLOOKUP("4P06-11-00-01",pareto,18,FALSE),"-")</f>
        <v>-</v>
      </c>
      <c r="FP100" s="20"/>
      <c r="FQ100" s="20"/>
      <c r="FR100" s="20"/>
      <c r="FS100" s="52" t="str">
        <f>IFERROR(VLOOKUP("4P06-12-00-01",pareto,18,FALSE),"-")</f>
        <v>-</v>
      </c>
      <c r="FT100" s="42" t="str">
        <f>IFERROR(VLOOKUP("4P07-11-00-01",pareto,18,FALSE),"-")</f>
        <v>-</v>
      </c>
      <c r="FU100" s="20"/>
      <c r="FV100" s="20"/>
      <c r="FW100" s="20"/>
      <c r="FX100" s="52" t="str">
        <f>IFERROR(VLOOKUP("4P07-12-00-01",pareto,18,FALSE),"-")</f>
        <v>-</v>
      </c>
      <c r="FY100" s="42" t="str">
        <f>IFERROR(VLOOKUP("4P08-11-00-01",pareto,18,FALSE),"-")</f>
        <v>-</v>
      </c>
      <c r="FZ100" s="20"/>
      <c r="GA100" s="20"/>
      <c r="GB100" s="20"/>
      <c r="GC100" s="52" t="str">
        <f>IFERROR(VLOOKUP("4P08-12-00-01",pareto,18,FALSE),"-")</f>
        <v>-</v>
      </c>
      <c r="GD100" s="42" t="str">
        <f>IFERROR(VLOOKUP("4P09-11-00-01",pareto,18,FALSE),"-")</f>
        <v>-</v>
      </c>
      <c r="GE100" s="20"/>
      <c r="GF100" s="20"/>
      <c r="GG100" s="20"/>
      <c r="GH100" s="52" t="str">
        <f>IFERROR(VLOOKUP("4P09-12-00-01",pareto,18,FALSE),"-")</f>
        <v>-</v>
      </c>
    </row>
    <row r="101" spans="3:190" ht="12" customHeight="1" thickTop="1" thickBot="1" x14ac:dyDescent="0.3">
      <c r="C101" s="270"/>
      <c r="D101" s="270"/>
      <c r="E101" s="270"/>
      <c r="F101" s="270"/>
      <c r="G101" s="270"/>
      <c r="H101" s="270"/>
      <c r="I101" s="270"/>
      <c r="J101" s="270"/>
      <c r="K101" s="270"/>
      <c r="L101" s="270"/>
      <c r="M101" s="270"/>
      <c r="N101" s="270"/>
      <c r="O101" s="270"/>
      <c r="P101" s="270"/>
      <c r="Q101" s="270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34"/>
      <c r="AX101" s="9"/>
      <c r="AY101" s="9"/>
      <c r="AZ101" s="38"/>
      <c r="BA101" s="103"/>
      <c r="BB101" s="20"/>
      <c r="BC101" s="20"/>
      <c r="BD101" s="126"/>
      <c r="BE101" s="109"/>
      <c r="BF101" s="40" t="str">
        <f>IFERROR(VLOOKUP("2P02-09-00-03",pareto,18,FALSE),"-")</f>
        <v>-</v>
      </c>
      <c r="BG101" s="20"/>
      <c r="BH101" s="20"/>
      <c r="BI101" s="20"/>
      <c r="BJ101" s="48" t="e">
        <f>VLOOKUP("2P02-10-00-03",pareto,18,FALSE)</f>
        <v>#N/A</v>
      </c>
      <c r="BK101" s="40" t="str">
        <f>IFERROR(VLOOKUP("2P03-09-00-03",pareto,18,FALSE),"-")</f>
        <v>-</v>
      </c>
      <c r="BL101" s="20"/>
      <c r="BM101" s="20"/>
      <c r="BN101" s="20"/>
      <c r="BO101" s="51" t="str">
        <f>IFERROR(VLOOKUP("2P03-10-00-03",pareto,18,FALSE),"-")</f>
        <v>-</v>
      </c>
      <c r="BP101" s="40" t="str">
        <f>IFERROR(VLOOKUP("2P04-09-00-03",pareto,18,FALSE),"-")</f>
        <v>-</v>
      </c>
      <c r="BQ101" s="20"/>
      <c r="BR101" s="20"/>
      <c r="BS101" s="20"/>
      <c r="BT101" s="58" t="str">
        <f>IFERROR(VLOOKUP("2P04-10-00-03",pareto,18,FALSE),"-")</f>
        <v>-</v>
      </c>
      <c r="BU101" s="40" t="str">
        <f>IFERROR(VLOOKUP("2P05-09-00-03",pareto,18,FALSE),"-")</f>
        <v>-</v>
      </c>
      <c r="BV101" s="20"/>
      <c r="BW101" s="20"/>
      <c r="BX101" s="20"/>
      <c r="BY101" s="58" t="str">
        <f>IFERROR(VLOOKUP("2P05-10-00-03",pareto,18,FALSE),"-")</f>
        <v>-</v>
      </c>
      <c r="BZ101" s="40" t="str">
        <f>IFERROR(VLOOKUP("2P06-09-00-03",pareto,18,FALSE),"-")</f>
        <v>-</v>
      </c>
      <c r="CA101" s="20"/>
      <c r="CB101" s="20"/>
      <c r="CC101" s="20"/>
      <c r="CD101" s="58" t="str">
        <f>IFERROR(VLOOKUP("2P06-10-00-03",pareto,18,FALSE),"-")</f>
        <v>-</v>
      </c>
      <c r="CE101" s="40" t="str">
        <f>IFERROR(VLOOKUP("2P07-09-00-03",pareto,18,FALSE),"-")</f>
        <v>-</v>
      </c>
      <c r="CF101" s="20"/>
      <c r="CG101" s="20"/>
      <c r="CH101" s="20"/>
      <c r="CI101" s="58" t="str">
        <f>IFERROR(VLOOKUP("2P07-10-00-03",pareto,18,FALSE),"-")</f>
        <v>-</v>
      </c>
      <c r="CJ101" s="40" t="str">
        <f>IFERROR(VLOOKUP("2P08-09-00-03",pareto,18,FALSE),"-")</f>
        <v>-</v>
      </c>
      <c r="CK101" s="20"/>
      <c r="CL101" s="20"/>
      <c r="CM101" s="20"/>
      <c r="CN101" s="58" t="str">
        <f>IFERROR(VLOOKUP("2P08-10-01-03",pareto,18,FALSE),"-")</f>
        <v>-</v>
      </c>
      <c r="CO101" s="40" t="str">
        <f>IFERROR(VLOOKUP("2P09-09-01-03",pareto,18,FALSE),"-")</f>
        <v>-</v>
      </c>
      <c r="CP101" s="20"/>
      <c r="CQ101" s="20"/>
      <c r="CR101" s="20"/>
      <c r="CS101" s="48" t="str">
        <f>IFERROR(VLOOKUP("2P09-08-00-03",pareto,18,FALSE),"-")</f>
        <v>-</v>
      </c>
      <c r="CT101" s="92"/>
      <c r="CU101" s="77"/>
      <c r="CV101" s="77"/>
      <c r="CW101" s="77"/>
      <c r="CX101" s="77"/>
      <c r="CY101" s="77"/>
      <c r="CZ101" s="77"/>
      <c r="DA101" s="77"/>
      <c r="DB101" s="77"/>
      <c r="DC101" s="77"/>
      <c r="DD101" s="77"/>
      <c r="DE101" s="77"/>
      <c r="DF101" s="77"/>
      <c r="DG101" s="77"/>
      <c r="DH101" s="77"/>
      <c r="DI101" s="77"/>
      <c r="DJ101" s="77"/>
      <c r="DK101" s="77"/>
      <c r="DL101" s="77"/>
      <c r="DM101" s="77"/>
      <c r="DN101" s="77"/>
      <c r="DO101" s="77"/>
      <c r="DP101" s="77"/>
      <c r="DQ101" s="77"/>
      <c r="DR101" s="77"/>
      <c r="DS101" s="77"/>
      <c r="DT101" s="77"/>
      <c r="DU101" s="77"/>
      <c r="DV101" s="77"/>
      <c r="DW101" s="77"/>
      <c r="DX101" s="77"/>
      <c r="DY101" s="77"/>
      <c r="DZ101" s="77"/>
      <c r="EA101" s="77"/>
      <c r="EB101" s="77"/>
      <c r="EC101" s="77"/>
      <c r="ED101" s="77"/>
      <c r="EE101" s="77"/>
      <c r="EF101" s="77"/>
      <c r="EG101" s="77"/>
      <c r="EH101" s="77"/>
      <c r="EI101" s="77"/>
      <c r="EJ101" s="77"/>
      <c r="EK101" s="77"/>
      <c r="EL101" s="77"/>
      <c r="EM101" s="77"/>
      <c r="EN101" s="77"/>
      <c r="EO101" s="125"/>
      <c r="EP101" s="40" t="str">
        <f>IFERROR(VLOOKUP("4P01-09-00-03",pareto,18,FALSE),"-")</f>
        <v>-</v>
      </c>
      <c r="EQ101" s="20"/>
      <c r="ER101" s="20"/>
      <c r="ES101" s="20"/>
      <c r="ET101" s="58" t="str">
        <f>IFERROR(VLOOKUP("4P01-10-00-03",pareto,18,FALSE),"-")</f>
        <v>-</v>
      </c>
      <c r="EU101" s="40" t="str">
        <f>IFERROR(VLOOKUP("4P02-09-00-03",pareto,18,FALSE),"-")</f>
        <v>-</v>
      </c>
      <c r="EV101" s="20"/>
      <c r="EW101" s="20"/>
      <c r="EX101" s="20"/>
      <c r="EY101" s="58" t="str">
        <f>IFERROR(VLOOKUP("4P02-10-00-03",pareto,18,FALSE),"-")</f>
        <v>-</v>
      </c>
      <c r="EZ101" s="40" t="str">
        <f>IFERROR(VLOOKUP("4P03-09-00-03",pareto,18,FALSE),"-")</f>
        <v>-</v>
      </c>
      <c r="FA101" s="20"/>
      <c r="FB101" s="20"/>
      <c r="FC101" s="20"/>
      <c r="FD101" s="58" t="str">
        <f>IFERROR(VLOOKUP("4P03-10-00-03",pareto,18,FALSE),"-")</f>
        <v>-</v>
      </c>
      <c r="FE101" s="40" t="str">
        <f>IFERROR(VLOOKUP("4P04-09-00-03",pareto,18,FALSE),"-")</f>
        <v>-</v>
      </c>
      <c r="FF101" s="20"/>
      <c r="FG101" s="20"/>
      <c r="FH101" s="20"/>
      <c r="FI101" s="58" t="str">
        <f>IFERROR(VLOOKUP("4P04-10-00-03",pareto,18,FALSE),"-")</f>
        <v>-</v>
      </c>
      <c r="FJ101" s="40" t="str">
        <f>IFERROR(VLOOKUP("4P05-09-00-03",pareto,18,FALSE),"-")</f>
        <v>-</v>
      </c>
      <c r="FK101" s="20"/>
      <c r="FL101" s="20"/>
      <c r="FM101" s="20"/>
      <c r="FN101" s="58" t="str">
        <f>IFERROR(VLOOKUP("4P05-10-00-03",pareto,18,FALSE),"-")</f>
        <v>-</v>
      </c>
      <c r="FO101" s="40" t="str">
        <f>IFERROR(VLOOKUP("4P06-09-00-03",pareto,18,FALSE),"-")</f>
        <v>-</v>
      </c>
      <c r="FP101" s="20"/>
      <c r="FQ101" s="20"/>
      <c r="FR101" s="20"/>
      <c r="FS101" s="58" t="str">
        <f>IFERROR(VLOOKUP("4P06-10-00-03",pareto,18,FALSE),"-")</f>
        <v>-</v>
      </c>
      <c r="FT101" s="40" t="str">
        <f>IFERROR(VLOOKUP("4P07-09-00-03",pareto,18,FALSE),"-")</f>
        <v>-</v>
      </c>
      <c r="FU101" s="20"/>
      <c r="FV101" s="20"/>
      <c r="FW101" s="20"/>
      <c r="FX101" s="58" t="str">
        <f>IFERROR(VLOOKUP("4P07-10-00-03",pareto,18,FALSE),"-")</f>
        <v>-</v>
      </c>
      <c r="FY101" s="40" t="str">
        <f>IFERROR(VLOOKUP("4P08-09-00-03",pareto,18,FALSE),"-")</f>
        <v>-</v>
      </c>
      <c r="FZ101" s="20"/>
      <c r="GA101" s="20"/>
      <c r="GB101" s="20"/>
      <c r="GC101" s="58" t="str">
        <f>IFERROR(VLOOKUP("4P08-10-00-03",pareto,18,FALSE),"-")</f>
        <v>-</v>
      </c>
      <c r="GD101" s="40" t="str">
        <f>IFERROR(VLOOKUP("4P09-09-00-03",pareto,18,FALSE),"-")</f>
        <v>-</v>
      </c>
      <c r="GE101" s="20"/>
      <c r="GF101" s="20"/>
      <c r="GG101" s="20"/>
      <c r="GH101" s="58" t="str">
        <f>IFERROR(VLOOKUP("4P09-10-00-03",pareto,18,FALSE),"-")</f>
        <v>-</v>
      </c>
    </row>
    <row r="102" spans="3:190" ht="12" customHeight="1" thickTop="1" thickBot="1" x14ac:dyDescent="0.3">
      <c r="C102" s="270"/>
      <c r="D102" s="270"/>
      <c r="E102" s="270"/>
      <c r="F102" s="270"/>
      <c r="G102" s="270"/>
      <c r="H102" s="270"/>
      <c r="I102" s="270"/>
      <c r="J102" s="270"/>
      <c r="K102" s="270"/>
      <c r="L102" s="270"/>
      <c r="M102" s="270"/>
      <c r="N102" s="270"/>
      <c r="O102" s="270"/>
      <c r="P102" s="270"/>
      <c r="Q102" s="270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32"/>
      <c r="AX102" s="9"/>
      <c r="AY102" s="9"/>
      <c r="AZ102" s="36"/>
      <c r="BA102" s="105"/>
      <c r="BB102" s="20"/>
      <c r="BC102" s="20"/>
      <c r="BD102" s="20"/>
      <c r="BE102" s="110"/>
      <c r="BF102" s="43" t="str">
        <f>IFERROR(VLOOKUP("2P02-09-00-02",pareto,18,FALSE),"-")</f>
        <v>-</v>
      </c>
      <c r="BG102" s="20"/>
      <c r="BH102" s="20"/>
      <c r="BI102" s="20"/>
      <c r="BJ102" s="49" t="e">
        <f>VLOOKUP("2P02-10-00-02",pareto,18,FALSE)</f>
        <v>#N/A</v>
      </c>
      <c r="BK102" s="43" t="str">
        <f>IFERROR(VLOOKUP("2P03-09-00-02",pareto,18,FALSE),"-")</f>
        <v>-</v>
      </c>
      <c r="BL102" s="20"/>
      <c r="BM102" s="20"/>
      <c r="BN102" s="20"/>
      <c r="BO102" s="118"/>
      <c r="BP102" s="43" t="str">
        <f>IFERROR(VLOOKUP("2P04-09-00-02",pareto,18,FALSE),"-")</f>
        <v>-</v>
      </c>
      <c r="BQ102" s="20"/>
      <c r="BR102" s="20"/>
      <c r="BS102" s="20"/>
      <c r="BT102" s="49" t="str">
        <f>IFERROR(VLOOKUP("2P04-10-00-02",pareto,18,FALSE),"-")</f>
        <v>-</v>
      </c>
      <c r="BU102" s="43" t="str">
        <f>IFERROR(VLOOKUP("2P05-09-00-02",pareto,18,FALSE),"-")</f>
        <v>-</v>
      </c>
      <c r="BV102" s="20"/>
      <c r="BW102" s="20"/>
      <c r="BX102" s="20"/>
      <c r="BY102" s="49" t="str">
        <f>IFERROR(VLOOKUP("2P05-10-00-02",pareto,18,FALSE),"-")</f>
        <v>-</v>
      </c>
      <c r="BZ102" s="43" t="str">
        <f>IFERROR(VLOOKUP("2P06-09-00-02",pareto,18,FALSE),"-")</f>
        <v>-</v>
      </c>
      <c r="CA102" s="20"/>
      <c r="CB102" s="20"/>
      <c r="CC102" s="20"/>
      <c r="CD102" s="49" t="str">
        <f>IFERROR(VLOOKUP("2P06-10-00-02",pareto,18,FALSE),"-")</f>
        <v>-</v>
      </c>
      <c r="CE102" s="67"/>
      <c r="CF102" s="20"/>
      <c r="CG102" s="20"/>
      <c r="CH102" s="20"/>
      <c r="CI102" s="49" t="str">
        <f>IFERROR(VLOOKUP("2P07-10-00-02",pareto,18,FALSE),"-")</f>
        <v>-</v>
      </c>
      <c r="CJ102" s="43" t="str">
        <f>IFERROR(VLOOKUP("2P08-09-00-02",pareto,18,FALSE),"-")</f>
        <v>-</v>
      </c>
      <c r="CK102" s="20"/>
      <c r="CL102" s="20"/>
      <c r="CM102" s="20"/>
      <c r="CN102" s="49" t="str">
        <f>IFERROR(VLOOKUP("2P08-10-01-02",pareto,18,FALSE),"-")</f>
        <v>-</v>
      </c>
      <c r="CO102" s="40" t="str">
        <f>IFERROR(VLOOKUP("2P09-09-01-02",pareto,18,FALSE),"-")</f>
        <v>-</v>
      </c>
      <c r="CP102" s="20"/>
      <c r="CQ102" s="20"/>
      <c r="CR102" s="20"/>
      <c r="CS102" s="49" t="str">
        <f>IFERROR(VLOOKUP("2P09-08-00-02",pareto,18,FALSE),"-")</f>
        <v>-</v>
      </c>
      <c r="CT102" s="92"/>
      <c r="CU102" s="77"/>
      <c r="CV102" s="77"/>
      <c r="CW102" s="77"/>
      <c r="CX102" s="77"/>
      <c r="CY102" s="77"/>
      <c r="CZ102" s="77"/>
      <c r="DA102" s="77"/>
      <c r="DB102" s="77"/>
      <c r="DC102" s="77"/>
      <c r="DD102" s="77"/>
      <c r="DE102" s="77"/>
      <c r="DF102" s="77"/>
      <c r="DG102" s="77"/>
      <c r="DH102" s="77"/>
      <c r="DI102" s="77"/>
      <c r="DJ102" s="77"/>
      <c r="DK102" s="77"/>
      <c r="DL102" s="77"/>
      <c r="DM102" s="77"/>
      <c r="DN102" s="77"/>
      <c r="DO102" s="77"/>
      <c r="DP102" s="77"/>
      <c r="DQ102" s="77"/>
      <c r="DR102" s="77"/>
      <c r="DS102" s="77"/>
      <c r="DT102" s="77"/>
      <c r="DU102" s="77"/>
      <c r="DV102" s="77"/>
      <c r="DW102" s="77"/>
      <c r="DX102" s="77"/>
      <c r="DY102" s="77"/>
      <c r="DZ102" s="77"/>
      <c r="EA102" s="77"/>
      <c r="EB102" s="77"/>
      <c r="EC102" s="77"/>
      <c r="ED102" s="77"/>
      <c r="EE102" s="77"/>
      <c r="EF102" s="77"/>
      <c r="EG102" s="77"/>
      <c r="EH102" s="77"/>
      <c r="EI102" s="77"/>
      <c r="EJ102" s="77"/>
      <c r="EK102" s="77"/>
      <c r="EL102" s="77"/>
      <c r="EM102" s="77"/>
      <c r="EN102" s="77"/>
      <c r="EO102" s="125"/>
      <c r="EP102" s="43" t="str">
        <f>IFERROR(VLOOKUP("4P01-09-00-02",pareto,18,FALSE),"-")</f>
        <v>-</v>
      </c>
      <c r="EQ102" s="20"/>
      <c r="ER102" s="20"/>
      <c r="ES102" s="20"/>
      <c r="ET102" s="49" t="str">
        <f>IFERROR(VLOOKUP("4P01-10-00-02",pareto,18,FALSE),"-")</f>
        <v>-</v>
      </c>
      <c r="EU102" s="43" t="str">
        <f>IFERROR(VLOOKUP("4P02-09-00-02",pareto,18,FALSE),"-")</f>
        <v>-</v>
      </c>
      <c r="EV102" s="20"/>
      <c r="EW102" s="20"/>
      <c r="EX102" s="20"/>
      <c r="EY102" s="49" t="str">
        <f>IFERROR(VLOOKUP("4P02-10-00-02",pareto,18,FALSE),"-")</f>
        <v>-</v>
      </c>
      <c r="EZ102" s="43" t="str">
        <f>IFERROR(VLOOKUP("4P03-09-00-02",pareto,18,FALSE),"-")</f>
        <v>-</v>
      </c>
      <c r="FA102" s="20"/>
      <c r="FB102" s="20"/>
      <c r="FC102" s="20"/>
      <c r="FD102" s="75"/>
      <c r="FE102" s="43" t="str">
        <f>IFERROR(VLOOKUP("4P04-09-00-02",pareto,18,FALSE),"-")</f>
        <v>-</v>
      </c>
      <c r="FF102" s="20"/>
      <c r="FG102" s="20"/>
      <c r="FH102" s="20"/>
      <c r="FI102" s="49" t="str">
        <f>IFERROR(VLOOKUP("4P04-10-00-02",pareto,18,FALSE),"-")</f>
        <v>-</v>
      </c>
      <c r="FJ102" s="43" t="str">
        <f>IFERROR(VLOOKUP("4P05-09-00-02",pareto,18,FALSE),"-")</f>
        <v>-</v>
      </c>
      <c r="FK102" s="20"/>
      <c r="FL102" s="20"/>
      <c r="FM102" s="20"/>
      <c r="FN102" s="49" t="str">
        <f>IFERROR(VLOOKUP("4P05-10-00-02",pareto,18,FALSE),"-")</f>
        <v>-</v>
      </c>
      <c r="FO102" s="43" t="str">
        <f>IFERROR(VLOOKUP("4P06-09-00-02",pareto,18,FALSE),"-")</f>
        <v>-</v>
      </c>
      <c r="FP102" s="20"/>
      <c r="FQ102" s="20"/>
      <c r="FR102" s="20"/>
      <c r="FS102" s="49" t="str">
        <f>IFERROR(VLOOKUP("4P06-10-00-02",pareto,18,FALSE),"-")</f>
        <v>-</v>
      </c>
      <c r="FT102" s="67"/>
      <c r="FU102" s="20"/>
      <c r="FV102" s="20"/>
      <c r="FW102" s="20"/>
      <c r="FX102" s="49" t="str">
        <f>IFERROR(VLOOKUP("4P07-10-00-02",pareto,18,FALSE),"-")</f>
        <v>-</v>
      </c>
      <c r="FY102" s="43" t="str">
        <f>IFERROR(VLOOKUP("4P08-09-00-02",pareto,18,FALSE),"-")</f>
        <v>-</v>
      </c>
      <c r="FZ102" s="20"/>
      <c r="GA102" s="20"/>
      <c r="GB102" s="20"/>
      <c r="GC102" s="49" t="str">
        <f>IFERROR(VLOOKUP("4P08-10-00-02",pareto,18,FALSE),"-")</f>
        <v>-</v>
      </c>
      <c r="GD102" s="43" t="str">
        <f>IFERROR(VLOOKUP("4P09-09-00-02",pareto,18,FALSE),"-")</f>
        <v>-</v>
      </c>
      <c r="GE102" s="20"/>
      <c r="GF102" s="20"/>
      <c r="GG102" s="20"/>
      <c r="GH102" s="49" t="str">
        <f>IFERROR(VLOOKUP("4P09-10-00-02",pareto,18,FALSE),"-")</f>
        <v>-</v>
      </c>
    </row>
    <row r="103" spans="3:190" ht="12" customHeight="1" thickTop="1" thickBot="1" x14ac:dyDescent="0.3">
      <c r="C103" s="270"/>
      <c r="D103" s="270"/>
      <c r="E103" s="270"/>
      <c r="F103" s="270"/>
      <c r="G103" s="270"/>
      <c r="H103" s="270"/>
      <c r="I103" s="270"/>
      <c r="J103" s="270"/>
      <c r="K103" s="270"/>
      <c r="L103" s="270"/>
      <c r="M103" s="270"/>
      <c r="N103" s="270"/>
      <c r="O103" s="270"/>
      <c r="P103" s="270"/>
      <c r="Q103" s="270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33"/>
      <c r="AX103" s="9"/>
      <c r="AY103" s="9"/>
      <c r="AZ103" s="37"/>
      <c r="BA103" s="107"/>
      <c r="BB103" s="20"/>
      <c r="BC103" s="20"/>
      <c r="BD103" s="20"/>
      <c r="BE103" s="111"/>
      <c r="BF103" s="42" t="str">
        <f>IFERROR(VLOOKUP("2P02-09-00-01",pareto,18,FALSE),"-")</f>
        <v>-</v>
      </c>
      <c r="BG103" s="20"/>
      <c r="BH103" s="20"/>
      <c r="BI103" s="20"/>
      <c r="BJ103" s="50" t="e">
        <f>VLOOKUP("2P02-10-00-01",pareto,18,FALSE)</f>
        <v>#N/A</v>
      </c>
      <c r="BK103" s="42" t="str">
        <f>IFERROR(VLOOKUP("2P03-09-00-01",pareto,18,FALSE),"-")</f>
        <v>-</v>
      </c>
      <c r="BL103" s="20"/>
      <c r="BM103" s="20"/>
      <c r="BN103" s="20"/>
      <c r="BO103" s="52" t="str">
        <f>IFERROR(VLOOKUP("2P03-10-00-01",pareto,18,FALSE),"-")</f>
        <v>-</v>
      </c>
      <c r="BP103" s="42" t="str">
        <f>IFERROR(VLOOKUP("2P04-09-00-01",pareto,18,FALSE),"-")</f>
        <v>-</v>
      </c>
      <c r="BQ103" s="20"/>
      <c r="BR103" s="20"/>
      <c r="BS103" s="20"/>
      <c r="BT103" s="52" t="str">
        <f>IFERROR(VLOOKUP("2P04-10-00-01",pareto,18,FALSE),"-")</f>
        <v>-</v>
      </c>
      <c r="BU103" s="42" t="str">
        <f>IFERROR(VLOOKUP("2P05-09-00-01",pareto,18,FALSE),"-")</f>
        <v>-</v>
      </c>
      <c r="BV103" s="20"/>
      <c r="BW103" s="20"/>
      <c r="BX103" s="20"/>
      <c r="BY103" s="52" t="str">
        <f>IFERROR(VLOOKUP("2P05-10-00-01",pareto,18,FALSE),"-")</f>
        <v>-</v>
      </c>
      <c r="BZ103" s="42" t="str">
        <f>IFERROR(VLOOKUP("2P06-09-00-01",pareto,18,FALSE),"-")</f>
        <v>-</v>
      </c>
      <c r="CA103" s="20"/>
      <c r="CB103" s="20"/>
      <c r="CC103" s="20"/>
      <c r="CD103" s="52" t="str">
        <f>IFERROR(VLOOKUP("2P06-10-00-01",pareto,18,FALSE),"-")</f>
        <v>-</v>
      </c>
      <c r="CE103" s="42" t="str">
        <f>IFERROR(VLOOKUP("2P07-09-00-01",pareto,18,FALSE),"-")</f>
        <v>-</v>
      </c>
      <c r="CF103" s="20"/>
      <c r="CG103" s="20"/>
      <c r="CH103" s="20"/>
      <c r="CI103" s="52" t="str">
        <f>IFERROR(VLOOKUP("2P07-10-00-01",pareto,18,FALSE),"-")</f>
        <v>-</v>
      </c>
      <c r="CJ103" s="42" t="str">
        <f>IFERROR(VLOOKUP("2P08-09-00-01",pareto,18,FALSE),"-")</f>
        <v>-</v>
      </c>
      <c r="CK103" s="20"/>
      <c r="CL103" s="20"/>
      <c r="CM103" s="20"/>
      <c r="CN103" s="52" t="str">
        <f>IFERROR(VLOOKUP("2P08-10-01-01",pareto,18,FALSE),"-")</f>
        <v>-</v>
      </c>
      <c r="CO103" s="42" t="str">
        <f>IFERROR(VLOOKUP("2P09-09-01-01",pareto,18,FALSE),"-")</f>
        <v>-</v>
      </c>
      <c r="CP103" s="20"/>
      <c r="CQ103" s="20"/>
      <c r="CR103" s="20"/>
      <c r="CS103" s="52" t="str">
        <f>IFERROR(VLOOKUP("2P09-08-00-01",pareto,18,FALSE),"-")</f>
        <v>-</v>
      </c>
      <c r="CT103" s="92"/>
      <c r="CU103" s="77"/>
      <c r="CV103" s="77"/>
      <c r="CW103" s="77"/>
      <c r="CX103" s="77"/>
      <c r="CY103" s="77"/>
      <c r="CZ103" s="77"/>
      <c r="DA103" s="77"/>
      <c r="DB103" s="77"/>
      <c r="DC103" s="77"/>
      <c r="DD103" s="77"/>
      <c r="DE103" s="77"/>
      <c r="DF103" s="77"/>
      <c r="DG103" s="77"/>
      <c r="DH103" s="77"/>
      <c r="DI103" s="77"/>
      <c r="DJ103" s="77"/>
      <c r="DK103" s="77"/>
      <c r="DL103" s="77"/>
      <c r="DM103" s="77"/>
      <c r="DN103" s="77"/>
      <c r="DO103" s="77"/>
      <c r="DP103" s="77"/>
      <c r="DQ103" s="77"/>
      <c r="DR103" s="77"/>
      <c r="DS103" s="77"/>
      <c r="DT103" s="77"/>
      <c r="DU103" s="77"/>
      <c r="DV103" s="77"/>
      <c r="DW103" s="77"/>
      <c r="DX103" s="77"/>
      <c r="DY103" s="77"/>
      <c r="DZ103" s="77"/>
      <c r="EA103" s="77"/>
      <c r="EB103" s="77"/>
      <c r="EC103" s="77"/>
      <c r="ED103" s="77"/>
      <c r="EE103" s="77"/>
      <c r="EF103" s="77"/>
      <c r="EG103" s="77"/>
      <c r="EH103" s="77"/>
      <c r="EI103" s="77"/>
      <c r="EJ103" s="77"/>
      <c r="EK103" s="77"/>
      <c r="EL103" s="77"/>
      <c r="EM103" s="77"/>
      <c r="EN103" s="77"/>
      <c r="EO103" s="125"/>
      <c r="EP103" s="42" t="str">
        <f>IFERROR(VLOOKUP("4P01-09-00-01",pareto,18,FALSE),"-")</f>
        <v>-</v>
      </c>
      <c r="EQ103" s="20"/>
      <c r="ER103" s="20"/>
      <c r="ES103" s="20"/>
      <c r="ET103" s="52" t="str">
        <f>IFERROR(VLOOKUP("4P01-10-00-01",pareto,18,FALSE),"-")</f>
        <v>-</v>
      </c>
      <c r="EU103" s="42" t="str">
        <f>IFERROR(VLOOKUP("4P02-09-00-01",pareto,18,FALSE),"-")</f>
        <v>-</v>
      </c>
      <c r="EV103" s="20"/>
      <c r="EW103" s="20"/>
      <c r="EX103" s="20"/>
      <c r="EY103" s="52" t="str">
        <f>IFERROR(VLOOKUP("4P02-10-00-01",pareto,18,FALSE),"-")</f>
        <v>-</v>
      </c>
      <c r="EZ103" s="42" t="str">
        <f>IFERROR(VLOOKUP("4P03-09-00-01",pareto,18,FALSE),"-")</f>
        <v>-</v>
      </c>
      <c r="FA103" s="20"/>
      <c r="FB103" s="20"/>
      <c r="FC103" s="20"/>
      <c r="FD103" s="52" t="str">
        <f>IFERROR(VLOOKUP("4P03-10-00-01",pareto,18,FALSE),"-")</f>
        <v>-</v>
      </c>
      <c r="FE103" s="42" t="str">
        <f>IFERROR(VLOOKUP("4P04-09-00-01",pareto,18,FALSE),"-")</f>
        <v>-</v>
      </c>
      <c r="FF103" s="20"/>
      <c r="FG103" s="20"/>
      <c r="FH103" s="20"/>
      <c r="FI103" s="52" t="str">
        <f>IFERROR(VLOOKUP("4P02-10-00-01",pareto,18,FALSE),"-")</f>
        <v>-</v>
      </c>
      <c r="FJ103" s="42" t="str">
        <f>IFERROR(VLOOKUP("4P05-09-00-01",pareto,18,FALSE),"-")</f>
        <v>-</v>
      </c>
      <c r="FK103" s="20"/>
      <c r="FL103" s="20"/>
      <c r="FM103" s="20"/>
      <c r="FN103" s="52" t="str">
        <f>IFERROR(VLOOKUP("4P05-10-00-01",pareto,18,FALSE),"-")</f>
        <v>-</v>
      </c>
      <c r="FO103" s="42" t="str">
        <f>IFERROR(VLOOKUP("4P06-09-00-01",pareto,18,FALSE),"-")</f>
        <v>-</v>
      </c>
      <c r="FP103" s="20"/>
      <c r="FQ103" s="20"/>
      <c r="FR103" s="20"/>
      <c r="FS103" s="52" t="str">
        <f>IFERROR(VLOOKUP("4P06-10-00-01",pareto,18,FALSE),"-")</f>
        <v>-</v>
      </c>
      <c r="FT103" s="42" t="str">
        <f>IFERROR(VLOOKUP("4P07-09-00-01",pareto,18,FALSE),"-")</f>
        <v>-</v>
      </c>
      <c r="FU103" s="20"/>
      <c r="FV103" s="20"/>
      <c r="FW103" s="20"/>
      <c r="FX103" s="52" t="str">
        <f>IFERROR(VLOOKUP("4P07-10-00-01",pareto,18,FALSE),"-")</f>
        <v>-</v>
      </c>
      <c r="FY103" s="42" t="str">
        <f>IFERROR(VLOOKUP("4P08-09-00-01",pareto,18,FALSE),"-")</f>
        <v>-</v>
      </c>
      <c r="FZ103" s="20"/>
      <c r="GA103" s="20"/>
      <c r="GB103" s="20"/>
      <c r="GC103" s="52" t="str">
        <f>IFERROR(VLOOKUP("4P08-10-00-01",pareto,18,FALSE),"-")</f>
        <v>-</v>
      </c>
      <c r="GD103" s="42" t="str">
        <f>IFERROR(VLOOKUP("4P09-09-00-01",pareto,18,FALSE),"-")</f>
        <v>-</v>
      </c>
      <c r="GE103" s="20"/>
      <c r="GF103" s="20"/>
      <c r="GG103" s="20"/>
      <c r="GH103" s="52" t="str">
        <f>IFERROR(VLOOKUP("4P09-10-00-01",pareto,18,FALSE),"-")</f>
        <v>-</v>
      </c>
    </row>
    <row r="104" spans="3:190" ht="12" customHeight="1" thickTop="1" thickBot="1" x14ac:dyDescent="0.3">
      <c r="C104" s="270"/>
      <c r="D104" s="270"/>
      <c r="E104" s="270"/>
      <c r="F104" s="270"/>
      <c r="G104" s="270"/>
      <c r="H104" s="270"/>
      <c r="I104" s="270"/>
      <c r="J104" s="270"/>
      <c r="K104" s="270"/>
      <c r="L104" s="270"/>
      <c r="M104" s="270"/>
      <c r="N104" s="270"/>
      <c r="O104" s="270"/>
      <c r="P104" s="270"/>
      <c r="Q104" s="270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34"/>
      <c r="AX104" s="9"/>
      <c r="AY104" s="9"/>
      <c r="AZ104" s="38"/>
      <c r="BA104" s="103"/>
      <c r="BB104" s="20"/>
      <c r="BC104" s="20"/>
      <c r="BD104" s="20"/>
      <c r="BE104" s="109"/>
      <c r="BF104" s="40" t="str">
        <f>IFERROR(VLOOKUP("2P02-07-00-03",pareto,18,FALSE),"-")</f>
        <v>-</v>
      </c>
      <c r="BG104" s="20"/>
      <c r="BH104" s="20"/>
      <c r="BI104" s="20"/>
      <c r="BJ104" s="51" t="str">
        <f>IFERROR(VLOOKUP("2P02-08-00-03",pareto,18,FALSE),"-")</f>
        <v>-</v>
      </c>
      <c r="BK104" s="40" t="str">
        <f>IFERROR(VLOOKUP("2P03-07-00-03",pareto,18,FALSE),"-")</f>
        <v>-</v>
      </c>
      <c r="BL104" s="20"/>
      <c r="BM104" s="20"/>
      <c r="BN104" s="20"/>
      <c r="BO104" s="48" t="str">
        <f>IFERROR(VLOOKUP("2P03-08-00-03",pareto,18,FALSE),"-")</f>
        <v>-</v>
      </c>
      <c r="BP104" s="40" t="str">
        <f>IFERROR(VLOOKUP("2P04-07-00-03",pareto,18,FALSE),"-")</f>
        <v>-</v>
      </c>
      <c r="BQ104" s="20"/>
      <c r="BR104" s="20"/>
      <c r="BS104" s="20"/>
      <c r="BT104" s="48" t="str">
        <f>IFERROR(VLOOKUP("2P04-08-00-03",pareto,18,FALSE),"-")</f>
        <v>-</v>
      </c>
      <c r="BU104" s="40" t="str">
        <f>IFERROR(VLOOKUP("2P05-07-00-03",pareto,18,FALSE),"-")</f>
        <v>-</v>
      </c>
      <c r="BV104" s="20"/>
      <c r="BW104" s="20"/>
      <c r="BX104" s="20"/>
      <c r="BY104" s="48" t="str">
        <f>IFERROR(VLOOKUP("2P05-08-00-03",pareto,18,FALSE),"-")</f>
        <v>-</v>
      </c>
      <c r="BZ104" s="40" t="str">
        <f>IFERROR(VLOOKUP("2P06-07-00-03",pareto,18,FALSE),"-")</f>
        <v>-</v>
      </c>
      <c r="CA104" s="20"/>
      <c r="CB104" s="20"/>
      <c r="CC104" s="20"/>
      <c r="CD104" s="48" t="str">
        <f>IFERROR(VLOOKUP("2P06-08-00-03",pareto,18,FALSE),"-")</f>
        <v>-</v>
      </c>
      <c r="CE104" s="40" t="str">
        <f>IFERROR(VLOOKUP("2P07-07-00-03",pareto,18,FALSE),"-")</f>
        <v>-</v>
      </c>
      <c r="CF104" s="20"/>
      <c r="CG104" s="20"/>
      <c r="CH104" s="20"/>
      <c r="CI104" s="48" t="str">
        <f>IFERROR(VLOOKUP("2P07-08-00-03",pareto,18,FALSE),"-")</f>
        <v>-</v>
      </c>
      <c r="CJ104" s="40" t="str">
        <f>IFERROR(VLOOKUP("2P08-07-00-03",pareto,18,FALSE),"-")</f>
        <v>-</v>
      </c>
      <c r="CK104" s="20"/>
      <c r="CL104" s="20"/>
      <c r="CM104" s="20"/>
      <c r="CN104" s="48" t="str">
        <f>IFERROR(VLOOKUP("2P08-08-01-03",pareto,18,FALSE),"-")</f>
        <v>-</v>
      </c>
      <c r="CO104" s="40" t="str">
        <f>IFERROR(VLOOKUP("2P09-07-01-03",pareto,18,FALSE),"-")</f>
        <v>-</v>
      </c>
      <c r="CP104" s="20"/>
      <c r="CQ104" s="20"/>
      <c r="CR104" s="20"/>
      <c r="CS104" s="58" t="str">
        <f>IFERROR(VLOOKUP("2P09-06-00-03",pareto,18,FALSE),"-")</f>
        <v>-</v>
      </c>
      <c r="CT104" s="92"/>
      <c r="CU104" s="77"/>
      <c r="CV104" s="77"/>
      <c r="CW104" s="77"/>
      <c r="CX104" s="77"/>
      <c r="CY104" s="77"/>
      <c r="CZ104" s="77"/>
      <c r="DA104" s="77"/>
      <c r="DB104" s="77"/>
      <c r="DC104" s="77"/>
      <c r="DD104" s="77"/>
      <c r="DE104" s="77"/>
      <c r="DF104" s="77"/>
      <c r="DG104" s="77"/>
      <c r="DH104" s="77"/>
      <c r="DI104" s="77"/>
      <c r="DJ104" s="77"/>
      <c r="DK104" s="77"/>
      <c r="DL104" s="77"/>
      <c r="DM104" s="77"/>
      <c r="DN104" s="77"/>
      <c r="DO104" s="77"/>
      <c r="DP104" s="77"/>
      <c r="DQ104" s="77"/>
      <c r="DR104" s="77"/>
      <c r="DS104" s="77"/>
      <c r="DT104" s="77"/>
      <c r="DU104" s="77"/>
      <c r="DV104" s="77"/>
      <c r="DW104" s="77"/>
      <c r="DX104" s="77"/>
      <c r="DY104" s="77"/>
      <c r="DZ104" s="77"/>
      <c r="EA104" s="77"/>
      <c r="EB104" s="77"/>
      <c r="EC104" s="77"/>
      <c r="ED104" s="77"/>
      <c r="EE104" s="77"/>
      <c r="EF104" s="77"/>
      <c r="EG104" s="77"/>
      <c r="EH104" s="77"/>
      <c r="EI104" s="77"/>
      <c r="EJ104" s="77"/>
      <c r="EK104" s="77"/>
      <c r="EL104" s="77"/>
      <c r="EM104" s="77"/>
      <c r="EN104" s="77"/>
      <c r="EO104" s="125"/>
      <c r="EP104" s="40" t="str">
        <f>IFERROR(VLOOKUP("4P01-07-00-03",pareto,18,FALSE),"-")</f>
        <v>-</v>
      </c>
      <c r="EQ104" s="20"/>
      <c r="ER104" s="20"/>
      <c r="ES104" s="20"/>
      <c r="ET104" s="48" t="str">
        <f>IFERROR(VLOOKUP("4P01-08-00-03",pareto,18,FALSE),"-")</f>
        <v>-</v>
      </c>
      <c r="EU104" s="40" t="str">
        <f>IFERROR(VLOOKUP("4P02-07-00-03",pareto,18,FALSE),"-")</f>
        <v>-</v>
      </c>
      <c r="EV104" s="20"/>
      <c r="EW104" s="20"/>
      <c r="EX104" s="20"/>
      <c r="EY104" s="48" t="str">
        <f>IFERROR(VLOOKUP("4P02-08-00-03",pareto,18,FALSE),"-")</f>
        <v>-</v>
      </c>
      <c r="EZ104" s="40" t="str">
        <f>IFERROR(VLOOKUP("4P03-07-00-03",pareto,18,FALSE),"-")</f>
        <v>-</v>
      </c>
      <c r="FA104" s="20"/>
      <c r="FB104" s="20"/>
      <c r="FC104" s="20"/>
      <c r="FD104" s="48" t="str">
        <f>IFERROR(VLOOKUP("4P03-08-00-03",pareto,18,FALSE),"-")</f>
        <v>-</v>
      </c>
      <c r="FE104" s="40" t="str">
        <f>IFERROR(VLOOKUP("4P04-07-00-03",pareto,18,FALSE),"-")</f>
        <v>-</v>
      </c>
      <c r="FF104" s="20"/>
      <c r="FG104" s="20"/>
      <c r="FH104" s="20"/>
      <c r="FI104" s="48" t="str">
        <f>IFERROR(VLOOKUP("4P04-08-00-03",pareto,18,FALSE),"-")</f>
        <v>-</v>
      </c>
      <c r="FJ104" s="40" t="str">
        <f>IFERROR(VLOOKUP("4P05-07-00-03",pareto,18,FALSE),"-")</f>
        <v>-</v>
      </c>
      <c r="FK104" s="20"/>
      <c r="FL104" s="20"/>
      <c r="FM104" s="20"/>
      <c r="FN104" s="48" t="str">
        <f>IFERROR(VLOOKUP("4P05-08-00-03",pareto,18,FALSE),"-")</f>
        <v>-</v>
      </c>
      <c r="FO104" s="40" t="str">
        <f>IFERROR(VLOOKUP("4P06-07-00-03",pareto,18,FALSE),"-")</f>
        <v>-</v>
      </c>
      <c r="FP104" s="20"/>
      <c r="FQ104" s="20"/>
      <c r="FR104" s="20"/>
      <c r="FS104" s="48" t="str">
        <f>IFERROR(VLOOKUP("4P06-08-00-03",pareto,18,FALSE),"-")</f>
        <v>-</v>
      </c>
      <c r="FT104" s="40" t="str">
        <f>IFERROR(VLOOKUP("4P07-07-00-03",pareto,18,FALSE),"-")</f>
        <v>-</v>
      </c>
      <c r="FU104" s="20"/>
      <c r="FV104" s="20"/>
      <c r="FW104" s="20"/>
      <c r="FX104" s="48" t="str">
        <f>IFERROR(VLOOKUP("4P07-08-00-03",pareto,18,FALSE),"-")</f>
        <v>-</v>
      </c>
      <c r="FY104" s="40" t="str">
        <f>IFERROR(VLOOKUP("4P08-07-00-03",pareto,18,FALSE),"-")</f>
        <v>-</v>
      </c>
      <c r="FZ104" s="20"/>
      <c r="GA104" s="20"/>
      <c r="GB104" s="20"/>
      <c r="GC104" s="48" t="str">
        <f>IFERROR(VLOOKUP("4P08-08-00-03",pareto,18,FALSE),"-")</f>
        <v>-</v>
      </c>
      <c r="GD104" s="40" t="str">
        <f>IFERROR(VLOOKUP("4P09-07-00-03",pareto,18,FALSE),"-")</f>
        <v>-</v>
      </c>
      <c r="GE104" s="20"/>
      <c r="GF104" s="20"/>
      <c r="GG104" s="20"/>
      <c r="GH104" s="48" t="str">
        <f>IFERROR(VLOOKUP("4P09-08-00-03",pareto,18,FALSE),"-")</f>
        <v>-</v>
      </c>
    </row>
    <row r="105" spans="3:190" ht="12" customHeight="1" thickTop="1" thickBot="1" x14ac:dyDescent="0.3">
      <c r="C105" s="270"/>
      <c r="D105" s="270"/>
      <c r="E105" s="270"/>
      <c r="F105" s="270"/>
      <c r="G105" s="270"/>
      <c r="H105" s="270"/>
      <c r="I105" s="270"/>
      <c r="J105" s="270"/>
      <c r="K105" s="270"/>
      <c r="L105" s="270"/>
      <c r="M105" s="270"/>
      <c r="N105" s="270"/>
      <c r="O105" s="270"/>
      <c r="P105" s="270"/>
      <c r="Q105" s="270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32"/>
      <c r="AX105" s="9"/>
      <c r="AY105" s="9"/>
      <c r="AZ105" s="36"/>
      <c r="BA105" s="105"/>
      <c r="BB105" s="20"/>
      <c r="BC105" s="20"/>
      <c r="BD105" s="20"/>
      <c r="BE105" s="110"/>
      <c r="BF105" s="43" t="str">
        <f>IFERROR(VLOOKUP("2P02-07-00-02",pareto,18,FALSE),"-")</f>
        <v>-</v>
      </c>
      <c r="BG105" s="20"/>
      <c r="BH105" s="20"/>
      <c r="BI105" s="20"/>
      <c r="BJ105" s="49" t="e">
        <f>VLOOKUP("2P02-08-00-02",pareto,18,FALSE)</f>
        <v>#N/A</v>
      </c>
      <c r="BK105" s="43" t="str">
        <f>IFERROR(VLOOKUP("2P03-07-00-02",pareto,18,FALSE),"-")</f>
        <v>-</v>
      </c>
      <c r="BL105" s="20"/>
      <c r="BM105" s="20"/>
      <c r="BN105" s="20"/>
      <c r="BO105" s="49" t="str">
        <f>IFERROR(VLOOKUP("2P03-08-00-02",pareto,18,FALSE),"-")</f>
        <v>-</v>
      </c>
      <c r="BP105" s="43" t="str">
        <f>IFERROR(VLOOKUP("2P04-07-00-02",pareto,18,FALSE),"-")</f>
        <v>-</v>
      </c>
      <c r="BQ105" s="20"/>
      <c r="BR105" s="20"/>
      <c r="BS105" s="20"/>
      <c r="BT105" s="49" t="str">
        <f>IFERROR(VLOOKUP("2P04-08-00-02",pareto,18,FALSE),"-")</f>
        <v>-</v>
      </c>
      <c r="BU105" s="43" t="str">
        <f>IFERROR(VLOOKUP("2P05-07-00-02",pareto,18,FALSE),"-")</f>
        <v>-</v>
      </c>
      <c r="BV105" s="20"/>
      <c r="BW105" s="20"/>
      <c r="BX105" s="20"/>
      <c r="BY105" s="49" t="str">
        <f>IFERROR(VLOOKUP("2P05-08-00-02",pareto,18,FALSE),"-")</f>
        <v>-</v>
      </c>
      <c r="BZ105" s="43" t="str">
        <f>IFERROR(VLOOKUP("2P06-07-00-02",pareto,18,FALSE),"-")</f>
        <v>-</v>
      </c>
      <c r="CA105" s="20"/>
      <c r="CB105" s="20"/>
      <c r="CC105" s="20"/>
      <c r="CD105" s="49" t="str">
        <f>IFERROR(VLOOKUP("2P06-08-00-02",pareto,18,FALSE),"-")</f>
        <v>-</v>
      </c>
      <c r="CE105" s="43" t="str">
        <f>IFERROR(VLOOKUP("2P07-07-00-02",pareto,18,FALSE),"-")</f>
        <v>-</v>
      </c>
      <c r="CF105" s="20"/>
      <c r="CG105" s="20"/>
      <c r="CH105" s="20"/>
      <c r="CI105" s="49" t="str">
        <f>IFERROR(VLOOKUP("2P07-08-00-02",pareto,18,FALSE),"-")</f>
        <v>-</v>
      </c>
      <c r="CJ105" s="43" t="str">
        <f>IFERROR(VLOOKUP("2P08-07-00-02",pareto,18,FALSE),"-")</f>
        <v>-</v>
      </c>
      <c r="CK105" s="20"/>
      <c r="CL105" s="20"/>
      <c r="CM105" s="20"/>
      <c r="CN105" s="49" t="str">
        <f>IFERROR(VLOOKUP("2P08-08-01-02",pareto,18,FALSE),"-")</f>
        <v>-</v>
      </c>
      <c r="CO105" s="43" t="str">
        <f>IFERROR(VLOOKUP("2P09-07-01-02",pareto,18,FALSE),"-")</f>
        <v>-</v>
      </c>
      <c r="CP105" s="20"/>
      <c r="CQ105" s="20"/>
      <c r="CR105" s="20"/>
      <c r="CS105" s="54" t="str">
        <f>IFERROR(VLOOKUP("2P09-06-00-02",pareto,18,FALSE),"-")</f>
        <v>-</v>
      </c>
      <c r="CT105" s="92"/>
      <c r="CU105" s="77"/>
      <c r="CV105" s="77"/>
      <c r="CW105" s="77"/>
      <c r="CX105" s="77"/>
      <c r="CY105" s="77"/>
      <c r="CZ105" s="77"/>
      <c r="DA105" s="77"/>
      <c r="DB105" s="77"/>
      <c r="DC105" s="77"/>
      <c r="DD105" s="77"/>
      <c r="DE105" s="77"/>
      <c r="DF105" s="77"/>
      <c r="DG105" s="77"/>
      <c r="DH105" s="77"/>
      <c r="DI105" s="77"/>
      <c r="DJ105" s="77"/>
      <c r="DK105" s="77"/>
      <c r="DL105" s="77"/>
      <c r="DM105" s="77"/>
      <c r="DN105" s="77"/>
      <c r="DO105" s="77"/>
      <c r="DP105" s="77"/>
      <c r="DQ105" s="77"/>
      <c r="DR105" s="77"/>
      <c r="DS105" s="77"/>
      <c r="DT105" s="77"/>
      <c r="DU105" s="77"/>
      <c r="DV105" s="77"/>
      <c r="DW105" s="77"/>
      <c r="DX105" s="77"/>
      <c r="DY105" s="77"/>
      <c r="DZ105" s="77"/>
      <c r="EA105" s="77"/>
      <c r="EB105" s="77"/>
      <c r="EC105" s="77"/>
      <c r="ED105" s="77"/>
      <c r="EE105" s="77"/>
      <c r="EF105" s="77"/>
      <c r="EG105" s="77"/>
      <c r="EH105" s="77"/>
      <c r="EI105" s="77"/>
      <c r="EJ105" s="77"/>
      <c r="EK105" s="77"/>
      <c r="EL105" s="77"/>
      <c r="EM105" s="77"/>
      <c r="EN105" s="77"/>
      <c r="EO105" s="125"/>
      <c r="EP105" s="43" t="str">
        <f>IFERROR(VLOOKUP("4P01-07-00-02",pareto,18,FALSE),"-")</f>
        <v>-</v>
      </c>
      <c r="EQ105" s="20"/>
      <c r="ER105" s="20"/>
      <c r="ES105" s="20"/>
      <c r="ET105" s="49" t="str">
        <f>IFERROR(VLOOKUP("4P01-08-00-02",pareto,18,FALSE),"-")</f>
        <v>-</v>
      </c>
      <c r="EU105" s="43" t="str">
        <f>IFERROR(VLOOKUP("4P02-07-00-02",pareto,18,FALSE),"-")</f>
        <v>-</v>
      </c>
      <c r="EV105" s="20"/>
      <c r="EW105" s="20"/>
      <c r="EX105" s="20"/>
      <c r="EY105" s="49" t="str">
        <f>IFERROR(VLOOKUP("4P02-08-00-02",pareto,18,FALSE),"-")</f>
        <v>-</v>
      </c>
      <c r="EZ105" s="43" t="str">
        <f>IFERROR(VLOOKUP("4P03-07-00-02",pareto,18,FALSE),"-")</f>
        <v>-</v>
      </c>
      <c r="FA105" s="20"/>
      <c r="FB105" s="20"/>
      <c r="FC105" s="20"/>
      <c r="FD105" s="49" t="str">
        <f>IFERROR(VLOOKUP("4P03-08-00-02",pareto,18,FALSE),"-")</f>
        <v>-</v>
      </c>
      <c r="FE105" s="43" t="str">
        <f>IFERROR(VLOOKUP("4P04-07-00-02",pareto,18,FALSE),"-")</f>
        <v>-</v>
      </c>
      <c r="FF105" s="20"/>
      <c r="FG105" s="20"/>
      <c r="FH105" s="20"/>
      <c r="FI105" s="49" t="str">
        <f>IFERROR(VLOOKUP("4P04-08-00-02",pareto,18,FALSE),"-")</f>
        <v>-</v>
      </c>
      <c r="FJ105" s="43" t="str">
        <f>IFERROR(VLOOKUP("4P05-07-00-02",pareto,18,FALSE),"-")</f>
        <v>-</v>
      </c>
      <c r="FK105" s="20"/>
      <c r="FL105" s="20"/>
      <c r="FM105" s="20"/>
      <c r="FN105" s="49" t="str">
        <f>IFERROR(VLOOKUP("4P05-08-00-02",pareto,18,FALSE),"-")</f>
        <v>-</v>
      </c>
      <c r="FO105" s="43" t="str">
        <f>IFERROR(VLOOKUP("4P06-07-00-02",pareto,18,FALSE),"-")</f>
        <v>-</v>
      </c>
      <c r="FP105" s="20"/>
      <c r="FQ105" s="20"/>
      <c r="FR105" s="20"/>
      <c r="FS105" s="49" t="str">
        <f>IFERROR(VLOOKUP("4P06-08-00-02",pareto,18,FALSE),"-")</f>
        <v>-</v>
      </c>
      <c r="FT105" s="43" t="str">
        <f>IFERROR(VLOOKUP("4P07-07-00-02",pareto,18,FALSE),"-")</f>
        <v>-</v>
      </c>
      <c r="FU105" s="20"/>
      <c r="FV105" s="20"/>
      <c r="FW105" s="20"/>
      <c r="FX105" s="49" t="str">
        <f>IFERROR(VLOOKUP("4P07-08-00-02",pareto,18,FALSE),"-")</f>
        <v>-</v>
      </c>
      <c r="FY105" s="43" t="str">
        <f>IFERROR(VLOOKUP("4P08-07-00-02",pareto,18,FALSE),"-")</f>
        <v>-</v>
      </c>
      <c r="FZ105" s="20"/>
      <c r="GA105" s="20"/>
      <c r="GB105" s="20"/>
      <c r="GC105" s="49" t="str">
        <f>IFERROR(VLOOKUP("4P08-08-00-02",pareto,18,FALSE),"-")</f>
        <v>-</v>
      </c>
      <c r="GD105" s="43" t="str">
        <f>IFERROR(VLOOKUP("4P09-07-00-02",pareto,18,FALSE),"-")</f>
        <v>-</v>
      </c>
      <c r="GE105" s="20"/>
      <c r="GF105" s="20"/>
      <c r="GG105" s="20"/>
      <c r="GH105" s="49" t="str">
        <f>IFERROR(VLOOKUP("4P09-08-00-02",pareto,18,FALSE),"-")</f>
        <v>-</v>
      </c>
    </row>
    <row r="106" spans="3:190" ht="12" customHeight="1" thickTop="1" thickBot="1" x14ac:dyDescent="0.3">
      <c r="C106" s="270"/>
      <c r="D106" s="270"/>
      <c r="E106" s="270"/>
      <c r="F106" s="270"/>
      <c r="G106" s="270"/>
      <c r="H106" s="270"/>
      <c r="I106" s="270"/>
      <c r="J106" s="270"/>
      <c r="K106" s="270"/>
      <c r="L106" s="270"/>
      <c r="M106" s="270"/>
      <c r="N106" s="270"/>
      <c r="O106" s="270"/>
      <c r="P106" s="270"/>
      <c r="Q106" s="270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33"/>
      <c r="AX106" s="9"/>
      <c r="AY106" s="9"/>
      <c r="AZ106" s="37"/>
      <c r="BA106" s="107"/>
      <c r="BB106" s="20"/>
      <c r="BC106" s="20"/>
      <c r="BD106" s="20"/>
      <c r="BE106" s="111"/>
      <c r="BF106" s="42" t="str">
        <f>IFERROR(VLOOKUP("2P02-07-00-01",pareto,18,FALSE),"-")</f>
        <v>-</v>
      </c>
      <c r="BG106" s="20"/>
      <c r="BH106" s="20"/>
      <c r="BI106" s="20"/>
      <c r="BJ106" s="52" t="e">
        <f>VLOOKUP("2P02-08-00-01",pareto,18,FALSE)</f>
        <v>#N/A</v>
      </c>
      <c r="BK106" s="42" t="str">
        <f>IFERROR(VLOOKUP("2P03-07-00-01",pareto,18,FALSE),"-")</f>
        <v>-</v>
      </c>
      <c r="BL106" s="20"/>
      <c r="BM106" s="20"/>
      <c r="BN106" s="20"/>
      <c r="BO106" s="52" t="str">
        <f>IFERROR(VLOOKUP("2P03-08-00-01",pareto,18,FALSE),"-")</f>
        <v>-</v>
      </c>
      <c r="BP106" s="42" t="str">
        <f>IFERROR(VLOOKUP("2P04-07-00-01",pareto,18,FALSE),"-")</f>
        <v>-</v>
      </c>
      <c r="BQ106" s="20"/>
      <c r="BR106" s="20"/>
      <c r="BS106" s="20"/>
      <c r="BT106" s="52" t="str">
        <f>IFERROR(VLOOKUP("2P04-08-00-01",pareto,18,FALSE),"-")</f>
        <v>-</v>
      </c>
      <c r="BU106" s="42" t="str">
        <f>IFERROR(VLOOKUP("2P05-07-00-01",pareto,18,FALSE),"-")</f>
        <v>-</v>
      </c>
      <c r="BV106" s="20"/>
      <c r="BW106" s="20"/>
      <c r="BX106" s="20"/>
      <c r="BY106" s="52" t="str">
        <f>IFERROR(VLOOKUP("2P05-08-00-01",pareto,18,FALSE),"-")</f>
        <v>-</v>
      </c>
      <c r="BZ106" s="42" t="str">
        <f>IFERROR(VLOOKUP("2P06-07-00-01",pareto,18,FALSE),"-")</f>
        <v>-</v>
      </c>
      <c r="CA106" s="20"/>
      <c r="CB106" s="20"/>
      <c r="CC106" s="20"/>
      <c r="CD106" s="52" t="str">
        <f>IFERROR(VLOOKUP("2P06-08-00-01",pareto,18,FALSE),"-")</f>
        <v>-</v>
      </c>
      <c r="CE106" s="42" t="str">
        <f>IFERROR(VLOOKUP("2P07-07-00-01",pareto,18,FALSE),"-")</f>
        <v>-</v>
      </c>
      <c r="CF106" s="20"/>
      <c r="CG106" s="20"/>
      <c r="CH106" s="20"/>
      <c r="CI106" s="52" t="str">
        <f>IFERROR(VLOOKUP("2P07-08-00-01",pareto,18,FALSE),"-")</f>
        <v>-</v>
      </c>
      <c r="CJ106" s="42" t="str">
        <f>IFERROR(VLOOKUP("2P08-07-00-01",pareto,18,FALSE),"-")</f>
        <v>-</v>
      </c>
      <c r="CK106" s="20"/>
      <c r="CL106" s="20"/>
      <c r="CM106" s="20"/>
      <c r="CN106" s="52" t="str">
        <f>IFERROR(VLOOKUP("2P08-08-01-01",pareto,18,FALSE),"-")</f>
        <v>-</v>
      </c>
      <c r="CO106" s="42" t="str">
        <f>IFERROR(VLOOKUP("2P09-07-01-01",pareto,18,FALSE),"-")</f>
        <v>-</v>
      </c>
      <c r="CP106" s="20"/>
      <c r="CQ106" s="20"/>
      <c r="CR106" s="20"/>
      <c r="CS106" s="52" t="str">
        <f>IFERROR(VLOOKUP("2P09-06-00-01",pareto,18,FALSE),"-")</f>
        <v>-</v>
      </c>
      <c r="CT106" s="92"/>
      <c r="CU106" s="77"/>
      <c r="CV106" s="77"/>
      <c r="CW106" s="77"/>
      <c r="CX106" s="77"/>
      <c r="CY106" s="77"/>
      <c r="CZ106" s="77"/>
      <c r="DA106" s="77"/>
      <c r="DB106" s="77"/>
      <c r="DC106" s="77"/>
      <c r="DD106" s="77"/>
      <c r="DE106" s="77"/>
      <c r="DF106" s="77"/>
      <c r="DG106" s="77"/>
      <c r="DH106" s="77"/>
      <c r="DI106" s="77"/>
      <c r="DJ106" s="77"/>
      <c r="DK106" s="77"/>
      <c r="DL106" s="77"/>
      <c r="DM106" s="77"/>
      <c r="DN106" s="77"/>
      <c r="DO106" s="77"/>
      <c r="DP106" s="77"/>
      <c r="DQ106" s="77"/>
      <c r="DR106" s="77"/>
      <c r="DS106" s="77"/>
      <c r="DT106" s="77"/>
      <c r="DU106" s="77"/>
      <c r="DV106" s="77"/>
      <c r="DW106" s="77"/>
      <c r="DX106" s="77"/>
      <c r="DY106" s="77"/>
      <c r="DZ106" s="77"/>
      <c r="EA106" s="77"/>
      <c r="EB106" s="77"/>
      <c r="EC106" s="77"/>
      <c r="ED106" s="77"/>
      <c r="EE106" s="77"/>
      <c r="EF106" s="77"/>
      <c r="EG106" s="77"/>
      <c r="EH106" s="77"/>
      <c r="EI106" s="77"/>
      <c r="EJ106" s="77"/>
      <c r="EK106" s="77"/>
      <c r="EL106" s="77"/>
      <c r="EM106" s="77"/>
      <c r="EN106" s="77"/>
      <c r="EO106" s="125"/>
      <c r="EP106" s="42" t="str">
        <f>IFERROR(VLOOKUP("4P01-07-00-01",pareto,18,FALSE),"-")</f>
        <v>-</v>
      </c>
      <c r="EQ106" s="20"/>
      <c r="ER106" s="20"/>
      <c r="ES106" s="20"/>
      <c r="ET106" s="52" t="str">
        <f>IFERROR(VLOOKUP("4P01-08-00-01",pareto,18,FALSE),"-")</f>
        <v>-</v>
      </c>
      <c r="EU106" s="42" t="str">
        <f>IFERROR(VLOOKUP("4P02-07-00-01",pareto,18,FALSE),"-")</f>
        <v>-</v>
      </c>
      <c r="EV106" s="20"/>
      <c r="EW106" s="20"/>
      <c r="EX106" s="20"/>
      <c r="EY106" s="52" t="str">
        <f>IFERROR(VLOOKUP("4P02-08-00-01",pareto,18,FALSE),"-")</f>
        <v>-</v>
      </c>
      <c r="EZ106" s="42" t="str">
        <f>IFERROR(VLOOKUP("4P03-07-00-01",pareto,18,FALSE),"-")</f>
        <v>-</v>
      </c>
      <c r="FA106" s="20"/>
      <c r="FB106" s="20"/>
      <c r="FC106" s="20"/>
      <c r="FD106" s="52" t="str">
        <f>IFERROR(VLOOKUP("4P03-08-00-01",pareto,18,FALSE),"-")</f>
        <v>-</v>
      </c>
      <c r="FE106" s="42" t="str">
        <f>IFERROR(VLOOKUP("4P04-07-00-01",pareto,18,FALSE),"-")</f>
        <v>-</v>
      </c>
      <c r="FF106" s="20"/>
      <c r="FG106" s="20"/>
      <c r="FH106" s="20"/>
      <c r="FI106" s="52" t="str">
        <f>IFERROR(VLOOKUP("4P04-08-00-01",pareto,18,FALSE),"-")</f>
        <v>-</v>
      </c>
      <c r="FJ106" s="42" t="str">
        <f>IFERROR(VLOOKUP("4P05-07-00-01",pareto,18,FALSE),"-")</f>
        <v>-</v>
      </c>
      <c r="FK106" s="20"/>
      <c r="FL106" s="20"/>
      <c r="FM106" s="20"/>
      <c r="FN106" s="52" t="str">
        <f>IFERROR(VLOOKUP("4P05-08-00-01",pareto,18,FALSE),"-")</f>
        <v>-</v>
      </c>
      <c r="FO106" s="42" t="str">
        <f>IFERROR(VLOOKUP("4P06-07-00-01",pareto,18,FALSE),"-")</f>
        <v>-</v>
      </c>
      <c r="FP106" s="20"/>
      <c r="FQ106" s="20"/>
      <c r="FR106" s="20"/>
      <c r="FS106" s="52" t="str">
        <f>IFERROR(VLOOKUP("4P06-08-00-01",pareto,18,FALSE),"-")</f>
        <v>-</v>
      </c>
      <c r="FT106" s="42" t="str">
        <f>IFERROR(VLOOKUP("4P07-07-00-01",pareto,18,FALSE),"-")</f>
        <v>-</v>
      </c>
      <c r="FU106" s="20"/>
      <c r="FV106" s="20"/>
      <c r="FW106" s="20"/>
      <c r="FX106" s="52" t="str">
        <f>IFERROR(VLOOKUP("4P07-08-00-01",pareto,18,FALSE),"-")</f>
        <v>-</v>
      </c>
      <c r="FY106" s="42" t="str">
        <f>IFERROR(VLOOKUP("4P08-07-00-01",pareto,18,FALSE),"-")</f>
        <v>-</v>
      </c>
      <c r="FZ106" s="20"/>
      <c r="GA106" s="20"/>
      <c r="GB106" s="20"/>
      <c r="GC106" s="52" t="str">
        <f>IFERROR(VLOOKUP("4P08-08-00-01",pareto,18,FALSE),"-")</f>
        <v>-</v>
      </c>
      <c r="GD106" s="42" t="str">
        <f>IFERROR(VLOOKUP("4P09-07-00-01",pareto,18,FALSE),"-")</f>
        <v>-</v>
      </c>
      <c r="GE106" s="20"/>
      <c r="GF106" s="20"/>
      <c r="GG106" s="20"/>
      <c r="GH106" s="52" t="str">
        <f>IFERROR(VLOOKUP("4P09-08-00-01",pareto,18,FALSE),"-")</f>
        <v>-</v>
      </c>
    </row>
    <row r="107" spans="3:190" ht="12" customHeight="1" thickTop="1" thickBot="1" x14ac:dyDescent="0.3">
      <c r="C107" s="270"/>
      <c r="D107" s="270"/>
      <c r="E107" s="270"/>
      <c r="F107" s="270"/>
      <c r="G107" s="270"/>
      <c r="H107" s="270"/>
      <c r="I107" s="270"/>
      <c r="J107" s="270"/>
      <c r="K107" s="270"/>
      <c r="L107" s="270"/>
      <c r="M107" s="270"/>
      <c r="N107" s="270"/>
      <c r="O107" s="270"/>
      <c r="P107" s="270"/>
      <c r="Q107" s="270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34"/>
      <c r="AX107" s="9"/>
      <c r="AY107" s="9"/>
      <c r="AZ107" s="38"/>
      <c r="BA107" s="103"/>
      <c r="BB107" s="20"/>
      <c r="BC107" s="20"/>
      <c r="BD107" s="20"/>
      <c r="BE107" s="109"/>
      <c r="BF107" s="40" t="str">
        <f>IFERROR(VLOOKUP("2P02-05-00-03",pareto,18,FALSE),"-")</f>
        <v>-</v>
      </c>
      <c r="BG107" s="20"/>
      <c r="BH107" s="20"/>
      <c r="BI107" s="20"/>
      <c r="BJ107" s="51" t="e">
        <f>VLOOKUP("2P02-06-00-03",pareto,18,FALSE)</f>
        <v>#N/A</v>
      </c>
      <c r="BK107" s="40" t="str">
        <f>IFERROR(VLOOKUP("2P03-05-00-03",pareto,18,FALSE),"-")</f>
        <v>-</v>
      </c>
      <c r="BL107" s="20"/>
      <c r="BM107" s="20"/>
      <c r="BN107" s="20"/>
      <c r="BO107" s="51" t="str">
        <f>IFERROR(VLOOKUP("2P03-06-00-03",pareto,18,FALSE),"-")</f>
        <v>-</v>
      </c>
      <c r="BP107" s="40" t="str">
        <f>IFERROR(VLOOKUP("2P04-05-00-03",pareto,18,FALSE),"-")</f>
        <v>-</v>
      </c>
      <c r="BQ107" s="20"/>
      <c r="BR107" s="20"/>
      <c r="BS107" s="20"/>
      <c r="BT107" s="58" t="str">
        <f>IFERROR(VLOOKUP("2P04-06-00-03",pareto,18,FALSE),"-")</f>
        <v>-</v>
      </c>
      <c r="BU107" s="40" t="str">
        <f>IFERROR(VLOOKUP("2P05-05-00-03",pareto,18,FALSE),"-")</f>
        <v>-</v>
      </c>
      <c r="BV107" s="20"/>
      <c r="BW107" s="20"/>
      <c r="BX107" s="20"/>
      <c r="BY107" s="58" t="str">
        <f>IFERROR(VLOOKUP("2P05-06-00-03",pareto,18,FALSE),"-")</f>
        <v>-</v>
      </c>
      <c r="BZ107" s="40" t="str">
        <f>IFERROR(VLOOKUP("2P06-05-00-03",pareto,18,FALSE),"-")</f>
        <v>-</v>
      </c>
      <c r="CA107" s="20"/>
      <c r="CB107" s="20"/>
      <c r="CC107" s="20"/>
      <c r="CD107" s="58" t="str">
        <f>IFERROR(VLOOKUP("2P06-06-00-03",pareto,18,FALSE),"-")</f>
        <v>-</v>
      </c>
      <c r="CE107" s="40" t="str">
        <f>IFERROR(VLOOKUP("2P07-05-00-03",pareto,18,FALSE),"-")</f>
        <v>-</v>
      </c>
      <c r="CF107" s="20"/>
      <c r="CG107" s="20"/>
      <c r="CH107" s="20"/>
      <c r="CI107" s="58" t="str">
        <f>IFERROR(VLOOKUP("2P07-06-00-03",pareto,18,FALSE),"-")</f>
        <v>-</v>
      </c>
      <c r="CJ107" s="40" t="str">
        <f>IFERROR(VLOOKUP("2P08-05-00-03",pareto,18,FALSE),"-")</f>
        <v>-</v>
      </c>
      <c r="CK107" s="20"/>
      <c r="CL107" s="20"/>
      <c r="CM107" s="20"/>
      <c r="CN107" s="58" t="str">
        <f>IFERROR(VLOOKUP("2P08-06-01-03",pareto,18,FALSE),"-")</f>
        <v>-</v>
      </c>
      <c r="CO107" s="40" t="str">
        <f>IFERROR(VLOOKUP("2P09-05-01-03",pareto,18,FALSE),"-")</f>
        <v>-</v>
      </c>
      <c r="CP107" s="20"/>
      <c r="CQ107" s="20"/>
      <c r="CR107" s="20"/>
      <c r="CS107" s="48" t="str">
        <f>IFERROR(VLOOKUP("2P09-04-00-03",pareto,18,FALSE),"-")</f>
        <v>-</v>
      </c>
      <c r="CT107" s="92"/>
      <c r="CU107" s="77"/>
      <c r="CV107" s="77"/>
      <c r="CW107" s="77"/>
      <c r="CX107" s="77"/>
      <c r="CY107" s="77"/>
      <c r="CZ107" s="77"/>
      <c r="DA107" s="77"/>
      <c r="DB107" s="77"/>
      <c r="DC107" s="77"/>
      <c r="DD107" s="77"/>
      <c r="DE107" s="77"/>
      <c r="DF107" s="77"/>
      <c r="DG107" s="77"/>
      <c r="DH107" s="77"/>
      <c r="DI107" s="77"/>
      <c r="DJ107" s="77"/>
      <c r="DK107" s="77"/>
      <c r="DL107" s="77"/>
      <c r="DM107" s="77"/>
      <c r="DN107" s="77"/>
      <c r="DO107" s="77"/>
      <c r="DP107" s="77"/>
      <c r="DQ107" s="77"/>
      <c r="DR107" s="77"/>
      <c r="DS107" s="77"/>
      <c r="DT107" s="77"/>
      <c r="DU107" s="77"/>
      <c r="DV107" s="77"/>
      <c r="DW107" s="77"/>
      <c r="DX107" s="77"/>
      <c r="DY107" s="77"/>
      <c r="DZ107" s="77"/>
      <c r="EA107" s="77"/>
      <c r="EB107" s="77"/>
      <c r="EC107" s="77"/>
      <c r="ED107" s="77"/>
      <c r="EE107" s="77"/>
      <c r="EF107" s="77"/>
      <c r="EG107" s="77"/>
      <c r="EH107" s="77"/>
      <c r="EI107" s="77"/>
      <c r="EJ107" s="77"/>
      <c r="EK107" s="77"/>
      <c r="EL107" s="77"/>
      <c r="EM107" s="77"/>
      <c r="EN107" s="77"/>
      <c r="EO107" s="125"/>
      <c r="EP107" s="40" t="str">
        <f>IFERROR(VLOOKUP("4P01-05-00-03",pareto,18,FALSE),"-")</f>
        <v>-</v>
      </c>
      <c r="EQ107" s="20"/>
      <c r="ER107" s="20"/>
      <c r="ES107" s="20"/>
      <c r="ET107" s="58" t="str">
        <f>IFERROR(VLOOKUP("4P01-06-00-03",pareto,18,FALSE),"-")</f>
        <v>-</v>
      </c>
      <c r="EU107" s="40" t="str">
        <f>IFERROR(VLOOKUP("4P02-05-00-03",pareto,18,FALSE),"-")</f>
        <v>-</v>
      </c>
      <c r="EV107" s="20"/>
      <c r="EW107" s="20"/>
      <c r="EX107" s="20"/>
      <c r="EY107" s="58" t="str">
        <f>IFERROR(VLOOKUP("4P02-06-00-03",pareto,18,FALSE),"-")</f>
        <v>-</v>
      </c>
      <c r="EZ107" s="40" t="str">
        <f>IFERROR(VLOOKUP("4P03-05-00-03",pareto,18,FALSE),"-")</f>
        <v>-</v>
      </c>
      <c r="FA107" s="20"/>
      <c r="FB107" s="20"/>
      <c r="FC107" s="20"/>
      <c r="FD107" s="58" t="str">
        <f>IFERROR(VLOOKUP("4P03-06-00-03",pareto,18,FALSE),"-")</f>
        <v>-</v>
      </c>
      <c r="FE107" s="40" t="str">
        <f>IFERROR(VLOOKUP("4P04-05-00-03",pareto,18,FALSE),"-")</f>
        <v>-</v>
      </c>
      <c r="FF107" s="20"/>
      <c r="FG107" s="20"/>
      <c r="FH107" s="20"/>
      <c r="FI107" s="58" t="str">
        <f>IFERROR(VLOOKUP("4P04-06-00-03",pareto,18,FALSE),"-")</f>
        <v>-</v>
      </c>
      <c r="FJ107" s="40" t="str">
        <f>IFERROR(VLOOKUP("4P05-05-00-03",pareto,18,FALSE),"-")</f>
        <v>-</v>
      </c>
      <c r="FK107" s="20"/>
      <c r="FL107" s="20"/>
      <c r="FM107" s="20"/>
      <c r="FN107" s="58" t="str">
        <f>IFERROR(VLOOKUP("4P05-06-00-03",pareto,18,FALSE),"-")</f>
        <v>-</v>
      </c>
      <c r="FO107" s="40" t="str">
        <f>IFERROR(VLOOKUP("4P06-05-00-03",pareto,18,FALSE),"-")</f>
        <v>-</v>
      </c>
      <c r="FP107" s="20"/>
      <c r="FQ107" s="20"/>
      <c r="FR107" s="20"/>
      <c r="FS107" s="58" t="str">
        <f>IFERROR(VLOOKUP("4P06-06-00-03",pareto,18,FALSE),"-")</f>
        <v>-</v>
      </c>
      <c r="FT107" s="40" t="str">
        <f>IFERROR(VLOOKUP("4P07-05-00-03",pareto,18,FALSE),"-")</f>
        <v>-</v>
      </c>
      <c r="FU107" s="20"/>
      <c r="FV107" s="20"/>
      <c r="FW107" s="20"/>
      <c r="FX107" s="58" t="str">
        <f>IFERROR(VLOOKUP("4P07-06-00-03",pareto,18,FALSE),"-")</f>
        <v>-</v>
      </c>
      <c r="FY107" s="40" t="str">
        <f>IFERROR(VLOOKUP("4P08-05-00-03",pareto,18,FALSE),"-")</f>
        <v>-</v>
      </c>
      <c r="FZ107" s="20"/>
      <c r="GA107" s="20"/>
      <c r="GB107" s="20"/>
      <c r="GC107" s="58" t="str">
        <f>IFERROR(VLOOKUP("4P08-06-00-03",pareto,18,FALSE),"-")</f>
        <v>-</v>
      </c>
      <c r="GD107" s="40" t="str">
        <f>IFERROR(VLOOKUP("4P09-05-00-03",pareto,18,FALSE),"-")</f>
        <v>-</v>
      </c>
      <c r="GE107" s="20"/>
      <c r="GF107" s="20"/>
      <c r="GG107" s="20"/>
      <c r="GH107" s="58" t="str">
        <f>IFERROR(VLOOKUP("4P09-06-00-03",pareto,18,FALSE),"-")</f>
        <v>-</v>
      </c>
    </row>
    <row r="108" spans="3:190" ht="12" customHeight="1" thickTop="1" thickBot="1" x14ac:dyDescent="0.3">
      <c r="C108" s="270"/>
      <c r="D108" s="270"/>
      <c r="E108" s="270"/>
      <c r="F108" s="270"/>
      <c r="G108" s="270"/>
      <c r="H108" s="270"/>
      <c r="I108" s="270"/>
      <c r="J108" s="270"/>
      <c r="K108" s="270"/>
      <c r="L108" s="270"/>
      <c r="M108" s="270"/>
      <c r="N108" s="270"/>
      <c r="O108" s="270"/>
      <c r="P108" s="270"/>
      <c r="Q108" s="270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32"/>
      <c r="AX108" s="9"/>
      <c r="AY108" s="9"/>
      <c r="AZ108" s="36"/>
      <c r="BA108" s="105"/>
      <c r="BB108" s="20"/>
      <c r="BC108" s="20"/>
      <c r="BD108" s="20"/>
      <c r="BE108" s="110"/>
      <c r="BF108" s="43" t="str">
        <f>IFERROR(VLOOKUP("2P02-05-00-02",pareto,18,FALSE),"-")</f>
        <v>-</v>
      </c>
      <c r="BG108" s="20"/>
      <c r="BH108" s="20"/>
      <c r="BI108" s="20"/>
      <c r="BJ108" s="49" t="e">
        <f>VLOOKUP("2P02-06-00-02",pareto,18,FALSE)</f>
        <v>#N/A</v>
      </c>
      <c r="BK108" s="43" t="str">
        <f>IFERROR(VLOOKUP("2P03-05-00-02",pareto,18,FALSE),"-")</f>
        <v>-</v>
      </c>
      <c r="BL108" s="20"/>
      <c r="BM108" s="20"/>
      <c r="BN108" s="20"/>
      <c r="BO108" s="53" t="str">
        <f>IFERROR(VLOOKUP("2P03-06-00-02",pareto,18,FALSE),"-")</f>
        <v>-</v>
      </c>
      <c r="BP108" s="43" t="str">
        <f>IFERROR(VLOOKUP("2P04-05-00-02",pareto,18,FALSE),"-")</f>
        <v>-</v>
      </c>
      <c r="BQ108" s="20"/>
      <c r="BR108" s="20"/>
      <c r="BS108" s="20"/>
      <c r="BT108" s="49" t="str">
        <f>IFERROR(VLOOKUP("2P04-06-00-02",pareto,18,FALSE),"-")</f>
        <v>-</v>
      </c>
      <c r="BU108" s="43" t="str">
        <f>IFERROR(VLOOKUP("2P05-05-00-02",pareto,18,FALSE),"-")</f>
        <v>-</v>
      </c>
      <c r="BV108" s="20"/>
      <c r="BW108" s="20"/>
      <c r="BX108" s="20"/>
      <c r="BY108" s="54" t="str">
        <f>IFERROR(VLOOKUP("2P05-06-00-02",pareto,18,FALSE),"-")</f>
        <v>-</v>
      </c>
      <c r="BZ108" s="43" t="str">
        <f>IFERROR(VLOOKUP("2P06-05-00-02",pareto,18,FALSE),"-")</f>
        <v>-</v>
      </c>
      <c r="CA108" s="20"/>
      <c r="CB108" s="20"/>
      <c r="CC108" s="20"/>
      <c r="CD108" s="54" t="str">
        <f>IFERROR(VLOOKUP("2P06-06-00-02",pareto,18,FALSE),"-")</f>
        <v>-</v>
      </c>
      <c r="CE108" s="43" t="str">
        <f>IFERROR(VLOOKUP("2P07-05-00-02",pareto,18,FALSE),"-")</f>
        <v>-</v>
      </c>
      <c r="CF108" s="20"/>
      <c r="CG108" s="20"/>
      <c r="CH108" s="20"/>
      <c r="CI108" s="54" t="str">
        <f>IFERROR(VLOOKUP("2P07-06-00-02",pareto,18,FALSE),"-")</f>
        <v>-</v>
      </c>
      <c r="CJ108" s="43" t="str">
        <f>IFERROR(VLOOKUP("2P08-05-00-02",pareto,18,FALSE),"-")</f>
        <v>-</v>
      </c>
      <c r="CK108" s="20"/>
      <c r="CL108" s="20"/>
      <c r="CM108" s="20"/>
      <c r="CN108" s="54" t="str">
        <f>IFERROR(VLOOKUP("2P08-06-01-02",pareto,18,FALSE),"-")</f>
        <v>-</v>
      </c>
      <c r="CO108" s="43" t="str">
        <f>IFERROR(VLOOKUP("2P09-05-01-02",pareto,18,FALSE),"-")</f>
        <v>-</v>
      </c>
      <c r="CP108" s="20"/>
      <c r="CQ108" s="20"/>
      <c r="CR108" s="20"/>
      <c r="CS108" s="54" t="str">
        <f>IFERROR(VLOOKUP("2P09-04-00-02",pareto,18,FALSE),"-")</f>
        <v>-</v>
      </c>
      <c r="CT108" s="92"/>
      <c r="CU108" s="77"/>
      <c r="CV108" s="77"/>
      <c r="CW108" s="77"/>
      <c r="CX108" s="77"/>
      <c r="CY108" s="77"/>
      <c r="CZ108" s="77"/>
      <c r="DA108" s="77"/>
      <c r="DB108" s="77"/>
      <c r="DC108" s="77"/>
      <c r="DD108" s="77"/>
      <c r="DE108" s="77"/>
      <c r="DF108" s="77"/>
      <c r="DG108" s="77"/>
      <c r="DH108" s="77"/>
      <c r="DI108" s="77"/>
      <c r="DJ108" s="77"/>
      <c r="DK108" s="77"/>
      <c r="DL108" s="77"/>
      <c r="DM108" s="77"/>
      <c r="DN108" s="77"/>
      <c r="DO108" s="77"/>
      <c r="DP108" s="77"/>
      <c r="DQ108" s="77"/>
      <c r="DR108" s="77"/>
      <c r="DS108" s="77"/>
      <c r="DT108" s="77"/>
      <c r="DU108" s="77"/>
      <c r="DV108" s="77"/>
      <c r="DW108" s="77"/>
      <c r="DX108" s="77"/>
      <c r="DY108" s="77"/>
      <c r="DZ108" s="77"/>
      <c r="EA108" s="77"/>
      <c r="EB108" s="77"/>
      <c r="EC108" s="77"/>
      <c r="ED108" s="77"/>
      <c r="EE108" s="77"/>
      <c r="EF108" s="77"/>
      <c r="EG108" s="77"/>
      <c r="EH108" s="77"/>
      <c r="EI108" s="77"/>
      <c r="EJ108" s="77"/>
      <c r="EK108" s="77"/>
      <c r="EL108" s="77"/>
      <c r="EM108" s="77"/>
      <c r="EN108" s="77"/>
      <c r="EO108" s="125"/>
      <c r="EP108" s="43" t="str">
        <f>IFERROR(VLOOKUP("4P01-05-00-02",pareto,18,FALSE),"-")</f>
        <v>-</v>
      </c>
      <c r="EQ108" s="20"/>
      <c r="ER108" s="20"/>
      <c r="ES108" s="20"/>
      <c r="ET108" s="54" t="str">
        <f>IFERROR(VLOOKUP("4P01-06-00-02",pareto,18,FALSE),"-")</f>
        <v>-</v>
      </c>
      <c r="EU108" s="43" t="str">
        <f>IFERROR(VLOOKUP("4P02-05-00-02",pareto,18,FALSE),"-")</f>
        <v>-</v>
      </c>
      <c r="EV108" s="20"/>
      <c r="EW108" s="20"/>
      <c r="EX108" s="20"/>
      <c r="EY108" s="54" t="str">
        <f>IFERROR(VLOOKUP("4P02-06-00-02",pareto,18,FALSE),"-")</f>
        <v>-</v>
      </c>
      <c r="EZ108" s="43" t="str">
        <f>IFERROR(VLOOKUP("4P03-05-00-02",pareto,18,FALSE),"-")</f>
        <v>-</v>
      </c>
      <c r="FA108" s="20"/>
      <c r="FB108" s="20"/>
      <c r="FC108" s="20"/>
      <c r="FD108" s="54" t="str">
        <f>IFERROR(VLOOKUP("4P03-06-00-02",pareto,18,FALSE),"-")</f>
        <v>-</v>
      </c>
      <c r="FE108" s="43" t="str">
        <f>IFERROR(VLOOKUP("4P04-05-00-02",pareto,18,FALSE),"-")</f>
        <v>-</v>
      </c>
      <c r="FF108" s="20"/>
      <c r="FG108" s="20"/>
      <c r="FH108" s="20"/>
      <c r="FI108" s="54" t="str">
        <f>IFERROR(VLOOKUP("4P04-06-00-02",pareto,18,FALSE),"-")</f>
        <v>-</v>
      </c>
      <c r="FJ108" s="43" t="str">
        <f>IFERROR(VLOOKUP("4P05-05-00-02",pareto,18,FALSE),"-")</f>
        <v>-</v>
      </c>
      <c r="FK108" s="20"/>
      <c r="FL108" s="20"/>
      <c r="FM108" s="20"/>
      <c r="FN108" s="54" t="str">
        <f>IFERROR(VLOOKUP("4P05-06-00-02",pareto,18,FALSE),"-")</f>
        <v>-</v>
      </c>
      <c r="FO108" s="43" t="str">
        <f>IFERROR(VLOOKUP("4P06-05-00-02",pareto,18,FALSE),"-")</f>
        <v>-</v>
      </c>
      <c r="FP108" s="20"/>
      <c r="FQ108" s="20"/>
      <c r="FR108" s="20"/>
      <c r="FS108" s="54" t="str">
        <f>IFERROR(VLOOKUP("4P06-06-00-02",pareto,18,FALSE),"-")</f>
        <v>-</v>
      </c>
      <c r="FT108" s="43" t="str">
        <f>IFERROR(VLOOKUP("4P07-05-00-02",pareto,18,FALSE),"-")</f>
        <v>-</v>
      </c>
      <c r="FU108" s="20"/>
      <c r="FV108" s="20"/>
      <c r="FW108" s="20"/>
      <c r="FX108" s="54" t="str">
        <f>IFERROR(VLOOKUP("4P07-06-00-02",pareto,18,FALSE),"-")</f>
        <v>-</v>
      </c>
      <c r="FY108" s="43" t="str">
        <f>IFERROR(VLOOKUP("4P08-05-00-02",pareto,18,FALSE),"-")</f>
        <v>-</v>
      </c>
      <c r="FZ108" s="20"/>
      <c r="GA108" s="20"/>
      <c r="GB108" s="20"/>
      <c r="GC108" s="54" t="str">
        <f>IFERROR(VLOOKUP("4P08-06-00-02",pareto,18,FALSE),"-")</f>
        <v>-</v>
      </c>
      <c r="GD108" s="43" t="str">
        <f>IFERROR(VLOOKUP("4P09-05-00-02",pareto,18,FALSE),"-")</f>
        <v>-</v>
      </c>
      <c r="GE108" s="20"/>
      <c r="GF108" s="20"/>
      <c r="GG108" s="20"/>
      <c r="GH108" s="54" t="str">
        <f>IFERROR(VLOOKUP("4P09-06-00-02",pareto,18,FALSE),"-")</f>
        <v>-</v>
      </c>
    </row>
    <row r="109" spans="3:190" ht="12" customHeight="1" thickTop="1" thickBot="1" x14ac:dyDescent="0.3">
      <c r="C109" s="270"/>
      <c r="D109" s="270"/>
      <c r="E109" s="270"/>
      <c r="F109" s="270"/>
      <c r="G109" s="270"/>
      <c r="H109" s="270"/>
      <c r="I109" s="270"/>
      <c r="J109" s="270"/>
      <c r="K109" s="270"/>
      <c r="L109" s="270"/>
      <c r="M109" s="270"/>
      <c r="N109" s="270"/>
      <c r="O109" s="270"/>
      <c r="P109" s="270"/>
      <c r="Q109" s="270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33"/>
      <c r="AX109" s="9"/>
      <c r="AY109" s="9"/>
      <c r="AZ109" s="37"/>
      <c r="BA109" s="107"/>
      <c r="BB109" s="20"/>
      <c r="BC109" s="20"/>
      <c r="BD109" s="20"/>
      <c r="BE109" s="111"/>
      <c r="BF109" s="42" t="str">
        <f>IFERROR(VLOOKUP("2P02-05-00-01",pareto,18,FALSE),"-")</f>
        <v>-</v>
      </c>
      <c r="BG109" s="20"/>
      <c r="BH109" s="20"/>
      <c r="BI109" s="20"/>
      <c r="BJ109" s="52" t="e">
        <f>VLOOKUP("2P02-06-00-01",pareto,18,FALSE)</f>
        <v>#N/A</v>
      </c>
      <c r="BK109" s="42" t="str">
        <f>IFERROR(VLOOKUP("2P03-05-00-01",pareto,18,FALSE),"-")</f>
        <v>-</v>
      </c>
      <c r="BL109" s="20"/>
      <c r="BM109" s="20"/>
      <c r="BN109" s="20"/>
      <c r="BO109" s="50" t="str">
        <f>IFERROR(VLOOKUP("2P03-06-00-01",pareto,18,FALSE),"-")</f>
        <v>-</v>
      </c>
      <c r="BP109" s="62" t="str">
        <f>IFERROR(VLOOKUP("2P04-05-00-01",pareto,18,FALSE),"-")</f>
        <v>-</v>
      </c>
      <c r="BQ109" s="20"/>
      <c r="BR109" s="20"/>
      <c r="BS109" s="20"/>
      <c r="BT109" s="52" t="str">
        <f>IFERROR(VLOOKUP("2P04-06-00-01",pareto,18,FALSE),"-")</f>
        <v>-</v>
      </c>
      <c r="BU109" s="62" t="str">
        <f>IFERROR(VLOOKUP("2P05-05-00-01",pareto,18,FALSE),"-")</f>
        <v>-</v>
      </c>
      <c r="BV109" s="20"/>
      <c r="BW109" s="20"/>
      <c r="BX109" s="20"/>
      <c r="BY109" s="52" t="str">
        <f>IFERROR(VLOOKUP("2P05-06-00-01",pareto,18,FALSE),"-")</f>
        <v>-</v>
      </c>
      <c r="BZ109" s="62" t="str">
        <f>IFERROR(VLOOKUP("2P06-05-00-01",pareto,18,FALSE),"-")</f>
        <v>-</v>
      </c>
      <c r="CA109" s="20"/>
      <c r="CB109" s="20"/>
      <c r="CC109" s="20"/>
      <c r="CD109" s="52" t="str">
        <f>IFERROR(VLOOKUP("2P06-06-00-01",pareto,18,FALSE),"-")</f>
        <v>-</v>
      </c>
      <c r="CE109" s="62" t="str">
        <f>IFERROR(VLOOKUP("2P07-05-00-01",pareto,18,FALSE),"-")</f>
        <v>-</v>
      </c>
      <c r="CF109" s="20"/>
      <c r="CG109" s="20"/>
      <c r="CH109" s="20"/>
      <c r="CI109" s="52" t="str">
        <f>IFERROR(VLOOKUP("2P07-06-00-01",pareto,18,FALSE),"-")</f>
        <v>-</v>
      </c>
      <c r="CJ109" s="62" t="str">
        <f>IFERROR(VLOOKUP("2P08-05-00-01",pareto,18,FALSE),"-")</f>
        <v>-</v>
      </c>
      <c r="CK109" s="20"/>
      <c r="CL109" s="20"/>
      <c r="CM109" s="20"/>
      <c r="CN109" s="52" t="str">
        <f>IFERROR(VLOOKUP("2P08-06-01-01",pareto,18,FALSE),"-")</f>
        <v>-</v>
      </c>
      <c r="CO109" s="62" t="str">
        <f>IFERROR(VLOOKUP("2P09-05-01-01",pareto,18,FALSE),"-")</f>
        <v>-</v>
      </c>
      <c r="CP109" s="20"/>
      <c r="CQ109" s="20"/>
      <c r="CR109" s="20"/>
      <c r="CS109" s="52" t="str">
        <f>IFERROR(VLOOKUP("2P09-04-00-01",pareto,18,FALSE),"-")</f>
        <v>-</v>
      </c>
      <c r="CT109" s="92"/>
      <c r="CU109" s="77"/>
      <c r="CV109" s="77"/>
      <c r="CW109" s="77"/>
      <c r="CX109" s="77"/>
      <c r="CY109" s="77"/>
      <c r="CZ109" s="77"/>
      <c r="DA109" s="77"/>
      <c r="DB109" s="77"/>
      <c r="DC109" s="77"/>
      <c r="DD109" s="77"/>
      <c r="DE109" s="77"/>
      <c r="DF109" s="77"/>
      <c r="DG109" s="77"/>
      <c r="DH109" s="77"/>
      <c r="DI109" s="77"/>
      <c r="DJ109" s="77"/>
      <c r="DK109" s="77"/>
      <c r="DL109" s="77"/>
      <c r="DM109" s="77"/>
      <c r="DN109" s="77"/>
      <c r="DO109" s="77"/>
      <c r="DP109" s="77"/>
      <c r="DQ109" s="77"/>
      <c r="DR109" s="77"/>
      <c r="DS109" s="77"/>
      <c r="DT109" s="77"/>
      <c r="DU109" s="77"/>
      <c r="DV109" s="77"/>
      <c r="DW109" s="77"/>
      <c r="DX109" s="77"/>
      <c r="DY109" s="77"/>
      <c r="DZ109" s="77"/>
      <c r="EA109" s="77"/>
      <c r="EB109" s="77"/>
      <c r="EC109" s="77"/>
      <c r="ED109" s="77"/>
      <c r="EE109" s="77"/>
      <c r="EF109" s="77"/>
      <c r="EG109" s="77"/>
      <c r="EH109" s="77"/>
      <c r="EI109" s="77"/>
      <c r="EJ109" s="77"/>
      <c r="EK109" s="77"/>
      <c r="EL109" s="77"/>
      <c r="EM109" s="77"/>
      <c r="EN109" s="77"/>
      <c r="EO109" s="125"/>
      <c r="EP109" s="42" t="str">
        <f>IFERROR(VLOOKUP("4P01-05-00-01",pareto,18,FALSE),"-")</f>
        <v>-</v>
      </c>
      <c r="EQ109" s="20"/>
      <c r="ER109" s="20"/>
      <c r="ES109" s="20"/>
      <c r="ET109" s="52" t="str">
        <f>IFERROR(VLOOKUP("4P01-06-00-01",pareto,18,FALSE),"-")</f>
        <v>-</v>
      </c>
      <c r="EU109" s="62" t="str">
        <f>IFERROR(VLOOKUP("4P02-05-00-01",pareto,18,FALSE),"-")</f>
        <v>-</v>
      </c>
      <c r="EV109" s="20"/>
      <c r="EW109" s="20"/>
      <c r="EX109" s="20"/>
      <c r="EY109" s="52" t="str">
        <f>IFERROR(VLOOKUP("4P02-06-00-01",pareto,18,FALSE),"-")</f>
        <v>-</v>
      </c>
      <c r="EZ109" s="62" t="str">
        <f>IFERROR(VLOOKUP("4P03-05-00-01",pareto,18,FALSE),"-")</f>
        <v>-</v>
      </c>
      <c r="FA109" s="20"/>
      <c r="FB109" s="20"/>
      <c r="FC109" s="20"/>
      <c r="FD109" s="52" t="str">
        <f>IFERROR(VLOOKUP("4P03-06-00-01",pareto,18,FALSE),"-")</f>
        <v>-</v>
      </c>
      <c r="FE109" s="62" t="str">
        <f>IFERROR(VLOOKUP("4P04-05-00-01",pareto,18,FALSE),"-")</f>
        <v>-</v>
      </c>
      <c r="FF109" s="20"/>
      <c r="FG109" s="20"/>
      <c r="FH109" s="20"/>
      <c r="FI109" s="52" t="str">
        <f>IFERROR(VLOOKUP("4P04-06-00-01",pareto,18,FALSE),"-")</f>
        <v>-</v>
      </c>
      <c r="FJ109" s="62" t="str">
        <f>IFERROR(VLOOKUP("4P05-05-00-01",pareto,18,FALSE),"-")</f>
        <v>-</v>
      </c>
      <c r="FK109" s="20"/>
      <c r="FL109" s="20"/>
      <c r="FM109" s="20"/>
      <c r="FN109" s="52" t="str">
        <f>IFERROR(VLOOKUP("4P05-06-00-01",pareto,18,FALSE),"-")</f>
        <v>-</v>
      </c>
      <c r="FO109" s="62" t="str">
        <f>IFERROR(VLOOKUP("4P06-05-00-01",pareto,18,FALSE),"-")</f>
        <v>-</v>
      </c>
      <c r="FP109" s="20"/>
      <c r="FQ109" s="20"/>
      <c r="FR109" s="20"/>
      <c r="FS109" s="52" t="str">
        <f>IFERROR(VLOOKUP("4P06-06-00-01",pareto,18,FALSE),"-")</f>
        <v>-</v>
      </c>
      <c r="FT109" s="62" t="str">
        <f>IFERROR(VLOOKUP("4P07-05-00-01",pareto,18,FALSE),"-")</f>
        <v>-</v>
      </c>
      <c r="FU109" s="20"/>
      <c r="FV109" s="20"/>
      <c r="FW109" s="20"/>
      <c r="FX109" s="52" t="str">
        <f>IFERROR(VLOOKUP("4P07-06-00-01",pareto,18,FALSE),"-")</f>
        <v>-</v>
      </c>
      <c r="FY109" s="62" t="str">
        <f>IFERROR(VLOOKUP("4P08-05-00-01",pareto,18,FALSE),"-")</f>
        <v>-</v>
      </c>
      <c r="FZ109" s="20"/>
      <c r="GA109" s="20"/>
      <c r="GB109" s="20"/>
      <c r="GC109" s="52" t="str">
        <f>IFERROR(VLOOKUP("4P08-06-00-01",pareto,18,FALSE),"-")</f>
        <v>-</v>
      </c>
      <c r="GD109" s="62" t="str">
        <f>IFERROR(VLOOKUP("4P09-05-00-01",pareto,18,FALSE),"-")</f>
        <v>-</v>
      </c>
      <c r="GE109" s="20"/>
      <c r="GF109" s="20"/>
      <c r="GG109" s="20"/>
      <c r="GH109" s="52" t="str">
        <f>IFERROR(VLOOKUP("4P09-06-00-01",pareto,18,FALSE),"-")</f>
        <v>-</v>
      </c>
    </row>
    <row r="110" spans="3:190" ht="12" customHeight="1" thickTop="1" thickBot="1" x14ac:dyDescent="0.3">
      <c r="C110" s="270"/>
      <c r="D110" s="270"/>
      <c r="E110" s="270"/>
      <c r="F110" s="270"/>
      <c r="G110" s="270"/>
      <c r="H110" s="270"/>
      <c r="I110" s="270"/>
      <c r="J110" s="270"/>
      <c r="K110" s="270"/>
      <c r="L110" s="270"/>
      <c r="M110" s="270"/>
      <c r="N110" s="270"/>
      <c r="O110" s="270"/>
      <c r="P110" s="270"/>
      <c r="Q110" s="270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34"/>
      <c r="AX110" s="9"/>
      <c r="AY110" s="9"/>
      <c r="AZ110" s="38"/>
      <c r="BA110" s="103"/>
      <c r="BB110" s="20"/>
      <c r="BC110" s="20"/>
      <c r="BD110" s="20"/>
      <c r="BE110" s="109"/>
      <c r="BF110" s="40" t="str">
        <f>IFERROR(VLOOKUP("2P02-03-00-03",pareto,18,FALSE),"-")</f>
        <v>-</v>
      </c>
      <c r="BG110" s="20"/>
      <c r="BH110" s="20"/>
      <c r="BI110" s="20"/>
      <c r="BJ110" s="51" t="e">
        <f>VLOOKUP("2P02-04-00-03",pareto,18,FALSE)</f>
        <v>#N/A</v>
      </c>
      <c r="BK110" s="40" t="str">
        <f>IFERROR(VLOOKUP("2P03-03-00-03",pareto,18,FALSE),"-")</f>
        <v>-</v>
      </c>
      <c r="BL110" s="20"/>
      <c r="BM110" s="20"/>
      <c r="BN110" s="20"/>
      <c r="BO110" s="48" t="str">
        <f>IFERROR(VLOOKUP("2P03-04-00-03",pareto,18,FALSE),"-")</f>
        <v>-</v>
      </c>
      <c r="BP110" s="40" t="str">
        <f>IFERROR(VLOOKUP("2P04-03-00-03",pareto,18,FALSE),"-")</f>
        <v>-</v>
      </c>
      <c r="BQ110" s="20"/>
      <c r="BR110" s="20"/>
      <c r="BS110" s="20"/>
      <c r="BT110" s="48" t="str">
        <f>IFERROR(VLOOKUP("2P04-04-00-03",pareto,18,FALSE),"-")</f>
        <v>-</v>
      </c>
      <c r="BU110" s="40" t="str">
        <f>IFERROR(VLOOKUP("2P05-03-00-03",pareto,18,FALSE),"-")</f>
        <v>-</v>
      </c>
      <c r="BV110" s="20"/>
      <c r="BW110" s="20"/>
      <c r="BX110" s="20"/>
      <c r="BY110" s="48" t="str">
        <f>IFERROR(VLOOKUP("2P05-04-00-03",pareto,18,FALSE),"-")</f>
        <v>-</v>
      </c>
      <c r="BZ110" s="40" t="str">
        <f>IFERROR(VLOOKUP("2P06-03-00-03",pareto,18,FALSE),"-")</f>
        <v>-</v>
      </c>
      <c r="CA110" s="20"/>
      <c r="CB110" s="20"/>
      <c r="CC110" s="20"/>
      <c r="CD110" s="48" t="str">
        <f>IFERROR(VLOOKUP("2P06-04-00-03",pareto,18,FALSE),"-")</f>
        <v>-</v>
      </c>
      <c r="CE110" s="40" t="str">
        <f>IFERROR(VLOOKUP("2P07-03-00-03",pareto,18,FALSE),"-")</f>
        <v>-</v>
      </c>
      <c r="CF110" s="20"/>
      <c r="CG110" s="20"/>
      <c r="CH110" s="20"/>
      <c r="CI110" s="48" t="str">
        <f>IFERROR(VLOOKUP("2P07-04-00-03",pareto,18,FALSE),"-")</f>
        <v>-</v>
      </c>
      <c r="CJ110" s="40" t="str">
        <f>IFERROR(VLOOKUP("2P08-03-00-03",pareto,18,FALSE),"-")</f>
        <v>-</v>
      </c>
      <c r="CK110" s="20"/>
      <c r="CL110" s="20"/>
      <c r="CM110" s="20"/>
      <c r="CN110" s="48" t="str">
        <f>IFERROR(VLOOKUP("2P08-04-01-03",pareto,18,FALSE),"-")</f>
        <v>-</v>
      </c>
      <c r="CO110" s="40" t="str">
        <f>IFERROR(VLOOKUP("2P09-03-01-03",pareto,18,FALSE),"-")</f>
        <v>-</v>
      </c>
      <c r="CP110" s="20"/>
      <c r="CQ110" s="20"/>
      <c r="CR110" s="20"/>
      <c r="CS110" s="48" t="str">
        <f>IFERROR(VLOOKUP("2P09-02-00-03",pareto,18,FALSE),"-")</f>
        <v>-</v>
      </c>
      <c r="CT110" s="92"/>
      <c r="CU110" s="77"/>
      <c r="CV110" s="77"/>
      <c r="CW110" s="77"/>
      <c r="CX110" s="77"/>
      <c r="CY110" s="77"/>
      <c r="CZ110" s="77"/>
      <c r="DA110" s="77"/>
      <c r="DB110" s="77"/>
      <c r="DC110" s="77"/>
      <c r="DD110" s="77"/>
      <c r="DE110" s="77"/>
      <c r="DF110" s="77"/>
      <c r="DG110" s="77"/>
      <c r="DH110" s="77"/>
      <c r="DI110" s="77"/>
      <c r="DJ110" s="77"/>
      <c r="DK110" s="77"/>
      <c r="DL110" s="77"/>
      <c r="DM110" s="77"/>
      <c r="DN110" s="77"/>
      <c r="DO110" s="77"/>
      <c r="DP110" s="77"/>
      <c r="DQ110" s="77"/>
      <c r="DR110" s="77"/>
      <c r="DS110" s="77"/>
      <c r="DT110" s="77"/>
      <c r="DU110" s="77"/>
      <c r="DV110" s="77"/>
      <c r="DW110" s="77"/>
      <c r="DX110" s="77"/>
      <c r="DY110" s="77"/>
      <c r="DZ110" s="77"/>
      <c r="EA110" s="77"/>
      <c r="EB110" s="77"/>
      <c r="EC110" s="77"/>
      <c r="ED110" s="77"/>
      <c r="EE110" s="77"/>
      <c r="EF110" s="77"/>
      <c r="EG110" s="77"/>
      <c r="EH110" s="77"/>
      <c r="EI110" s="77"/>
      <c r="EJ110" s="77"/>
      <c r="EK110" s="77"/>
      <c r="EL110" s="77"/>
      <c r="EM110" s="77"/>
      <c r="EN110" s="77"/>
      <c r="EO110" s="125"/>
      <c r="EP110" s="40" t="str">
        <f>IFERROR(VLOOKUP("4P01-03-00-03",pareto,18,FALSE),"-")</f>
        <v>-</v>
      </c>
      <c r="EQ110" s="20"/>
      <c r="ER110" s="20"/>
      <c r="ES110" s="20"/>
      <c r="ET110" s="48" t="str">
        <f>IFERROR(VLOOKUP("4P01-04-00-03",pareto,18,FALSE),"-")</f>
        <v>-</v>
      </c>
      <c r="EU110" s="40" t="str">
        <f>IFERROR(VLOOKUP("4P02-03-00-03",pareto,18,FALSE),"-")</f>
        <v>-</v>
      </c>
      <c r="EV110" s="20"/>
      <c r="EW110" s="20"/>
      <c r="EX110" s="20"/>
      <c r="EY110" s="48" t="str">
        <f>IFERROR(VLOOKUP("4P02-04-00-03",pareto,18,FALSE),"-")</f>
        <v>-</v>
      </c>
      <c r="EZ110" s="40" t="str">
        <f>IFERROR(VLOOKUP("4P03-03-00-03",pareto,18,FALSE),"-")</f>
        <v>-</v>
      </c>
      <c r="FA110" s="20"/>
      <c r="FB110" s="20"/>
      <c r="FC110" s="20"/>
      <c r="FD110" s="48" t="str">
        <f>IFERROR(VLOOKUP("4P03-04-00-03",pareto,18,FALSE),"-")</f>
        <v>-</v>
      </c>
      <c r="FE110" s="40" t="str">
        <f>IFERROR(VLOOKUP("4P04-03-00-03",pareto,18,FALSE),"-")</f>
        <v>-</v>
      </c>
      <c r="FF110" s="20"/>
      <c r="FG110" s="20"/>
      <c r="FH110" s="20"/>
      <c r="FI110" s="48" t="str">
        <f>IFERROR(VLOOKUP("4P04-04-00-03",pareto,18,FALSE),"-")</f>
        <v>-</v>
      </c>
      <c r="FJ110" s="40" t="str">
        <f>IFERROR(VLOOKUP("4P05-03-00-03",pareto,18,FALSE),"-")</f>
        <v>-</v>
      </c>
      <c r="FK110" s="20"/>
      <c r="FL110" s="20"/>
      <c r="FM110" s="20"/>
      <c r="FN110" s="48" t="str">
        <f>IFERROR(VLOOKUP("4P05-04-00-03",pareto,18,FALSE),"-")</f>
        <v>-</v>
      </c>
      <c r="FO110" s="40" t="str">
        <f>IFERROR(VLOOKUP("4P06-03-00-03",pareto,18,FALSE),"-")</f>
        <v>-</v>
      </c>
      <c r="FP110" s="20"/>
      <c r="FQ110" s="20"/>
      <c r="FR110" s="20"/>
      <c r="FS110" s="48" t="str">
        <f>IFERROR(VLOOKUP("4P06-04-00-03",pareto,18,FALSE),"-")</f>
        <v>-</v>
      </c>
      <c r="FT110" s="40" t="str">
        <f>IFERROR(VLOOKUP("4P07-03-00-03",pareto,18,FALSE),"-")</f>
        <v>-</v>
      </c>
      <c r="FU110" s="20"/>
      <c r="FV110" s="20"/>
      <c r="FW110" s="20"/>
      <c r="FX110" s="48" t="str">
        <f>IFERROR(VLOOKUP("4P07-04-00-03",pareto,18,FALSE),"-")</f>
        <v>-</v>
      </c>
      <c r="FY110" s="40" t="str">
        <f>IFERROR(VLOOKUP("4P08-03-00-03",pareto,18,FALSE),"-")</f>
        <v>-</v>
      </c>
      <c r="FZ110" s="20"/>
      <c r="GA110" s="20"/>
      <c r="GB110" s="20"/>
      <c r="GC110" s="48" t="str">
        <f>IFERROR(VLOOKUP("4P08-04-00-03",pareto,18,FALSE),"-")</f>
        <v>-</v>
      </c>
      <c r="GD110" s="40" t="str">
        <f>IFERROR(VLOOKUP("4P09-03-00-03",pareto,18,FALSE),"-")</f>
        <v>-</v>
      </c>
      <c r="GE110" s="20"/>
      <c r="GF110" s="20"/>
      <c r="GG110" s="20"/>
      <c r="GH110" s="48" t="str">
        <f>IFERROR(VLOOKUP("4P09-04-00-03",pareto,18,FALSE),"-")</f>
        <v>-</v>
      </c>
    </row>
    <row r="111" spans="3:190" ht="12" customHeight="1" thickTop="1" thickBot="1" x14ac:dyDescent="0.3">
      <c r="C111" s="270"/>
      <c r="D111" s="270"/>
      <c r="E111" s="270"/>
      <c r="F111" s="270"/>
      <c r="G111" s="270"/>
      <c r="H111" s="270"/>
      <c r="I111" s="270"/>
      <c r="J111" s="270"/>
      <c r="K111" s="270"/>
      <c r="L111" s="270"/>
      <c r="M111" s="270"/>
      <c r="N111" s="270"/>
      <c r="O111" s="270"/>
      <c r="P111" s="270"/>
      <c r="Q111" s="270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32"/>
      <c r="AX111" s="9"/>
      <c r="AY111" s="9"/>
      <c r="AZ111" s="36"/>
      <c r="BA111" s="105"/>
      <c r="BB111" s="20"/>
      <c r="BC111" s="20"/>
      <c r="BD111" s="20"/>
      <c r="BE111" s="110"/>
      <c r="BF111" s="43" t="str">
        <f>IFERROR(VLOOKUP("2P02-03-00-02",pareto,18,FALSE),"-")</f>
        <v>-</v>
      </c>
      <c r="BG111" s="20"/>
      <c r="BH111" s="20"/>
      <c r="BI111" s="20"/>
      <c r="BJ111" s="49" t="e">
        <f>VLOOKUP("2P02-04-00-02",pareto,18,FALSE)</f>
        <v>#N/A</v>
      </c>
      <c r="BK111" s="43" t="str">
        <f>IFERROR(VLOOKUP("2P03-03-00-02",pareto,18,FALSE),"-")</f>
        <v>-</v>
      </c>
      <c r="BL111" s="20"/>
      <c r="BM111" s="20"/>
      <c r="BN111" s="20"/>
      <c r="BO111" s="49" t="str">
        <f>IFERROR(VLOOKUP("2P03-04-00-02",pareto,18,FALSE),"-")</f>
        <v>-</v>
      </c>
      <c r="BP111" s="43" t="str">
        <f>IFERROR(VLOOKUP("2P04-03-00-02",pareto,18,FALSE),"-")</f>
        <v>-</v>
      </c>
      <c r="BQ111" s="20"/>
      <c r="BR111" s="20"/>
      <c r="BS111" s="20"/>
      <c r="BT111" s="46" t="str">
        <f>IFERROR(VLOOKUP("2P04-04-00-02",pareto,18,FALSE),"-")</f>
        <v>-</v>
      </c>
      <c r="BU111" s="43" t="str">
        <f>IFERROR(VLOOKUP("2P05-03-00-02",pareto,18,FALSE),"-")</f>
        <v>-</v>
      </c>
      <c r="BV111" s="20"/>
      <c r="BW111" s="20"/>
      <c r="BX111" s="20"/>
      <c r="BY111" s="54" t="str">
        <f>IFERROR(VLOOKUP("2P05-04-00-02",pareto,18,FALSE),"-")</f>
        <v>-</v>
      </c>
      <c r="BZ111" s="43" t="str">
        <f>IFERROR(VLOOKUP("2P06-03-00-02",pareto,18,FALSE),"-")</f>
        <v>-</v>
      </c>
      <c r="CA111" s="20"/>
      <c r="CB111" s="20"/>
      <c r="CC111" s="20"/>
      <c r="CD111" s="54" t="str">
        <f>IFERROR(VLOOKUP("2P06-04-00-02",pareto,18,FALSE),"-")</f>
        <v>-</v>
      </c>
      <c r="CE111" s="43" t="str">
        <f>IFERROR(VLOOKUP("2P07-03-00-02",pareto,18,FALSE),"-")</f>
        <v>-</v>
      </c>
      <c r="CF111" s="20"/>
      <c r="CG111" s="20"/>
      <c r="CH111" s="20"/>
      <c r="CI111" s="54" t="str">
        <f>IFERROR(VLOOKUP("2P07-04-00-02",pareto,18,FALSE),"-")</f>
        <v>-</v>
      </c>
      <c r="CJ111" s="43" t="str">
        <f>IFERROR(VLOOKUP("2P08-03-00-02",pareto,18,FALSE),"-")</f>
        <v>-</v>
      </c>
      <c r="CK111" s="20"/>
      <c r="CL111" s="20"/>
      <c r="CM111" s="20"/>
      <c r="CN111" s="54" t="str">
        <f>IFERROR(VLOOKUP("2P08-04-01-02",pareto,18,FALSE),"-")</f>
        <v>-</v>
      </c>
      <c r="CO111" s="43" t="str">
        <f>IFERROR(VLOOKUP("2P09-03-01-02",pareto,18,FALSE),"-")</f>
        <v>-</v>
      </c>
      <c r="CP111" s="20"/>
      <c r="CQ111" s="20"/>
      <c r="CR111" s="20"/>
      <c r="CS111" s="54" t="str">
        <f>IFERROR(VLOOKUP("2P09-02-00-02",pareto,18,FALSE),"-")</f>
        <v>-</v>
      </c>
      <c r="CT111" s="92"/>
      <c r="CU111" s="77"/>
      <c r="CV111" s="77"/>
      <c r="CW111" s="77"/>
      <c r="CX111" s="77"/>
      <c r="CY111" s="77"/>
      <c r="CZ111" s="77"/>
      <c r="DA111" s="77"/>
      <c r="DB111" s="77"/>
      <c r="DC111" s="77"/>
      <c r="DD111" s="77"/>
      <c r="DE111" s="77"/>
      <c r="DF111" s="77"/>
      <c r="DG111" s="77"/>
      <c r="DH111" s="77"/>
      <c r="DI111" s="77"/>
      <c r="DJ111" s="77"/>
      <c r="DK111" s="77"/>
      <c r="DL111" s="77"/>
      <c r="DM111" s="77"/>
      <c r="DN111" s="77"/>
      <c r="DO111" s="77"/>
      <c r="DP111" s="77"/>
      <c r="DQ111" s="77"/>
      <c r="DR111" s="77"/>
      <c r="DS111" s="77"/>
      <c r="DT111" s="77"/>
      <c r="DU111" s="77"/>
      <c r="DV111" s="77"/>
      <c r="DW111" s="77"/>
      <c r="DX111" s="77"/>
      <c r="DY111" s="77"/>
      <c r="DZ111" s="77"/>
      <c r="EA111" s="77"/>
      <c r="EB111" s="77"/>
      <c r="EC111" s="77"/>
      <c r="ED111" s="77"/>
      <c r="EE111" s="77"/>
      <c r="EF111" s="77"/>
      <c r="EG111" s="77"/>
      <c r="EH111" s="77"/>
      <c r="EI111" s="77"/>
      <c r="EJ111" s="77"/>
      <c r="EK111" s="77"/>
      <c r="EL111" s="77"/>
      <c r="EM111" s="77"/>
      <c r="EN111" s="77"/>
      <c r="EO111" s="125"/>
      <c r="EP111" s="43" t="str">
        <f>IFERROR(VLOOKUP("4P01-03-00-02",pareto,18,FALSE),"-")</f>
        <v>-</v>
      </c>
      <c r="EQ111" s="20"/>
      <c r="ER111" s="20"/>
      <c r="ES111" s="20"/>
      <c r="ET111" s="54" t="str">
        <f>IFERROR(VLOOKUP("4P01-04-00-02",pareto,18,FALSE),"-")</f>
        <v>-</v>
      </c>
      <c r="EU111" s="43" t="str">
        <f>IFERROR(VLOOKUP("4P02-03-00-02",pareto,18,FALSE),"-")</f>
        <v>-</v>
      </c>
      <c r="EV111" s="20"/>
      <c r="EW111" s="20"/>
      <c r="EX111" s="20"/>
      <c r="EY111" s="54" t="str">
        <f>IFERROR(VLOOKUP("4P02-04-00-02",pareto,18,FALSE),"-")</f>
        <v>-</v>
      </c>
      <c r="EZ111" s="43" t="str">
        <f>IFERROR(VLOOKUP("4P03-03-00-02",pareto,18,FALSE),"-")</f>
        <v>-</v>
      </c>
      <c r="FA111" s="20"/>
      <c r="FB111" s="20"/>
      <c r="FC111" s="20"/>
      <c r="FD111" s="54" t="str">
        <f>IFERROR(VLOOKUP("4P03-04-00-02",pareto,18,FALSE),"-")</f>
        <v>-</v>
      </c>
      <c r="FE111" s="43" t="str">
        <f>IFERROR(VLOOKUP("4P04-03-00-02",pareto,18,FALSE),"-")</f>
        <v>-</v>
      </c>
      <c r="FF111" s="20"/>
      <c r="FG111" s="20"/>
      <c r="FH111" s="20"/>
      <c r="FI111" s="54" t="str">
        <f>IFERROR(VLOOKUP("4P04-04-00-02",pareto,18,FALSE),"-")</f>
        <v>-</v>
      </c>
      <c r="FJ111" s="43" t="str">
        <f>IFERROR(VLOOKUP("4P05-03-00-02",pareto,18,FALSE),"-")</f>
        <v>-</v>
      </c>
      <c r="FK111" s="20"/>
      <c r="FL111" s="20"/>
      <c r="FM111" s="20"/>
      <c r="FN111" s="54" t="str">
        <f>IFERROR(VLOOKUP("4P05-04-00-02",pareto,18,FALSE),"-")</f>
        <v>-</v>
      </c>
      <c r="FO111" s="43" t="str">
        <f>IFERROR(VLOOKUP("4P06-03-00-02",pareto,18,FALSE),"-")</f>
        <v>-</v>
      </c>
      <c r="FP111" s="20"/>
      <c r="FQ111" s="20"/>
      <c r="FR111" s="20"/>
      <c r="FS111" s="54" t="str">
        <f>IFERROR(VLOOKUP("4P06-04-00-02",pareto,18,FALSE),"-")</f>
        <v>-</v>
      </c>
      <c r="FT111" s="43" t="str">
        <f>IFERROR(VLOOKUP("4P07-03-00-02",pareto,18,FALSE),"-")</f>
        <v>-</v>
      </c>
      <c r="FU111" s="20"/>
      <c r="FV111" s="20"/>
      <c r="FW111" s="20"/>
      <c r="FX111" s="54" t="str">
        <f>IFERROR(VLOOKUP("4P07-04-00-02",pareto,18,FALSE),"-")</f>
        <v>-</v>
      </c>
      <c r="FY111" s="43" t="str">
        <f>IFERROR(VLOOKUP("4P08-03-00-02",pareto,18,FALSE),"-")</f>
        <v>-</v>
      </c>
      <c r="FZ111" s="20"/>
      <c r="GA111" s="20"/>
      <c r="GB111" s="20"/>
      <c r="GC111" s="54" t="str">
        <f>IFERROR(VLOOKUP("4P08-04-00-02",pareto,18,FALSE),"-")</f>
        <v>-</v>
      </c>
      <c r="GD111" s="43" t="str">
        <f>IFERROR(VLOOKUP("4P09-03-00-02",pareto,18,FALSE),"-")</f>
        <v>-</v>
      </c>
      <c r="GE111" s="20"/>
      <c r="GF111" s="20"/>
      <c r="GG111" s="20"/>
      <c r="GH111" s="54" t="str">
        <f>IFERROR(VLOOKUP("4P09-04-00-02",pareto,18,FALSE),"-")</f>
        <v>-</v>
      </c>
    </row>
    <row r="112" spans="3:190" ht="12" customHeight="1" thickTop="1" thickBot="1" x14ac:dyDescent="0.3">
      <c r="C112" s="270"/>
      <c r="D112" s="270"/>
      <c r="E112" s="270"/>
      <c r="F112" s="270"/>
      <c r="G112" s="270"/>
      <c r="H112" s="270"/>
      <c r="I112" s="270"/>
      <c r="J112" s="270"/>
      <c r="K112" s="270"/>
      <c r="L112" s="270"/>
      <c r="M112" s="270"/>
      <c r="N112" s="270"/>
      <c r="O112" s="270"/>
      <c r="P112" s="270"/>
      <c r="Q112" s="270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33"/>
      <c r="AX112" s="9"/>
      <c r="AY112" s="9"/>
      <c r="AZ112" s="37"/>
      <c r="BA112" s="107"/>
      <c r="BB112" s="20"/>
      <c r="BC112" s="20"/>
      <c r="BD112" s="20"/>
      <c r="BE112" s="111"/>
      <c r="BF112" s="42" t="str">
        <f>IFERROR(VLOOKUP("2P02-03-00-01",pareto,18,FALSE),"-")</f>
        <v>-</v>
      </c>
      <c r="BG112" s="20"/>
      <c r="BH112" s="20"/>
      <c r="BI112" s="20"/>
      <c r="BJ112" s="52" t="str">
        <f>IFERROR(VLOOKUP("2P02-04-00-01",pareto,18,FALSE),"-")</f>
        <v>-</v>
      </c>
      <c r="BK112" s="42" t="str">
        <f>IFERROR(VLOOKUP("2P03-03-00-01",pareto,18,FALSE),"-")</f>
        <v>-</v>
      </c>
      <c r="BL112" s="20"/>
      <c r="BM112" s="20"/>
      <c r="BN112" s="20"/>
      <c r="BO112" s="52" t="str">
        <f>IFERROR(VLOOKUP("2P03-04-00-01",pareto,18,FALSE),"-")</f>
        <v>-</v>
      </c>
      <c r="BP112" s="42" t="str">
        <f>IFERROR(VLOOKUP("2P04-03-00-01",pareto,18,FALSE),"-")</f>
        <v>-</v>
      </c>
      <c r="BQ112" s="20"/>
      <c r="BR112" s="20"/>
      <c r="BS112" s="20"/>
      <c r="BT112" s="56" t="str">
        <f>IFERROR(VLOOKUP("2P04-04-00-01",pareto,18,FALSE),"-")</f>
        <v>-</v>
      </c>
      <c r="BU112" s="42" t="str">
        <f>IFERROR(VLOOKUP("2P05-03-00-01",pareto,18,FALSE),"-")</f>
        <v>-</v>
      </c>
      <c r="BV112" s="20"/>
      <c r="BW112" s="20"/>
      <c r="BX112" s="20"/>
      <c r="BY112" s="52" t="str">
        <f>IFERROR(VLOOKUP("2P05-04-00-01",pareto,18,FALSE),"-")</f>
        <v>-</v>
      </c>
      <c r="BZ112" s="42" t="str">
        <f>IFERROR(VLOOKUP("2P06-03-00-01",pareto,18,FALSE),"-")</f>
        <v>-</v>
      </c>
      <c r="CA112" s="20"/>
      <c r="CB112" s="20"/>
      <c r="CC112" s="20"/>
      <c r="CD112" s="52" t="str">
        <f>IFERROR(VLOOKUP("2P06-04-00-01",pareto,18,FALSE),"-")</f>
        <v>-</v>
      </c>
      <c r="CE112" s="42" t="str">
        <f>IFERROR(VLOOKUP("2P07-03-00-01",pareto,18,FALSE),"-")</f>
        <v>-</v>
      </c>
      <c r="CF112" s="20"/>
      <c r="CG112" s="20"/>
      <c r="CH112" s="20"/>
      <c r="CI112" s="52" t="str">
        <f>IFERROR(VLOOKUP("2P07-04-00-01",pareto,18,FALSE),"-")</f>
        <v>-</v>
      </c>
      <c r="CJ112" s="42" t="str">
        <f>IFERROR(VLOOKUP("2P08-03-00-01",pareto,18,FALSE),"-")</f>
        <v>-</v>
      </c>
      <c r="CK112" s="20"/>
      <c r="CL112" s="20"/>
      <c r="CM112" s="20"/>
      <c r="CN112" s="52" t="str">
        <f>IFERROR(VLOOKUP("2P08-04-01-01",pareto,18,FALSE),"-")</f>
        <v>-</v>
      </c>
      <c r="CO112" s="42" t="str">
        <f>IFERROR(VLOOKUP("2P09-03-01-01",pareto,18,FALSE),"-")</f>
        <v>-</v>
      </c>
      <c r="CP112" s="20"/>
      <c r="CQ112" s="20"/>
      <c r="CR112" s="20"/>
      <c r="CS112" s="52" t="str">
        <f>IFERROR(VLOOKUP("2P09-02-00-01",pareto,18,FALSE),"-")</f>
        <v>-</v>
      </c>
      <c r="CT112" s="273"/>
      <c r="CU112" s="273"/>
      <c r="CV112" s="273"/>
      <c r="CW112" s="273"/>
      <c r="CX112" s="273"/>
      <c r="CY112" s="273"/>
      <c r="CZ112" s="273"/>
      <c r="DA112" s="273"/>
      <c r="DB112" s="273"/>
      <c r="DC112" s="273"/>
      <c r="DD112" s="273"/>
      <c r="DE112" s="273"/>
      <c r="DF112" s="273"/>
      <c r="DG112" s="273"/>
      <c r="DH112" s="273"/>
      <c r="DI112" s="273"/>
      <c r="DJ112" s="273"/>
      <c r="DK112" s="273"/>
      <c r="DL112" s="273"/>
      <c r="DM112" s="273"/>
      <c r="DN112" s="273"/>
      <c r="DO112" s="273"/>
      <c r="DP112" s="273"/>
      <c r="DQ112" s="273"/>
      <c r="DR112" s="273"/>
      <c r="DS112" s="273"/>
      <c r="DT112" s="273"/>
      <c r="DU112" s="273"/>
      <c r="DV112" s="273"/>
      <c r="DW112" s="273"/>
      <c r="DX112" s="273"/>
      <c r="DY112" s="273"/>
      <c r="DZ112" s="273"/>
      <c r="EA112" s="273"/>
      <c r="EB112" s="273"/>
      <c r="EC112" s="273"/>
      <c r="ED112" s="273"/>
      <c r="EE112" s="273"/>
      <c r="EF112" s="273"/>
      <c r="EG112" s="273"/>
      <c r="EH112" s="273"/>
      <c r="EI112" s="273"/>
      <c r="EJ112" s="273"/>
      <c r="EK112" s="273"/>
      <c r="EL112" s="273"/>
      <c r="EM112" s="273"/>
      <c r="EN112" s="273"/>
      <c r="EO112" s="273"/>
      <c r="EP112" s="42" t="str">
        <f>IFERROR(VLOOKUP("4P01-03-00-01",pareto,18,FALSE),"-")</f>
        <v>-</v>
      </c>
      <c r="EQ112" s="20"/>
      <c r="ER112" s="20"/>
      <c r="ES112" s="20"/>
      <c r="ET112" s="52" t="str">
        <f>IFERROR(VLOOKUP("4P01-04-00-01",pareto,18,FALSE),"-")</f>
        <v>-</v>
      </c>
      <c r="EU112" s="42" t="str">
        <f>IFERROR(VLOOKUP("4P02-03-00-01",pareto,18,FALSE),"-")</f>
        <v>-</v>
      </c>
      <c r="EV112" s="20"/>
      <c r="EW112" s="20"/>
      <c r="EX112" s="20"/>
      <c r="EY112" s="52" t="str">
        <f>IFERROR(VLOOKUP("4P02-04-00-01",pareto,18,FALSE),"-")</f>
        <v>-</v>
      </c>
      <c r="EZ112" s="42" t="str">
        <f>IFERROR(VLOOKUP("4P03-03-00-01",pareto,18,FALSE),"-")</f>
        <v>-</v>
      </c>
      <c r="FA112" s="20"/>
      <c r="FB112" s="20"/>
      <c r="FC112" s="20"/>
      <c r="FD112" s="52" t="str">
        <f>IFERROR(VLOOKUP("4P03-04-00-01",pareto,18,FALSE),"-")</f>
        <v>-</v>
      </c>
      <c r="FE112" s="42" t="str">
        <f>IFERROR(VLOOKUP("4P04-03-00-01",pareto,18,FALSE),"-")</f>
        <v>-</v>
      </c>
      <c r="FF112" s="20"/>
      <c r="FG112" s="20"/>
      <c r="FH112" s="20"/>
      <c r="FI112" s="52" t="str">
        <f>IFERROR(VLOOKUP("4P04-04-00-01",pareto,18,FALSE),"-")</f>
        <v>-</v>
      </c>
      <c r="FJ112" s="42" t="str">
        <f>IFERROR(VLOOKUP("4P05-03-00-01",pareto,18,FALSE),"-")</f>
        <v>-</v>
      </c>
      <c r="FK112" s="20"/>
      <c r="FL112" s="20"/>
      <c r="FM112" s="20"/>
      <c r="FN112" s="52" t="str">
        <f>IFERROR(VLOOKUP("4P05-04-00-01",pareto,18,FALSE),"-")</f>
        <v>-</v>
      </c>
      <c r="FO112" s="42" t="str">
        <f>IFERROR(VLOOKUP("4P06-03-00-01",pareto,18,FALSE),"-")</f>
        <v>-</v>
      </c>
      <c r="FP112" s="20"/>
      <c r="FQ112" s="20"/>
      <c r="FR112" s="20"/>
      <c r="FS112" s="52" t="str">
        <f>IFERROR(VLOOKUP("4P06-04-00-01",pareto,18,FALSE),"-")</f>
        <v>-</v>
      </c>
      <c r="FT112" s="42" t="str">
        <f>IFERROR(VLOOKUP("4P07-03-00-01",pareto,18,FALSE),"-")</f>
        <v>-</v>
      </c>
      <c r="FU112" s="20"/>
      <c r="FV112" s="20"/>
      <c r="FW112" s="20"/>
      <c r="FX112" s="52" t="str">
        <f>IFERROR(VLOOKUP("4P07-04-00-01",pareto,18,FALSE),"-")</f>
        <v>-</v>
      </c>
      <c r="FY112" s="42" t="str">
        <f>IFERROR(VLOOKUP("4P08-03-00-01",pareto,18,FALSE),"-")</f>
        <v>-</v>
      </c>
      <c r="FZ112" s="20"/>
      <c r="GA112" s="20"/>
      <c r="GB112" s="20"/>
      <c r="GC112" s="52" t="str">
        <f>IFERROR(VLOOKUP("4P08-04-00-01",pareto,18,FALSE),"-")</f>
        <v>-</v>
      </c>
      <c r="GD112" s="42" t="str">
        <f>IFERROR(VLOOKUP("4P09-03-00-01",pareto,18,FALSE),"-")</f>
        <v>-</v>
      </c>
      <c r="GE112" s="20"/>
      <c r="GF112" s="20"/>
      <c r="GG112" s="20"/>
      <c r="GH112" s="52" t="str">
        <f>IFERROR(VLOOKUP("4P09-04-00-01",pareto,18,FALSE),"-")</f>
        <v>-</v>
      </c>
    </row>
    <row r="113" spans="3:190" ht="12" customHeight="1" thickTop="1" thickBot="1" x14ac:dyDescent="0.3">
      <c r="C113" s="270"/>
      <c r="D113" s="270"/>
      <c r="E113" s="270"/>
      <c r="F113" s="270"/>
      <c r="G113" s="270"/>
      <c r="H113" s="270"/>
      <c r="I113" s="270"/>
      <c r="J113" s="270"/>
      <c r="K113" s="270"/>
      <c r="L113" s="270"/>
      <c r="M113" s="270"/>
      <c r="N113" s="270"/>
      <c r="O113" s="270"/>
      <c r="P113" s="270"/>
      <c r="Q113" s="270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34"/>
      <c r="AX113" s="9"/>
      <c r="AY113" s="9"/>
      <c r="AZ113" s="38"/>
      <c r="BA113" s="103"/>
      <c r="BB113" s="20"/>
      <c r="BC113" s="20"/>
      <c r="BD113" s="20"/>
      <c r="BE113" s="109"/>
      <c r="BF113" s="40" t="str">
        <f>IFERROR(VLOOKUP("2P02-01-00-03",pareto,18,FALSE),"-")</f>
        <v>-</v>
      </c>
      <c r="BG113" s="20"/>
      <c r="BH113" s="20"/>
      <c r="BI113" s="20"/>
      <c r="BJ113" s="51" t="e">
        <f>VLOOKUP("2P02-02-00-02",pareto,18,FALSE)</f>
        <v>#N/A</v>
      </c>
      <c r="BK113" s="40" t="str">
        <f>IFERROR(VLOOKUP("2P03-01-00-03",pareto,18,FALSE),"-")</f>
        <v>-</v>
      </c>
      <c r="BL113" s="20"/>
      <c r="BM113" s="20"/>
      <c r="BN113" s="20"/>
      <c r="BO113" s="48" t="str">
        <f>IFERROR(VLOOKUP("2P03-02-00-03",pareto,18,FALSE),"-")</f>
        <v>-</v>
      </c>
      <c r="BP113" s="40" t="str">
        <f>IFERROR(VLOOKUP("2P04-01-00-03",pareto,18,FALSE),"-")</f>
        <v>-</v>
      </c>
      <c r="BQ113" s="20"/>
      <c r="BR113" s="20"/>
      <c r="BS113" s="20"/>
      <c r="BT113" s="51" t="str">
        <f>IFERROR(VLOOKUP("2P04-02-00-03",pareto,18,FALSE),"-")</f>
        <v>-</v>
      </c>
      <c r="BU113" s="40" t="str">
        <f>IFERROR(VLOOKUP("2P05-01-00-03",pareto,18,FALSE),"-")</f>
        <v>-</v>
      </c>
      <c r="BV113" s="20"/>
      <c r="BW113" s="20"/>
      <c r="BX113" s="20"/>
      <c r="BY113" s="48" t="str">
        <f>IFERROR(VLOOKUP("2P05-02-00-03",pareto,18,FALSE),"-")</f>
        <v>-</v>
      </c>
      <c r="BZ113" s="40" t="str">
        <f>IFERROR(VLOOKUP("2P06-01-00-03",pareto,18,FALSE),"-")</f>
        <v>-</v>
      </c>
      <c r="CA113" s="20"/>
      <c r="CB113" s="20"/>
      <c r="CC113" s="20"/>
      <c r="CD113" s="48" t="str">
        <f>IFERROR(VLOOKUP("2P06-02-00-03",pareto,18,FALSE),"-")</f>
        <v>-</v>
      </c>
      <c r="CE113" s="40" t="str">
        <f>IFERROR(VLOOKUP("2P07-01-00-03",pareto,18,FALSE),"-")</f>
        <v>-</v>
      </c>
      <c r="CF113" s="20"/>
      <c r="CG113" s="20"/>
      <c r="CH113" s="20"/>
      <c r="CI113" s="48" t="str">
        <f>IFERROR(VLOOKUP("2P07-02-00-03",pareto,18,FALSE),"-")</f>
        <v>-</v>
      </c>
      <c r="CJ113" s="40" t="str">
        <f>IFERROR(VLOOKUP("2P08-01-00-03",pareto,18,FALSE),"-")</f>
        <v>-</v>
      </c>
      <c r="CK113" s="20"/>
      <c r="CL113" s="20"/>
      <c r="CM113" s="20"/>
      <c r="CN113" s="48" t="str">
        <f>IFERROR(VLOOKUP("2P08-02-01-03",pareto,18,FALSE),"-")</f>
        <v>-</v>
      </c>
      <c r="CO113" s="40" t="str">
        <f>IFERROR(VLOOKUP("2P09-01-01-03",pareto,18,FALSE),"-")</f>
        <v>-</v>
      </c>
      <c r="CP113" s="20"/>
      <c r="CQ113" s="20"/>
      <c r="CR113" s="20"/>
      <c r="CS113" s="21"/>
      <c r="CT113" s="273"/>
      <c r="CU113" s="273"/>
      <c r="CV113" s="273"/>
      <c r="CW113" s="273"/>
      <c r="CX113" s="273"/>
      <c r="CY113" s="273"/>
      <c r="CZ113" s="273"/>
      <c r="DA113" s="273"/>
      <c r="DB113" s="273"/>
      <c r="DC113" s="273"/>
      <c r="DD113" s="273"/>
      <c r="DE113" s="273"/>
      <c r="DF113" s="273"/>
      <c r="DG113" s="273"/>
      <c r="DH113" s="273"/>
      <c r="DI113" s="273"/>
      <c r="DJ113" s="273"/>
      <c r="DK113" s="273"/>
      <c r="DL113" s="273"/>
      <c r="DM113" s="273"/>
      <c r="DN113" s="273"/>
      <c r="DO113" s="273"/>
      <c r="DP113" s="273"/>
      <c r="DQ113" s="273"/>
      <c r="DR113" s="273"/>
      <c r="DS113" s="273"/>
      <c r="DT113" s="273"/>
      <c r="DU113" s="273"/>
      <c r="DV113" s="273"/>
      <c r="DW113" s="273"/>
      <c r="DX113" s="273"/>
      <c r="DY113" s="273"/>
      <c r="DZ113" s="273"/>
      <c r="EA113" s="273"/>
      <c r="EB113" s="273"/>
      <c r="EC113" s="273"/>
      <c r="ED113" s="273"/>
      <c r="EE113" s="273"/>
      <c r="EF113" s="273"/>
      <c r="EG113" s="273"/>
      <c r="EH113" s="273"/>
      <c r="EI113" s="273"/>
      <c r="EJ113" s="273"/>
      <c r="EK113" s="273"/>
      <c r="EL113" s="273"/>
      <c r="EM113" s="273"/>
      <c r="EN113" s="273"/>
      <c r="EO113" s="273"/>
      <c r="EP113" s="40" t="str">
        <f>IFERROR(VLOOKUP("4P01-01-00-03",pareto,18,FALSE),"-")</f>
        <v>-</v>
      </c>
      <c r="EQ113" s="20"/>
      <c r="ER113" s="20"/>
      <c r="ES113" s="20"/>
      <c r="ET113" s="48" t="str">
        <f>IFERROR(VLOOKUP("4P01-02-00-03",pareto,18,FALSE),"-")</f>
        <v>-</v>
      </c>
      <c r="EU113" s="40" t="str">
        <f>IFERROR(VLOOKUP("4P02-01-00-03",pareto,18,FALSE),"-")</f>
        <v>-</v>
      </c>
      <c r="EV113" s="20"/>
      <c r="EW113" s="20"/>
      <c r="EX113" s="20"/>
      <c r="EY113" s="48" t="str">
        <f>IFERROR(VLOOKUP("4P02-02-00-03",pareto,18,FALSE),"-")</f>
        <v>-</v>
      </c>
      <c r="EZ113" s="40" t="str">
        <f>IFERROR(VLOOKUP("4P03-01-00-03",pareto,18,FALSE),"-")</f>
        <v>-</v>
      </c>
      <c r="FA113" s="20"/>
      <c r="FB113" s="20"/>
      <c r="FC113" s="20"/>
      <c r="FD113" s="48" t="str">
        <f>IFERROR(VLOOKUP("4P03-02-00-03",pareto,18,FALSE),"-")</f>
        <v>-</v>
      </c>
      <c r="FE113" s="40" t="str">
        <f>IFERROR(VLOOKUP("4P04-01-00-03",pareto,18,FALSE),"-")</f>
        <v>-</v>
      </c>
      <c r="FF113" s="20"/>
      <c r="FG113" s="20"/>
      <c r="FH113" s="20"/>
      <c r="FI113" s="48" t="str">
        <f>IFERROR(VLOOKUP("4P04-02-00-03",pareto,18,FALSE),"-")</f>
        <v>-</v>
      </c>
      <c r="FJ113" s="40" t="str">
        <f>IFERROR(VLOOKUP("4P05-01-00-03",pareto,18,FALSE),"-")</f>
        <v>-</v>
      </c>
      <c r="FK113" s="20"/>
      <c r="FL113" s="20"/>
      <c r="FM113" s="20"/>
      <c r="FN113" s="48" t="str">
        <f>IFERROR(VLOOKUP("4P05-02-00-03",pareto,18,FALSE),"-")</f>
        <v>-</v>
      </c>
      <c r="FO113" s="40" t="str">
        <f>IFERROR(VLOOKUP("4P06-01-00-03",pareto,18,FALSE),"-")</f>
        <v>-</v>
      </c>
      <c r="FP113" s="20"/>
      <c r="FQ113" s="20"/>
      <c r="FR113" s="20"/>
      <c r="FS113" s="48" t="str">
        <f>IFERROR(VLOOKUP("4P06-02-00-03",pareto,18,FALSE),"-")</f>
        <v>-</v>
      </c>
      <c r="FT113" s="40" t="str">
        <f>IFERROR(VLOOKUP("4P07-01-00-03",pareto,18,FALSE),"-")</f>
        <v>-</v>
      </c>
      <c r="FU113" s="20"/>
      <c r="FV113" s="20"/>
      <c r="FW113" s="20"/>
      <c r="FX113" s="48" t="str">
        <f>IFERROR(VLOOKUP("4P07-02-00-03",pareto,18,FALSE),"-")</f>
        <v>-</v>
      </c>
      <c r="FY113" s="40" t="str">
        <f>IFERROR(VLOOKUP("4P08-01-00-03",pareto,18,FALSE),"-")</f>
        <v>-</v>
      </c>
      <c r="FZ113" s="20"/>
      <c r="GA113" s="20"/>
      <c r="GB113" s="20"/>
      <c r="GC113" s="48" t="str">
        <f>IFERROR(VLOOKUP("4P08-02-00-03",pareto,18,FALSE),"-")</f>
        <v>-</v>
      </c>
      <c r="GD113" s="40" t="str">
        <f>IFERROR(VLOOKUP("4P09-01-00-03",pareto,18,FALSE),"-")</f>
        <v>-</v>
      </c>
      <c r="GE113" s="20"/>
      <c r="GF113" s="20"/>
      <c r="GG113" s="20"/>
      <c r="GH113" s="48" t="str">
        <f>IFERROR(VLOOKUP("4P09-02-00-03",pareto,18,FALSE),"-")</f>
        <v>-</v>
      </c>
    </row>
    <row r="114" spans="3:190" ht="12" customHeight="1" thickTop="1" thickBot="1" x14ac:dyDescent="0.3">
      <c r="C114" s="270"/>
      <c r="D114" s="270"/>
      <c r="E114" s="270"/>
      <c r="F114" s="270"/>
      <c r="G114" s="270"/>
      <c r="H114" s="270"/>
      <c r="I114" s="270"/>
      <c r="J114" s="270"/>
      <c r="K114" s="270"/>
      <c r="L114" s="270"/>
      <c r="M114" s="270"/>
      <c r="N114" s="270"/>
      <c r="O114" s="270"/>
      <c r="P114" s="270"/>
      <c r="Q114" s="270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32"/>
      <c r="AX114" s="9"/>
      <c r="AY114" s="9"/>
      <c r="AZ114" s="36"/>
      <c r="BA114" s="127"/>
      <c r="BB114" s="20"/>
      <c r="BC114" s="20"/>
      <c r="BD114" s="20"/>
      <c r="BE114" s="110" t="str">
        <f>IFERROR(VLOOKUP("2P01-01-00-02",pareto,18,FALSE),"-")</f>
        <v>-</v>
      </c>
      <c r="BF114" s="43" t="str">
        <f>IFERROR(VLOOKUP("2P02-01-00-02",pareto,18,FALSE),"-")</f>
        <v>-</v>
      </c>
      <c r="BG114" s="20"/>
      <c r="BH114" s="20"/>
      <c r="BI114" s="20"/>
      <c r="BJ114" s="49" t="e">
        <f>VLOOKUP("2P02-02-00-03",pareto,18,FALSE)</f>
        <v>#N/A</v>
      </c>
      <c r="BK114" s="43" t="str">
        <f>IFERROR(VLOOKUP("2P03-01-00-02",pareto,18,FALSE),"-")</f>
        <v>-</v>
      </c>
      <c r="BL114" s="20"/>
      <c r="BM114" s="20"/>
      <c r="BN114" s="20"/>
      <c r="BO114" s="118"/>
      <c r="BP114" s="43" t="str">
        <f>IFERROR(VLOOKUP("2P04-01-00-02",pareto,18,FALSE),"-")</f>
        <v>-</v>
      </c>
      <c r="BQ114" s="20"/>
      <c r="BR114" s="20"/>
      <c r="BS114" s="20"/>
      <c r="BT114" s="58" t="str">
        <f>IFERROR(VLOOKUP("2P04-02-00-02",pareto,18,FALSE),"-")</f>
        <v>-</v>
      </c>
      <c r="BU114" s="43" t="str">
        <f>IFERROR(VLOOKUP("2P05-01-00-02",pareto,18,FALSE),"-")</f>
        <v>-</v>
      </c>
      <c r="BV114" s="20"/>
      <c r="BW114" s="20"/>
      <c r="BX114" s="20"/>
      <c r="BY114" s="54" t="str">
        <f>IFERROR(VLOOKUP("2P05-02-00-02",pareto,18,FALSE),"-")</f>
        <v>-</v>
      </c>
      <c r="BZ114" s="43" t="str">
        <f>IFERROR(VLOOKUP("2P06-01-00-02",pareto,18,FALSE),"-")</f>
        <v>-</v>
      </c>
      <c r="CA114" s="20"/>
      <c r="CB114" s="20"/>
      <c r="CC114" s="20"/>
      <c r="CD114" s="54" t="str">
        <f>IFERROR(VLOOKUP("2P06-02-00-02",pareto,18,FALSE),"-")</f>
        <v>-</v>
      </c>
      <c r="CE114" s="67"/>
      <c r="CF114" s="20"/>
      <c r="CG114" s="20"/>
      <c r="CH114" s="20"/>
      <c r="CI114" s="54" t="str">
        <f>IFERROR(VLOOKUP("2P07-02-00-02",pareto,18,FALSE),"-")</f>
        <v>-</v>
      </c>
      <c r="CJ114" s="43" t="str">
        <f>IFERROR(VLOOKUP("2P08-01-00-02",pareto,18,FALSE),"-")</f>
        <v>-</v>
      </c>
      <c r="CK114" s="20"/>
      <c r="CL114" s="20"/>
      <c r="CM114" s="20"/>
      <c r="CN114" s="54" t="str">
        <f>IFERROR(VLOOKUP("2P08-02-01-02",pareto,18,FALSE),"-")</f>
        <v>-</v>
      </c>
      <c r="CO114" s="43" t="str">
        <f>IFERROR(VLOOKUP("2P09-01-01-02",pareto,18,FALSE),"-")</f>
        <v>-</v>
      </c>
      <c r="CP114" s="20"/>
      <c r="CQ114" s="20"/>
      <c r="CR114" s="20"/>
      <c r="CS114" s="21"/>
      <c r="CT114" s="273"/>
      <c r="CU114" s="273"/>
      <c r="CV114" s="273"/>
      <c r="CW114" s="273"/>
      <c r="CX114" s="273"/>
      <c r="CY114" s="273"/>
      <c r="CZ114" s="273"/>
      <c r="DA114" s="273"/>
      <c r="DB114" s="273"/>
      <c r="DC114" s="273"/>
      <c r="DD114" s="273"/>
      <c r="DE114" s="273"/>
      <c r="DF114" s="273"/>
      <c r="DG114" s="273"/>
      <c r="DH114" s="273"/>
      <c r="DI114" s="273"/>
      <c r="DJ114" s="273"/>
      <c r="DK114" s="273"/>
      <c r="DL114" s="273"/>
      <c r="DM114" s="273"/>
      <c r="DN114" s="273"/>
      <c r="DO114" s="273"/>
      <c r="DP114" s="273"/>
      <c r="DQ114" s="273"/>
      <c r="DR114" s="273"/>
      <c r="DS114" s="273"/>
      <c r="DT114" s="273"/>
      <c r="DU114" s="273"/>
      <c r="DV114" s="273"/>
      <c r="DW114" s="273"/>
      <c r="DX114" s="273"/>
      <c r="DY114" s="273"/>
      <c r="DZ114" s="273"/>
      <c r="EA114" s="273"/>
      <c r="EB114" s="273"/>
      <c r="EC114" s="273"/>
      <c r="ED114" s="273"/>
      <c r="EE114" s="273"/>
      <c r="EF114" s="273"/>
      <c r="EG114" s="273"/>
      <c r="EH114" s="273"/>
      <c r="EI114" s="273"/>
      <c r="EJ114" s="273"/>
      <c r="EK114" s="273"/>
      <c r="EL114" s="273"/>
      <c r="EM114" s="273"/>
      <c r="EN114" s="273"/>
      <c r="EO114" s="273"/>
      <c r="EP114" s="43" t="str">
        <f>IFERROR(VLOOKUP("4P01-01-00-02",pareto,18,FALSE),"-")</f>
        <v>-</v>
      </c>
      <c r="EQ114" s="20"/>
      <c r="ER114" s="20"/>
      <c r="ES114" s="20"/>
      <c r="ET114" s="54" t="str">
        <f>IFERROR(VLOOKUP("4P01-02-00-02",pareto,18,FALSE),"-")</f>
        <v>-</v>
      </c>
      <c r="EU114" s="43" t="str">
        <f>IFERROR(VLOOKUP("4P02-01-00-02",pareto,18,FALSE),"-")</f>
        <v>-</v>
      </c>
      <c r="EV114" s="20"/>
      <c r="EW114" s="20"/>
      <c r="EX114" s="20"/>
      <c r="EY114" s="54" t="str">
        <f>IFERROR(VLOOKUP("4P02-02-00-02",pareto,18,FALSE),"-")</f>
        <v>-</v>
      </c>
      <c r="EZ114" s="43" t="str">
        <f>IFERROR(VLOOKUP("4P03-01-00-02",pareto,18,FALSE),"-")</f>
        <v>-</v>
      </c>
      <c r="FA114" s="20"/>
      <c r="FB114" s="20"/>
      <c r="FC114" s="20"/>
      <c r="FD114" s="74"/>
      <c r="FE114" s="43" t="str">
        <f>IFERROR(VLOOKUP("4P04-01-00-02",pareto,18,FALSE),"-")</f>
        <v>-</v>
      </c>
      <c r="FF114" s="20"/>
      <c r="FG114" s="20"/>
      <c r="FH114" s="20"/>
      <c r="FI114" s="54" t="str">
        <f>IFERROR(VLOOKUP("4P04-02-00-02",pareto,18,FALSE),"-")</f>
        <v>-</v>
      </c>
      <c r="FJ114" s="43" t="str">
        <f>IFERROR(VLOOKUP("4P05-01-00-02",pareto,18,FALSE),"-")</f>
        <v>-</v>
      </c>
      <c r="FK114" s="20"/>
      <c r="FL114" s="20"/>
      <c r="FM114" s="20"/>
      <c r="FN114" s="54" t="str">
        <f>IFERROR(VLOOKUP("4P05-02-00-02",pareto,18,FALSE),"-")</f>
        <v>-</v>
      </c>
      <c r="FO114" s="43" t="str">
        <f>IFERROR(VLOOKUP("4P06-01-00-02",pareto,18,FALSE),"-")</f>
        <v>-</v>
      </c>
      <c r="FP114" s="20"/>
      <c r="FQ114" s="20"/>
      <c r="FR114" s="20"/>
      <c r="FS114" s="54" t="str">
        <f>IFERROR(VLOOKUP("4P06-02-00-02",pareto,18,FALSE),"-")</f>
        <v>-</v>
      </c>
      <c r="FT114" s="67"/>
      <c r="FU114" s="20"/>
      <c r="FV114" s="20"/>
      <c r="FW114" s="20"/>
      <c r="FX114" s="54" t="str">
        <f>IFERROR(VLOOKUP("4P07-02-00-02",pareto,18,FALSE),"-")</f>
        <v>-</v>
      </c>
      <c r="FY114" s="43" t="str">
        <f>IFERROR(VLOOKUP("4P08-01-00-02",pareto,18,FALSE),"-")</f>
        <v>-</v>
      </c>
      <c r="FZ114" s="20"/>
      <c r="GA114" s="20"/>
      <c r="GB114" s="20"/>
      <c r="GC114" s="54" t="str">
        <f>IFERROR(VLOOKUP("4P08-02-00-02",pareto,18,FALSE),"-")</f>
        <v>-</v>
      </c>
      <c r="GD114" s="43" t="str">
        <f>IFERROR(VLOOKUP("4P09-01-00-02",pareto,18,FALSE),"-")</f>
        <v>-</v>
      </c>
      <c r="GE114" s="20"/>
      <c r="GF114" s="20"/>
      <c r="GG114" s="20"/>
      <c r="GH114" s="54" t="str">
        <f>IFERROR(VLOOKUP("4P09-02-00-02",pareto,18,FALSE),"-")</f>
        <v>-</v>
      </c>
    </row>
    <row r="115" spans="3:190" ht="12" customHeight="1" thickTop="1" thickBot="1" x14ac:dyDescent="0.3">
      <c r="C115" s="270"/>
      <c r="D115" s="270"/>
      <c r="E115" s="270"/>
      <c r="F115" s="270"/>
      <c r="G115" s="270"/>
      <c r="H115" s="270"/>
      <c r="I115" s="270"/>
      <c r="J115" s="270"/>
      <c r="K115" s="270"/>
      <c r="L115" s="270"/>
      <c r="M115" s="270"/>
      <c r="N115" s="270"/>
      <c r="O115" s="270"/>
      <c r="P115" s="270"/>
      <c r="Q115" s="270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33"/>
      <c r="AX115" s="9"/>
      <c r="AY115" s="9"/>
      <c r="AZ115" s="39"/>
      <c r="BA115" s="128"/>
      <c r="BB115" s="20"/>
      <c r="BC115" s="20"/>
      <c r="BD115" s="20"/>
      <c r="BE115" s="129"/>
      <c r="BF115" s="42" t="str">
        <f>IFERROR(VLOOKUP("2P02-01-00-01",pareto,18,FALSE),"-")</f>
        <v>-</v>
      </c>
      <c r="BG115" s="20"/>
      <c r="BH115" s="20"/>
      <c r="BI115" s="20"/>
      <c r="BJ115" s="52" t="e">
        <f>VLOOKUP("2P02-02-00-01",pareto,18,FALSE)</f>
        <v>#N/A</v>
      </c>
      <c r="BK115" s="42" t="str">
        <f>IFERROR(VLOOKUP("2P03-01-00-01",pareto,18,FALSE),"-")</f>
        <v>-</v>
      </c>
      <c r="BL115" s="20"/>
      <c r="BM115" s="20"/>
      <c r="BN115" s="20"/>
      <c r="BO115" s="118"/>
      <c r="BP115" s="42" t="str">
        <f>IFERROR(VLOOKUP("2P04-01-00-01",pareto,18,FALSE),"-")</f>
        <v>-</v>
      </c>
      <c r="BQ115" s="20"/>
      <c r="BR115" s="20"/>
      <c r="BS115" s="20"/>
      <c r="BT115" s="52" t="str">
        <f>IFERROR(VLOOKUP("2P04-02-00-01",pareto,18,FALSE),"-")</f>
        <v>-</v>
      </c>
      <c r="BU115" s="42" t="str">
        <f>IFERROR(VLOOKUP("2P05-01-00-01",pareto,18,FALSE),"-")</f>
        <v>-</v>
      </c>
      <c r="BV115" s="20"/>
      <c r="BW115" s="20"/>
      <c r="BX115" s="20"/>
      <c r="BY115" s="52" t="str">
        <f>IFERROR(VLOOKUP("2P05-02-00-01",pareto,18,FALSE),"-")</f>
        <v>-</v>
      </c>
      <c r="BZ115" s="42" t="str">
        <f>IFERROR(VLOOKUP("2P06-01-00-01",pareto,18,FALSE),"-")</f>
        <v>-</v>
      </c>
      <c r="CA115" s="20"/>
      <c r="CB115" s="20"/>
      <c r="CC115" s="20"/>
      <c r="CD115" s="52" t="str">
        <f>IFERROR(VLOOKUP("2P06-02-00-01",pareto,18,FALSE),"-")</f>
        <v>-</v>
      </c>
      <c r="CE115" s="68"/>
      <c r="CF115" s="20"/>
      <c r="CG115" s="20"/>
      <c r="CH115" s="20"/>
      <c r="CI115" s="52" t="str">
        <f>IFERROR(VLOOKUP("2P07-02-00-01",pareto,18,FALSE),"-")</f>
        <v>-</v>
      </c>
      <c r="CJ115" s="42" t="str">
        <f>IFERROR(VLOOKUP("2P08-01-00-01",pareto,18,FALSE),"-")</f>
        <v>-</v>
      </c>
      <c r="CK115" s="20"/>
      <c r="CL115" s="20"/>
      <c r="CM115" s="20"/>
      <c r="CN115" s="52" t="str">
        <f>IFERROR(VLOOKUP("2P08-02-01-01",pareto,18,FALSE),"-")</f>
        <v>-</v>
      </c>
      <c r="CO115" s="42" t="str">
        <f>IFERROR(VLOOKUP("2P09-01-01-01",pareto,18,FALSE),"-")</f>
        <v>-</v>
      </c>
      <c r="CP115" s="20"/>
      <c r="CQ115" s="20"/>
      <c r="CR115" s="20"/>
      <c r="CS115" s="21"/>
      <c r="CT115" s="273"/>
      <c r="CU115" s="273"/>
      <c r="CV115" s="273"/>
      <c r="CW115" s="273"/>
      <c r="CX115" s="273"/>
      <c r="CY115" s="273"/>
      <c r="CZ115" s="273"/>
      <c r="DA115" s="273"/>
      <c r="DB115" s="273"/>
      <c r="DC115" s="273"/>
      <c r="DD115" s="273"/>
      <c r="DE115" s="273"/>
      <c r="DF115" s="273"/>
      <c r="DG115" s="273"/>
      <c r="DH115" s="273"/>
      <c r="DI115" s="273"/>
      <c r="DJ115" s="273"/>
      <c r="DK115" s="273"/>
      <c r="DL115" s="273"/>
      <c r="DM115" s="273"/>
      <c r="DN115" s="273"/>
      <c r="DO115" s="273"/>
      <c r="DP115" s="273"/>
      <c r="DQ115" s="273"/>
      <c r="DR115" s="273"/>
      <c r="DS115" s="273"/>
      <c r="DT115" s="273"/>
      <c r="DU115" s="273"/>
      <c r="DV115" s="273"/>
      <c r="DW115" s="273"/>
      <c r="DX115" s="273"/>
      <c r="DY115" s="273"/>
      <c r="DZ115" s="273"/>
      <c r="EA115" s="273"/>
      <c r="EB115" s="273"/>
      <c r="EC115" s="273"/>
      <c r="ED115" s="273"/>
      <c r="EE115" s="273"/>
      <c r="EF115" s="273"/>
      <c r="EG115" s="273"/>
      <c r="EH115" s="273"/>
      <c r="EI115" s="273"/>
      <c r="EJ115" s="273"/>
      <c r="EK115" s="273"/>
      <c r="EL115" s="273"/>
      <c r="EM115" s="273"/>
      <c r="EN115" s="273"/>
      <c r="EO115" s="273"/>
      <c r="EP115" s="42" t="str">
        <f>IFERROR(VLOOKUP("4P01-01-00-01",pareto,18,FALSE),"-")</f>
        <v>-</v>
      </c>
      <c r="EQ115" s="20"/>
      <c r="ER115" s="20"/>
      <c r="ES115" s="20"/>
      <c r="ET115" s="52" t="str">
        <f>IFERROR(VLOOKUP("4P01-02-00-01",pareto,18,FALSE),"-")</f>
        <v>-</v>
      </c>
      <c r="EU115" s="42" t="str">
        <f>IFERROR(VLOOKUP("4P02-01-00-01",pareto,18,FALSE),"-")</f>
        <v>-</v>
      </c>
      <c r="EV115" s="20"/>
      <c r="EW115" s="20"/>
      <c r="EX115" s="20"/>
      <c r="EY115" s="52" t="str">
        <f>IFERROR(VLOOKUP("4P02-02-00-01",pareto,18,FALSE),"-")</f>
        <v>-</v>
      </c>
      <c r="EZ115" s="42" t="str">
        <f>IFERROR(VLOOKUP("4P03-01-00-01",pareto,18,FALSE),"-")</f>
        <v>-</v>
      </c>
      <c r="FA115" s="20"/>
      <c r="FB115" s="20"/>
      <c r="FC115" s="20"/>
      <c r="FD115" s="76"/>
      <c r="FE115" s="42" t="str">
        <f>IFERROR(VLOOKUP("4P04-01-00-01",pareto,18,FALSE),"-")</f>
        <v>-</v>
      </c>
      <c r="FF115" s="20"/>
      <c r="FG115" s="20"/>
      <c r="FH115" s="20"/>
      <c r="FI115" s="52" t="str">
        <f>IFERROR(VLOOKUP("4P04-02-00-01",pareto,18,FALSE),"-")</f>
        <v>-</v>
      </c>
      <c r="FJ115" s="43" t="str">
        <f>IFERROR(VLOOKUP("4P05-01-00-03",pareto,18,FALSE),"-")</f>
        <v>-</v>
      </c>
      <c r="FK115" s="20"/>
      <c r="FL115" s="20"/>
      <c r="FM115" s="20"/>
      <c r="FN115" s="52" t="str">
        <f>IFERROR(VLOOKUP("4P05-02-00-01",pareto,18,FALSE),"-")</f>
        <v>-</v>
      </c>
      <c r="FO115" s="43" t="str">
        <f>IFERROR(VLOOKUP("4P06-01-00-03",pareto,18,FALSE),"-")</f>
        <v>-</v>
      </c>
      <c r="FP115" s="20"/>
      <c r="FQ115" s="20"/>
      <c r="FR115" s="20"/>
      <c r="FS115" s="52" t="str">
        <f>IFERROR(VLOOKUP("4P06-02-00-01",pareto,18,FALSE),"-")</f>
        <v>-</v>
      </c>
      <c r="FT115" s="67"/>
      <c r="FU115" s="20"/>
      <c r="FV115" s="20"/>
      <c r="FW115" s="20"/>
      <c r="FX115" s="52" t="str">
        <f>IFERROR(VLOOKUP("4P07-02-00-01",pareto,18,FALSE),"-")</f>
        <v>-</v>
      </c>
      <c r="FY115" s="43" t="str">
        <f>IFERROR(VLOOKUP("4P08-01-00-03",pareto,18,FALSE),"-")</f>
        <v>-</v>
      </c>
      <c r="FZ115" s="20"/>
      <c r="GA115" s="20"/>
      <c r="GB115" s="20"/>
      <c r="GC115" s="52" t="str">
        <f>IFERROR(VLOOKUP("4P08-02-00-01",pareto,18,FALSE),"-")</f>
        <v>-</v>
      </c>
      <c r="GD115" s="43" t="str">
        <f>IFERROR(VLOOKUP("4P09-01-00-03",pareto,18,FALSE),"-")</f>
        <v>-</v>
      </c>
      <c r="GE115" s="20"/>
      <c r="GF115" s="20"/>
      <c r="GG115" s="20"/>
      <c r="GH115" s="52" t="str">
        <f>IFERROR(VLOOKUP("4P09-02-00-01",pareto,18,FALSE),"-")</f>
        <v>-</v>
      </c>
    </row>
    <row r="116" spans="3:190" ht="12" customHeight="1" thickTop="1" thickBot="1" x14ac:dyDescent="0.3">
      <c r="C116" s="270"/>
      <c r="D116" s="270"/>
      <c r="E116" s="270"/>
      <c r="F116" s="270"/>
      <c r="G116" s="270"/>
      <c r="H116" s="270"/>
      <c r="I116" s="270"/>
      <c r="J116" s="270"/>
      <c r="K116" s="270"/>
      <c r="L116" s="270"/>
      <c r="M116" s="270"/>
      <c r="N116" s="270"/>
      <c r="O116" s="270"/>
      <c r="P116" s="270"/>
      <c r="Q116" s="270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17"/>
      <c r="BA116" s="19">
        <v>1</v>
      </c>
      <c r="BB116" s="20"/>
      <c r="BC116" s="20"/>
      <c r="BD116" s="20"/>
      <c r="BE116" s="20">
        <v>1</v>
      </c>
      <c r="BF116" s="20">
        <v>2</v>
      </c>
      <c r="BG116" s="20"/>
      <c r="BH116" s="20"/>
      <c r="BI116" s="20"/>
      <c r="BJ116" s="20">
        <v>2</v>
      </c>
      <c r="BK116" s="20">
        <v>3</v>
      </c>
      <c r="BL116" s="20"/>
      <c r="BM116" s="20"/>
      <c r="BN116" s="20"/>
      <c r="BO116" s="20">
        <v>3</v>
      </c>
      <c r="BP116" s="20">
        <v>4</v>
      </c>
      <c r="BQ116" s="20"/>
      <c r="BR116" s="20"/>
      <c r="BS116" s="20"/>
      <c r="BT116" s="20">
        <v>4</v>
      </c>
      <c r="BU116" s="20">
        <v>5</v>
      </c>
      <c r="BV116" s="20"/>
      <c r="BW116" s="20"/>
      <c r="BX116" s="20"/>
      <c r="BY116" s="20">
        <v>5</v>
      </c>
      <c r="BZ116" s="20">
        <v>6</v>
      </c>
      <c r="CA116" s="20"/>
      <c r="CB116" s="20"/>
      <c r="CC116" s="20"/>
      <c r="CD116" s="20">
        <v>6</v>
      </c>
      <c r="CE116" s="20">
        <v>7</v>
      </c>
      <c r="CF116" s="20"/>
      <c r="CG116" s="20"/>
      <c r="CH116" s="64"/>
      <c r="CI116" s="64">
        <v>7</v>
      </c>
      <c r="CJ116" s="64">
        <v>8</v>
      </c>
      <c r="CK116" s="20"/>
      <c r="CL116" s="20"/>
      <c r="CM116" s="20"/>
      <c r="CN116" s="20">
        <v>8</v>
      </c>
      <c r="CO116" s="20">
        <v>9</v>
      </c>
      <c r="CP116" s="20"/>
      <c r="CQ116" s="20"/>
      <c r="CR116" s="20"/>
      <c r="CS116" s="21">
        <v>9</v>
      </c>
      <c r="CT116" s="273"/>
      <c r="CU116" s="273"/>
      <c r="CV116" s="273"/>
      <c r="CW116" s="273"/>
      <c r="CX116" s="273"/>
      <c r="CY116" s="273"/>
      <c r="CZ116" s="273"/>
      <c r="DA116" s="273"/>
      <c r="DB116" s="273"/>
      <c r="DC116" s="273"/>
      <c r="DD116" s="273"/>
      <c r="DE116" s="273"/>
      <c r="DF116" s="273"/>
      <c r="DG116" s="273"/>
      <c r="DH116" s="273"/>
      <c r="DI116" s="273"/>
      <c r="DJ116" s="273"/>
      <c r="DK116" s="273"/>
      <c r="DL116" s="273"/>
      <c r="DM116" s="273"/>
      <c r="DN116" s="273"/>
      <c r="DO116" s="273"/>
      <c r="DP116" s="273"/>
      <c r="DQ116" s="273"/>
      <c r="DR116" s="273"/>
      <c r="DS116" s="273"/>
      <c r="DT116" s="273"/>
      <c r="DU116" s="273"/>
      <c r="DV116" s="273"/>
      <c r="DW116" s="273"/>
      <c r="DX116" s="273"/>
      <c r="DY116" s="273"/>
      <c r="DZ116" s="273"/>
      <c r="EA116" s="273"/>
      <c r="EB116" s="273"/>
      <c r="EC116" s="273"/>
      <c r="ED116" s="273"/>
      <c r="EE116" s="273"/>
      <c r="EF116" s="273"/>
      <c r="EG116" s="273"/>
      <c r="EH116" s="273"/>
      <c r="EI116" s="273"/>
      <c r="EJ116" s="273"/>
      <c r="EK116" s="273"/>
      <c r="EL116" s="273"/>
      <c r="EM116" s="273"/>
      <c r="EN116" s="273"/>
      <c r="EO116" s="273"/>
      <c r="EP116" s="19">
        <v>1</v>
      </c>
      <c r="EQ116" s="20"/>
      <c r="ER116" s="20"/>
      <c r="ES116" s="20"/>
      <c r="ET116" s="20">
        <v>1</v>
      </c>
      <c r="EU116" s="20">
        <v>2</v>
      </c>
      <c r="EV116" s="20"/>
      <c r="EW116" s="20"/>
      <c r="EX116" s="20"/>
      <c r="EY116" s="20">
        <v>2</v>
      </c>
      <c r="EZ116" s="20">
        <v>3</v>
      </c>
      <c r="FA116" s="20"/>
      <c r="FB116" s="20"/>
      <c r="FC116" s="20"/>
      <c r="FD116" s="20">
        <v>3</v>
      </c>
      <c r="FE116" s="20">
        <v>4</v>
      </c>
      <c r="FF116" s="20"/>
      <c r="FG116" s="20"/>
      <c r="FH116" s="20"/>
      <c r="FI116" s="20">
        <v>4</v>
      </c>
      <c r="FJ116" s="20">
        <v>5</v>
      </c>
      <c r="FK116" s="20"/>
      <c r="FL116" s="20"/>
      <c r="FM116" s="20"/>
      <c r="FN116" s="20">
        <v>5</v>
      </c>
      <c r="FO116" s="20">
        <v>6</v>
      </c>
      <c r="FP116" s="20"/>
      <c r="FQ116" s="20"/>
      <c r="FR116" s="20"/>
      <c r="FS116" s="20">
        <v>6</v>
      </c>
      <c r="FT116" s="20">
        <v>7</v>
      </c>
      <c r="FU116" s="20"/>
      <c r="FV116" s="20"/>
      <c r="FW116" s="20"/>
      <c r="FX116" s="20">
        <v>7</v>
      </c>
      <c r="FY116" s="20">
        <v>8</v>
      </c>
      <c r="FZ116" s="20"/>
      <c r="GA116" s="20"/>
      <c r="GB116" s="20"/>
      <c r="GC116" s="20">
        <v>8</v>
      </c>
      <c r="GD116" s="20">
        <v>9</v>
      </c>
      <c r="GE116" s="20"/>
      <c r="GF116" s="20"/>
      <c r="GG116" s="20"/>
      <c r="GH116" s="21">
        <v>9</v>
      </c>
    </row>
    <row r="117" spans="3:190" ht="12" customHeight="1" thickTop="1" thickBot="1" x14ac:dyDescent="0.3">
      <c r="C117" s="270"/>
      <c r="D117" s="270"/>
      <c r="E117" s="270"/>
      <c r="F117" s="270"/>
      <c r="G117" s="270"/>
      <c r="H117" s="270"/>
      <c r="I117" s="270"/>
      <c r="J117" s="270"/>
      <c r="K117" s="270"/>
      <c r="L117" s="270"/>
      <c r="M117" s="270"/>
      <c r="N117" s="270"/>
      <c r="O117" s="270"/>
      <c r="P117" s="270"/>
      <c r="Q117" s="270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17"/>
      <c r="BA117" s="19"/>
      <c r="BB117" s="20"/>
      <c r="BC117" s="20"/>
      <c r="BD117" s="20"/>
      <c r="BE117" s="20"/>
      <c r="BF117" s="20"/>
      <c r="BG117" s="20"/>
      <c r="BH117" s="20"/>
      <c r="BI117" s="20"/>
      <c r="BJ117" s="20"/>
      <c r="BK117" s="20"/>
      <c r="BL117" s="20"/>
      <c r="BM117" s="20"/>
      <c r="BN117" s="20"/>
      <c r="BO117" s="20"/>
      <c r="BP117" s="20"/>
      <c r="BQ117" s="20"/>
      <c r="BR117" s="20"/>
      <c r="BS117" s="20"/>
      <c r="BT117" s="20"/>
      <c r="BU117" s="20"/>
      <c r="BV117" s="20"/>
      <c r="BW117" s="20"/>
      <c r="BX117" s="20"/>
      <c r="BY117" s="20"/>
      <c r="BZ117" s="20"/>
      <c r="CA117" s="20"/>
      <c r="CB117" s="20"/>
      <c r="CC117" s="20"/>
      <c r="CD117" s="20"/>
      <c r="CE117" s="20"/>
      <c r="CF117" s="20"/>
      <c r="CG117" s="20"/>
      <c r="CH117" s="20"/>
      <c r="CI117" s="20"/>
      <c r="CJ117" s="20"/>
      <c r="CK117" s="20"/>
      <c r="CL117" s="20"/>
      <c r="CM117" s="20"/>
      <c r="CN117" s="20"/>
      <c r="CO117" s="20"/>
      <c r="CP117" s="20"/>
      <c r="CQ117" s="20"/>
      <c r="CR117" s="20"/>
      <c r="CS117" s="21"/>
      <c r="CT117" s="273"/>
      <c r="CU117" s="273"/>
      <c r="CV117" s="273"/>
      <c r="CW117" s="273"/>
      <c r="CX117" s="273"/>
      <c r="CY117" s="273"/>
      <c r="CZ117" s="273"/>
      <c r="DA117" s="273"/>
      <c r="DB117" s="273"/>
      <c r="DC117" s="273"/>
      <c r="DD117" s="273"/>
      <c r="DE117" s="273"/>
      <c r="DF117" s="273"/>
      <c r="DG117" s="273"/>
      <c r="DH117" s="273"/>
      <c r="DI117" s="273"/>
      <c r="DJ117" s="273"/>
      <c r="DK117" s="273"/>
      <c r="DL117" s="273"/>
      <c r="DM117" s="273"/>
      <c r="DN117" s="273"/>
      <c r="DO117" s="273"/>
      <c r="DP117" s="273"/>
      <c r="DQ117" s="273"/>
      <c r="DR117" s="273"/>
      <c r="DS117" s="273"/>
      <c r="DT117" s="273"/>
      <c r="DU117" s="273"/>
      <c r="DV117" s="273"/>
      <c r="DW117" s="273"/>
      <c r="DX117" s="273"/>
      <c r="DY117" s="273"/>
      <c r="DZ117" s="273"/>
      <c r="EA117" s="273"/>
      <c r="EB117" s="273"/>
      <c r="EC117" s="273"/>
      <c r="ED117" s="273"/>
      <c r="EE117" s="273"/>
      <c r="EF117" s="273"/>
      <c r="EG117" s="273"/>
      <c r="EH117" s="273"/>
      <c r="EI117" s="273"/>
      <c r="EJ117" s="273"/>
      <c r="EK117" s="273"/>
      <c r="EL117" s="273"/>
      <c r="EM117" s="273"/>
      <c r="EN117" s="273"/>
      <c r="EO117" s="273"/>
      <c r="EP117" s="19"/>
      <c r="EQ117" s="20"/>
      <c r="ER117" s="20"/>
      <c r="ES117" s="20"/>
      <c r="ET117" s="20"/>
      <c r="EU117" s="20"/>
      <c r="EV117" s="20"/>
      <c r="EW117" s="20"/>
      <c r="EX117" s="20"/>
      <c r="EY117" s="20"/>
      <c r="EZ117" s="20"/>
      <c r="FA117" s="20"/>
      <c r="FB117" s="20"/>
      <c r="FC117" s="20"/>
      <c r="FD117" s="20"/>
      <c r="FE117" s="20"/>
      <c r="FF117" s="20"/>
      <c r="FG117" s="20"/>
      <c r="FH117" s="20"/>
      <c r="FI117" s="20"/>
      <c r="FJ117" s="20"/>
      <c r="FK117" s="20"/>
      <c r="FL117" s="20"/>
      <c r="FM117" s="20"/>
      <c r="FN117" s="20"/>
      <c r="FO117" s="20"/>
      <c r="FP117" s="20"/>
      <c r="FQ117" s="20"/>
      <c r="FR117" s="20"/>
      <c r="FS117" s="20"/>
      <c r="FT117" s="20"/>
      <c r="FU117" s="20"/>
      <c r="FV117" s="20"/>
      <c r="FW117" s="20"/>
      <c r="FX117" s="20"/>
      <c r="FY117" s="20"/>
      <c r="FZ117" s="20"/>
      <c r="GA117" s="20"/>
      <c r="GB117" s="20"/>
      <c r="GC117" s="20"/>
      <c r="GD117" s="20"/>
      <c r="GE117" s="20"/>
      <c r="GF117" s="20"/>
      <c r="GG117" s="20"/>
      <c r="GH117" s="21"/>
    </row>
    <row r="118" spans="3:190" ht="12" customHeight="1" thickTop="1" thickBot="1" x14ac:dyDescent="0.3">
      <c r="C118" s="270"/>
      <c r="D118" s="270"/>
      <c r="E118" s="270"/>
      <c r="F118" s="270"/>
      <c r="G118" s="270"/>
      <c r="H118" s="270"/>
      <c r="I118" s="270"/>
      <c r="J118" s="270"/>
      <c r="K118" s="270"/>
      <c r="L118" s="270"/>
      <c r="M118" s="270"/>
      <c r="N118" s="270"/>
      <c r="O118" s="270"/>
      <c r="P118" s="270"/>
      <c r="Q118" s="270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17"/>
      <c r="BA118" s="19"/>
      <c r="BB118" s="20"/>
      <c r="BC118" s="20"/>
      <c r="BD118" s="20"/>
      <c r="BE118" s="20"/>
      <c r="BF118" s="20"/>
      <c r="BG118" s="20"/>
      <c r="BH118" s="20"/>
      <c r="BI118" s="20"/>
      <c r="BJ118" s="20"/>
      <c r="BK118" s="20"/>
      <c r="BL118" s="20"/>
      <c r="BM118" s="20"/>
      <c r="BN118" s="20"/>
      <c r="BO118" s="20"/>
      <c r="BP118" s="20"/>
      <c r="BQ118" s="20"/>
      <c r="BR118" s="20"/>
      <c r="BS118" s="20"/>
      <c r="BT118" s="20"/>
      <c r="BU118" s="20"/>
      <c r="BV118" s="20"/>
      <c r="BW118" s="20"/>
      <c r="BX118" s="20"/>
      <c r="BY118" s="20"/>
      <c r="BZ118" s="20"/>
      <c r="CA118" s="20"/>
      <c r="CB118" s="20"/>
      <c r="CC118" s="20"/>
      <c r="CD118" s="20"/>
      <c r="CE118" s="20"/>
      <c r="CF118" s="20"/>
      <c r="CG118" s="20"/>
      <c r="CH118" s="20"/>
      <c r="CI118" s="20"/>
      <c r="CJ118" s="20"/>
      <c r="CK118" s="20"/>
      <c r="CL118" s="20"/>
      <c r="CM118" s="20"/>
      <c r="CN118" s="20"/>
      <c r="CO118" s="20"/>
      <c r="CP118" s="20"/>
      <c r="CQ118" s="20"/>
      <c r="CR118" s="20"/>
      <c r="CS118" s="21"/>
      <c r="CT118" s="273"/>
      <c r="CU118" s="273"/>
      <c r="CV118" s="273"/>
      <c r="CW118" s="273"/>
      <c r="CX118" s="273"/>
      <c r="CY118" s="273"/>
      <c r="CZ118" s="273"/>
      <c r="DA118" s="273"/>
      <c r="DB118" s="273"/>
      <c r="DC118" s="273"/>
      <c r="DD118" s="273"/>
      <c r="DE118" s="273"/>
      <c r="DF118" s="273"/>
      <c r="DG118" s="273"/>
      <c r="DH118" s="273"/>
      <c r="DI118" s="273"/>
      <c r="DJ118" s="273"/>
      <c r="DK118" s="273"/>
      <c r="DL118" s="273"/>
      <c r="DM118" s="273"/>
      <c r="DN118" s="273"/>
      <c r="DO118" s="273"/>
      <c r="DP118" s="273"/>
      <c r="DQ118" s="273"/>
      <c r="DR118" s="273"/>
      <c r="DS118" s="273"/>
      <c r="DT118" s="273"/>
      <c r="DU118" s="273"/>
      <c r="DV118" s="273"/>
      <c r="DW118" s="273"/>
      <c r="DX118" s="273"/>
      <c r="DY118" s="273"/>
      <c r="DZ118" s="273"/>
      <c r="EA118" s="273"/>
      <c r="EB118" s="273"/>
      <c r="EC118" s="273"/>
      <c r="ED118" s="273"/>
      <c r="EE118" s="273"/>
      <c r="EF118" s="273"/>
      <c r="EG118" s="273"/>
      <c r="EH118" s="273"/>
      <c r="EI118" s="273"/>
      <c r="EJ118" s="273"/>
      <c r="EK118" s="273"/>
      <c r="EL118" s="273"/>
      <c r="EM118" s="273"/>
      <c r="EN118" s="273"/>
      <c r="EO118" s="273"/>
      <c r="EP118" s="19"/>
      <c r="EQ118" s="20"/>
      <c r="ER118" s="20"/>
      <c r="ES118" s="20"/>
      <c r="ET118" s="20"/>
      <c r="EU118" s="20"/>
      <c r="EV118" s="20"/>
      <c r="EW118" s="20"/>
      <c r="EX118" s="20"/>
      <c r="EY118" s="20"/>
      <c r="EZ118" s="20"/>
      <c r="FA118" s="20"/>
      <c r="FB118" s="20"/>
      <c r="FC118" s="20"/>
      <c r="FD118" s="20"/>
      <c r="FE118" s="20"/>
      <c r="FF118" s="20"/>
      <c r="FG118" s="20"/>
      <c r="FH118" s="20"/>
      <c r="FI118" s="20"/>
      <c r="FJ118" s="20"/>
      <c r="FK118" s="20"/>
      <c r="FL118" s="20"/>
      <c r="FM118" s="20"/>
      <c r="FN118" s="20"/>
      <c r="FO118" s="20"/>
      <c r="FP118" s="20"/>
      <c r="FQ118" s="20"/>
      <c r="FR118" s="20"/>
      <c r="FS118" s="20"/>
      <c r="FT118" s="20"/>
      <c r="FU118" s="20"/>
      <c r="FV118" s="20"/>
      <c r="FW118" s="20"/>
      <c r="FX118" s="20"/>
      <c r="FY118" s="20"/>
      <c r="FZ118" s="20"/>
      <c r="GA118" s="20"/>
      <c r="GB118" s="20"/>
      <c r="GC118" s="20"/>
      <c r="GD118" s="20"/>
      <c r="GE118" s="20"/>
      <c r="GF118" s="20"/>
      <c r="GG118" s="20"/>
      <c r="GH118" s="21"/>
    </row>
    <row r="119" spans="3:190" ht="12" customHeight="1" thickBot="1" x14ac:dyDescent="0.3">
      <c r="C119" s="274" t="s">
        <v>81</v>
      </c>
      <c r="D119" s="274"/>
      <c r="E119" s="274"/>
      <c r="F119" s="274"/>
      <c r="G119" s="274"/>
      <c r="H119" s="274"/>
      <c r="I119" s="274"/>
      <c r="J119" s="274"/>
      <c r="K119" s="274"/>
      <c r="L119" s="274"/>
      <c r="M119" s="274"/>
      <c r="N119" s="274"/>
      <c r="O119" s="274"/>
      <c r="P119" s="274"/>
      <c r="Q119" s="274"/>
      <c r="R119" s="274"/>
      <c r="S119" s="274"/>
      <c r="T119" s="274"/>
      <c r="U119" s="274"/>
      <c r="V119" s="274"/>
      <c r="W119" s="274"/>
      <c r="X119" s="274"/>
      <c r="Y119" s="274"/>
      <c r="Z119" s="274"/>
      <c r="AA119" s="274"/>
      <c r="AB119" s="274"/>
      <c r="AC119" s="274"/>
      <c r="AD119" s="274"/>
      <c r="AE119" s="274"/>
      <c r="AF119" s="274"/>
      <c r="AG119" s="274"/>
      <c r="AH119" s="274"/>
      <c r="AI119" s="274"/>
      <c r="AJ119" s="274"/>
      <c r="AK119" s="274"/>
      <c r="AL119" s="274"/>
      <c r="AM119" s="274"/>
      <c r="AN119" s="274"/>
      <c r="AO119" s="274"/>
      <c r="AP119" s="274"/>
      <c r="AQ119" s="274"/>
      <c r="AR119" s="274"/>
      <c r="AS119" s="274"/>
      <c r="AT119" s="274"/>
      <c r="AU119" s="274"/>
      <c r="AV119" s="274"/>
      <c r="AW119" s="274"/>
      <c r="AX119" s="274"/>
      <c r="AY119" s="274"/>
      <c r="AZ119" s="274"/>
      <c r="BA119" s="263"/>
      <c r="BB119" s="263"/>
      <c r="BC119" s="263"/>
      <c r="BD119" s="263"/>
      <c r="BE119" s="263"/>
      <c r="BF119" s="263"/>
      <c r="BG119" s="263"/>
      <c r="BH119" s="263"/>
      <c r="BI119" s="263"/>
      <c r="BJ119" s="263"/>
      <c r="BK119" s="263"/>
      <c r="BL119" s="263"/>
      <c r="BM119" s="263"/>
      <c r="BN119" s="263"/>
      <c r="BO119" s="263"/>
      <c r="BP119" s="263"/>
      <c r="BQ119" s="263"/>
      <c r="BR119" s="263"/>
      <c r="BS119" s="263"/>
      <c r="BT119" s="263"/>
      <c r="BU119" s="263"/>
      <c r="BV119" s="263"/>
      <c r="BW119" s="263"/>
      <c r="BX119" s="263"/>
      <c r="BY119" s="263"/>
      <c r="BZ119" s="263"/>
      <c r="CA119" s="263"/>
      <c r="CB119" s="263"/>
      <c r="CC119" s="263"/>
      <c r="CD119" s="263"/>
      <c r="CE119" s="263"/>
      <c r="CF119" s="263"/>
      <c r="CG119" s="263"/>
      <c r="CH119" s="263"/>
      <c r="CI119" s="263"/>
      <c r="CJ119" s="263"/>
      <c r="CK119" s="263"/>
      <c r="CL119" s="263"/>
      <c r="CM119" s="263"/>
      <c r="CN119" s="263"/>
      <c r="CO119" s="263"/>
      <c r="CP119" s="263"/>
      <c r="CQ119" s="263"/>
      <c r="CR119" s="263"/>
      <c r="CS119" s="263"/>
      <c r="CT119" s="273"/>
      <c r="CU119" s="273"/>
      <c r="CV119" s="273"/>
      <c r="CW119" s="273"/>
      <c r="CX119" s="273"/>
      <c r="CY119" s="273"/>
      <c r="CZ119" s="273"/>
      <c r="DA119" s="273"/>
      <c r="DB119" s="273"/>
      <c r="DC119" s="273"/>
      <c r="DD119" s="273"/>
      <c r="DE119" s="273"/>
      <c r="DF119" s="273"/>
      <c r="DG119" s="273"/>
      <c r="DH119" s="273"/>
      <c r="DI119" s="273"/>
      <c r="DJ119" s="273"/>
      <c r="DK119" s="273"/>
      <c r="DL119" s="273"/>
      <c r="DM119" s="273"/>
      <c r="DN119" s="273"/>
      <c r="DO119" s="273"/>
      <c r="DP119" s="273"/>
      <c r="DQ119" s="273"/>
      <c r="DR119" s="273"/>
      <c r="DS119" s="273"/>
      <c r="DT119" s="273"/>
      <c r="DU119" s="273"/>
      <c r="DV119" s="273"/>
      <c r="DW119" s="273"/>
      <c r="DX119" s="273"/>
      <c r="DY119" s="273"/>
      <c r="DZ119" s="273"/>
      <c r="EA119" s="273"/>
      <c r="EB119" s="273"/>
      <c r="EC119" s="273"/>
      <c r="ED119" s="273"/>
      <c r="EE119" s="273"/>
      <c r="EF119" s="273"/>
      <c r="EG119" s="273"/>
      <c r="EH119" s="273"/>
      <c r="EI119" s="273"/>
      <c r="EJ119" s="273"/>
      <c r="EK119" s="273"/>
      <c r="EL119" s="273"/>
      <c r="EM119" s="273"/>
      <c r="EN119" s="273"/>
      <c r="EO119" s="273"/>
      <c r="EP119" s="264"/>
      <c r="EQ119" s="265"/>
      <c r="ER119" s="265"/>
      <c r="ES119" s="265"/>
      <c r="ET119" s="265"/>
      <c r="EU119" s="265"/>
      <c r="EV119" s="265"/>
      <c r="EW119" s="265"/>
      <c r="EX119" s="265"/>
      <c r="EY119" s="265"/>
      <c r="EZ119" s="265"/>
      <c r="FA119" s="265"/>
      <c r="FB119" s="265"/>
      <c r="FC119" s="265"/>
      <c r="FD119" s="265"/>
      <c r="FE119" s="265"/>
      <c r="FF119" s="265"/>
      <c r="FG119" s="265"/>
      <c r="FH119" s="265"/>
      <c r="FI119" s="265"/>
      <c r="FJ119" s="265"/>
      <c r="FK119" s="265"/>
      <c r="FL119" s="265"/>
      <c r="FM119" s="265"/>
      <c r="FN119" s="265"/>
      <c r="FO119" s="265"/>
      <c r="FP119" s="265"/>
      <c r="FQ119" s="265"/>
      <c r="FR119" s="265"/>
      <c r="FS119" s="265"/>
      <c r="FT119" s="265"/>
      <c r="FU119" s="265"/>
      <c r="FV119" s="265"/>
      <c r="FW119" s="265"/>
      <c r="FX119" s="265"/>
      <c r="FY119" s="265"/>
      <c r="FZ119" s="265"/>
      <c r="GA119" s="265"/>
      <c r="GB119" s="265"/>
      <c r="GC119" s="265"/>
      <c r="GD119" s="265"/>
      <c r="GE119" s="265"/>
      <c r="GF119" s="265"/>
      <c r="GG119" s="265"/>
      <c r="GH119" s="266"/>
    </row>
    <row r="120" spans="3:190" ht="12" customHeight="1" thickTop="1" thickBot="1" x14ac:dyDescent="0.3">
      <c r="C120" s="274"/>
      <c r="D120" s="274"/>
      <c r="E120" s="274"/>
      <c r="F120" s="274"/>
      <c r="G120" s="274"/>
      <c r="H120" s="274"/>
      <c r="I120" s="274"/>
      <c r="J120" s="274"/>
      <c r="K120" s="274"/>
      <c r="L120" s="274"/>
      <c r="M120" s="274"/>
      <c r="N120" s="274"/>
      <c r="O120" s="274"/>
      <c r="P120" s="274"/>
      <c r="Q120" s="274"/>
      <c r="R120" s="274"/>
      <c r="S120" s="274"/>
      <c r="T120" s="274"/>
      <c r="U120" s="274"/>
      <c r="V120" s="274"/>
      <c r="W120" s="274"/>
      <c r="X120" s="274"/>
      <c r="Y120" s="274"/>
      <c r="Z120" s="274"/>
      <c r="AA120" s="274"/>
      <c r="AB120" s="274"/>
      <c r="AC120" s="274"/>
      <c r="AD120" s="274"/>
      <c r="AE120" s="274"/>
      <c r="AF120" s="274"/>
      <c r="AG120" s="274"/>
      <c r="AH120" s="274"/>
      <c r="AI120" s="274"/>
      <c r="AJ120" s="274"/>
      <c r="AK120" s="274"/>
      <c r="AL120" s="274"/>
      <c r="AM120" s="274"/>
      <c r="AN120" s="274"/>
      <c r="AO120" s="274"/>
      <c r="AP120" s="274"/>
      <c r="AQ120" s="274"/>
      <c r="AR120" s="274"/>
      <c r="AS120" s="274"/>
      <c r="AT120" s="274"/>
      <c r="AU120" s="274"/>
      <c r="AV120" s="274"/>
      <c r="AW120" s="274"/>
      <c r="AX120" s="274"/>
      <c r="AY120" s="274"/>
      <c r="AZ120" s="274"/>
      <c r="BA120" s="263"/>
      <c r="BB120" s="263"/>
      <c r="BC120" s="263"/>
      <c r="BD120" s="263"/>
      <c r="BE120" s="263"/>
      <c r="BF120" s="263"/>
      <c r="BG120" s="263"/>
      <c r="BH120" s="263"/>
      <c r="BI120" s="263"/>
      <c r="BJ120" s="263"/>
      <c r="BK120" s="263"/>
      <c r="BL120" s="263"/>
      <c r="BM120" s="263"/>
      <c r="BN120" s="263"/>
      <c r="BO120" s="263"/>
      <c r="BP120" s="263"/>
      <c r="BQ120" s="263"/>
      <c r="BR120" s="263"/>
      <c r="BS120" s="263"/>
      <c r="BT120" s="263"/>
      <c r="BU120" s="263"/>
      <c r="BV120" s="263"/>
      <c r="BW120" s="263"/>
      <c r="BX120" s="263"/>
      <c r="BY120" s="263"/>
      <c r="BZ120" s="263"/>
      <c r="CA120" s="263"/>
      <c r="CB120" s="263"/>
      <c r="CC120" s="263"/>
      <c r="CD120" s="263"/>
      <c r="CE120" s="263"/>
      <c r="CF120" s="263"/>
      <c r="CG120" s="263"/>
      <c r="CH120" s="263"/>
      <c r="CI120" s="263"/>
      <c r="CJ120" s="263"/>
      <c r="CK120" s="263"/>
      <c r="CL120" s="263"/>
      <c r="CM120" s="263"/>
      <c r="CN120" s="263"/>
      <c r="CO120" s="263"/>
      <c r="CP120" s="263"/>
      <c r="CQ120" s="263"/>
      <c r="CR120" s="263"/>
      <c r="CS120" s="263"/>
      <c r="CT120" s="273"/>
      <c r="CU120" s="273"/>
      <c r="CV120" s="273"/>
      <c r="CW120" s="273"/>
      <c r="CX120" s="273"/>
      <c r="CY120" s="273"/>
      <c r="CZ120" s="273"/>
      <c r="DA120" s="273"/>
      <c r="DB120" s="273"/>
      <c r="DC120" s="273"/>
      <c r="DD120" s="273"/>
      <c r="DE120" s="273"/>
      <c r="DF120" s="273"/>
      <c r="DG120" s="273"/>
      <c r="DH120" s="273"/>
      <c r="DI120" s="273"/>
      <c r="DJ120" s="273"/>
      <c r="DK120" s="273"/>
      <c r="DL120" s="273"/>
      <c r="DM120" s="273"/>
      <c r="DN120" s="273"/>
      <c r="DO120" s="273"/>
      <c r="DP120" s="273"/>
      <c r="DQ120" s="273"/>
      <c r="DR120" s="273"/>
      <c r="DS120" s="273"/>
      <c r="DT120" s="273"/>
      <c r="DU120" s="273"/>
      <c r="DV120" s="273"/>
      <c r="DW120" s="273"/>
      <c r="DX120" s="273"/>
      <c r="DY120" s="273"/>
      <c r="DZ120" s="273"/>
      <c r="EA120" s="273"/>
      <c r="EB120" s="273"/>
      <c r="EC120" s="273"/>
      <c r="ED120" s="273"/>
      <c r="EE120" s="273"/>
      <c r="EF120" s="273"/>
      <c r="EG120" s="273"/>
      <c r="EH120" s="273"/>
      <c r="EI120" s="273"/>
      <c r="EJ120" s="273"/>
      <c r="EK120" s="273"/>
      <c r="EL120" s="273"/>
      <c r="EM120" s="273"/>
      <c r="EN120" s="273"/>
      <c r="EO120" s="273"/>
      <c r="EP120" s="264"/>
      <c r="EQ120" s="265"/>
      <c r="ER120" s="265"/>
      <c r="ES120" s="265"/>
      <c r="ET120" s="265"/>
      <c r="EU120" s="265"/>
      <c r="EV120" s="265"/>
      <c r="EW120" s="265"/>
      <c r="EX120" s="265"/>
      <c r="EY120" s="265"/>
      <c r="EZ120" s="265"/>
      <c r="FA120" s="265"/>
      <c r="FB120" s="265"/>
      <c r="FC120" s="265"/>
      <c r="FD120" s="265"/>
      <c r="FE120" s="265"/>
      <c r="FF120" s="265"/>
      <c r="FG120" s="265"/>
      <c r="FH120" s="265"/>
      <c r="FI120" s="265"/>
      <c r="FJ120" s="265"/>
      <c r="FK120" s="265"/>
      <c r="FL120" s="265"/>
      <c r="FM120" s="265"/>
      <c r="FN120" s="265"/>
      <c r="FO120" s="265"/>
      <c r="FP120" s="265"/>
      <c r="FQ120" s="265"/>
      <c r="FR120" s="265"/>
      <c r="FS120" s="265"/>
      <c r="FT120" s="265"/>
      <c r="FU120" s="265"/>
      <c r="FV120" s="265"/>
      <c r="FW120" s="265"/>
      <c r="FX120" s="265"/>
      <c r="FY120" s="265"/>
      <c r="FZ120" s="265"/>
      <c r="GA120" s="265"/>
      <c r="GB120" s="265"/>
      <c r="GC120" s="265"/>
      <c r="GD120" s="265"/>
      <c r="GE120" s="265"/>
      <c r="GF120" s="265"/>
      <c r="GG120" s="265"/>
      <c r="GH120" s="266"/>
    </row>
    <row r="121" spans="3:190" ht="12" customHeight="1" thickTop="1" thickBot="1" x14ac:dyDescent="0.3">
      <c r="C121" s="274"/>
      <c r="D121" s="274"/>
      <c r="E121" s="274"/>
      <c r="F121" s="274"/>
      <c r="G121" s="274"/>
      <c r="H121" s="274"/>
      <c r="I121" s="274"/>
      <c r="J121" s="274"/>
      <c r="K121" s="274"/>
      <c r="L121" s="274"/>
      <c r="M121" s="274"/>
      <c r="N121" s="274"/>
      <c r="O121" s="274"/>
      <c r="P121" s="274"/>
      <c r="Q121" s="274"/>
      <c r="R121" s="274"/>
      <c r="S121" s="274"/>
      <c r="T121" s="274"/>
      <c r="U121" s="274"/>
      <c r="V121" s="274"/>
      <c r="W121" s="274"/>
      <c r="X121" s="274"/>
      <c r="Y121" s="274"/>
      <c r="Z121" s="274"/>
      <c r="AA121" s="274"/>
      <c r="AB121" s="274"/>
      <c r="AC121" s="274"/>
      <c r="AD121" s="274"/>
      <c r="AE121" s="274"/>
      <c r="AF121" s="274"/>
      <c r="AG121" s="274"/>
      <c r="AH121" s="274"/>
      <c r="AI121" s="274"/>
      <c r="AJ121" s="274"/>
      <c r="AK121" s="274"/>
      <c r="AL121" s="274"/>
      <c r="AM121" s="274"/>
      <c r="AN121" s="274"/>
      <c r="AO121" s="274"/>
      <c r="AP121" s="274"/>
      <c r="AQ121" s="274"/>
      <c r="AR121" s="274"/>
      <c r="AS121" s="274"/>
      <c r="AT121" s="274"/>
      <c r="AU121" s="274"/>
      <c r="AV121" s="274"/>
      <c r="AW121" s="274"/>
      <c r="AX121" s="274"/>
      <c r="AY121" s="274"/>
      <c r="AZ121" s="274"/>
      <c r="BA121" s="263"/>
      <c r="BB121" s="263"/>
      <c r="BC121" s="263"/>
      <c r="BD121" s="263"/>
      <c r="BE121" s="263"/>
      <c r="BF121" s="263"/>
      <c r="BG121" s="263"/>
      <c r="BH121" s="263"/>
      <c r="BI121" s="263"/>
      <c r="BJ121" s="263"/>
      <c r="BK121" s="263"/>
      <c r="BL121" s="263"/>
      <c r="BM121" s="263"/>
      <c r="BN121" s="263"/>
      <c r="BO121" s="263"/>
      <c r="BP121" s="263"/>
      <c r="BQ121" s="263"/>
      <c r="BR121" s="263"/>
      <c r="BS121" s="263"/>
      <c r="BT121" s="263"/>
      <c r="BU121" s="263"/>
      <c r="BV121" s="263"/>
      <c r="BW121" s="263"/>
      <c r="BX121" s="263"/>
      <c r="BY121" s="263"/>
      <c r="BZ121" s="263"/>
      <c r="CA121" s="263"/>
      <c r="CB121" s="263"/>
      <c r="CC121" s="263"/>
      <c r="CD121" s="263"/>
      <c r="CE121" s="263"/>
      <c r="CF121" s="263"/>
      <c r="CG121" s="263"/>
      <c r="CH121" s="263"/>
      <c r="CI121" s="263"/>
      <c r="CJ121" s="263"/>
      <c r="CK121" s="263"/>
      <c r="CL121" s="263"/>
      <c r="CM121" s="263"/>
      <c r="CN121" s="263"/>
      <c r="CO121" s="263"/>
      <c r="CP121" s="263"/>
      <c r="CQ121" s="263"/>
      <c r="CR121" s="263"/>
      <c r="CS121" s="263"/>
      <c r="CT121" s="273"/>
      <c r="CU121" s="273"/>
      <c r="CV121" s="273"/>
      <c r="CW121" s="273"/>
      <c r="CX121" s="273"/>
      <c r="CY121" s="273"/>
      <c r="CZ121" s="273"/>
      <c r="DA121" s="273"/>
      <c r="DB121" s="273"/>
      <c r="DC121" s="273"/>
      <c r="DD121" s="273"/>
      <c r="DE121" s="273"/>
      <c r="DF121" s="273"/>
      <c r="DG121" s="273"/>
      <c r="DH121" s="273"/>
      <c r="DI121" s="273"/>
      <c r="DJ121" s="273"/>
      <c r="DK121" s="273"/>
      <c r="DL121" s="273"/>
      <c r="DM121" s="273"/>
      <c r="DN121" s="273"/>
      <c r="DO121" s="273"/>
      <c r="DP121" s="273"/>
      <c r="DQ121" s="273"/>
      <c r="DR121" s="273"/>
      <c r="DS121" s="273"/>
      <c r="DT121" s="273"/>
      <c r="DU121" s="273"/>
      <c r="DV121" s="273"/>
      <c r="DW121" s="273"/>
      <c r="DX121" s="273"/>
      <c r="DY121" s="273"/>
      <c r="DZ121" s="273"/>
      <c r="EA121" s="273"/>
      <c r="EB121" s="273"/>
      <c r="EC121" s="273"/>
      <c r="ED121" s="273"/>
      <c r="EE121" s="273"/>
      <c r="EF121" s="273"/>
      <c r="EG121" s="273"/>
      <c r="EH121" s="273"/>
      <c r="EI121" s="273"/>
      <c r="EJ121" s="273"/>
      <c r="EK121" s="273"/>
      <c r="EL121" s="273"/>
      <c r="EM121" s="273"/>
      <c r="EN121" s="273"/>
      <c r="EO121" s="273"/>
      <c r="EP121" s="264"/>
      <c r="EQ121" s="265"/>
      <c r="ER121" s="265"/>
      <c r="ES121" s="265"/>
      <c r="ET121" s="265"/>
      <c r="EU121" s="265"/>
      <c r="EV121" s="265"/>
      <c r="EW121" s="265"/>
      <c r="EX121" s="265"/>
      <c r="EY121" s="265"/>
      <c r="EZ121" s="265"/>
      <c r="FA121" s="265"/>
      <c r="FB121" s="265"/>
      <c r="FC121" s="265"/>
      <c r="FD121" s="265"/>
      <c r="FE121" s="265"/>
      <c r="FF121" s="265"/>
      <c r="FG121" s="265"/>
      <c r="FH121" s="265"/>
      <c r="FI121" s="265"/>
      <c r="FJ121" s="265"/>
      <c r="FK121" s="265"/>
      <c r="FL121" s="265"/>
      <c r="FM121" s="265"/>
      <c r="FN121" s="265"/>
      <c r="FO121" s="265"/>
      <c r="FP121" s="265"/>
      <c r="FQ121" s="265"/>
      <c r="FR121" s="265"/>
      <c r="FS121" s="265"/>
      <c r="FT121" s="265"/>
      <c r="FU121" s="265"/>
      <c r="FV121" s="265"/>
      <c r="FW121" s="265"/>
      <c r="FX121" s="265"/>
      <c r="FY121" s="265"/>
      <c r="FZ121" s="265"/>
      <c r="GA121" s="265"/>
      <c r="GB121" s="265"/>
      <c r="GC121" s="265"/>
      <c r="GD121" s="265"/>
      <c r="GE121" s="265"/>
      <c r="GF121" s="265"/>
      <c r="GG121" s="265"/>
      <c r="GH121" s="266"/>
    </row>
    <row r="122" spans="3:190" ht="12" customHeight="1" thickTop="1" thickBot="1" x14ac:dyDescent="0.3">
      <c r="C122" s="274"/>
      <c r="D122" s="274"/>
      <c r="E122" s="274"/>
      <c r="F122" s="274"/>
      <c r="G122" s="274"/>
      <c r="H122" s="274"/>
      <c r="I122" s="274"/>
      <c r="J122" s="274"/>
      <c r="K122" s="274"/>
      <c r="L122" s="274"/>
      <c r="M122" s="274"/>
      <c r="N122" s="274"/>
      <c r="O122" s="274"/>
      <c r="P122" s="274"/>
      <c r="Q122" s="274"/>
      <c r="R122" s="274"/>
      <c r="S122" s="274"/>
      <c r="T122" s="274"/>
      <c r="U122" s="274"/>
      <c r="V122" s="274"/>
      <c r="W122" s="274"/>
      <c r="X122" s="274"/>
      <c r="Y122" s="274"/>
      <c r="Z122" s="274"/>
      <c r="AA122" s="274"/>
      <c r="AB122" s="274"/>
      <c r="AC122" s="274"/>
      <c r="AD122" s="274"/>
      <c r="AE122" s="274"/>
      <c r="AF122" s="274"/>
      <c r="AG122" s="274"/>
      <c r="AH122" s="274"/>
      <c r="AI122" s="274"/>
      <c r="AJ122" s="274"/>
      <c r="AK122" s="274"/>
      <c r="AL122" s="274"/>
      <c r="AM122" s="274"/>
      <c r="AN122" s="274"/>
      <c r="AO122" s="274"/>
      <c r="AP122" s="274"/>
      <c r="AQ122" s="274"/>
      <c r="AR122" s="274"/>
      <c r="AS122" s="274"/>
      <c r="AT122" s="274"/>
      <c r="AU122" s="274"/>
      <c r="AV122" s="274"/>
      <c r="AW122" s="274"/>
      <c r="AX122" s="274"/>
      <c r="AY122" s="274"/>
      <c r="AZ122" s="274"/>
      <c r="BA122" s="263"/>
      <c r="BB122" s="263"/>
      <c r="BC122" s="263"/>
      <c r="BD122" s="263"/>
      <c r="BE122" s="263"/>
      <c r="BF122" s="263"/>
      <c r="BG122" s="263"/>
      <c r="BH122" s="263"/>
      <c r="BI122" s="263"/>
      <c r="BJ122" s="263"/>
      <c r="BK122" s="263"/>
      <c r="BL122" s="263"/>
      <c r="BM122" s="263"/>
      <c r="BN122" s="263"/>
      <c r="BO122" s="263"/>
      <c r="BP122" s="263"/>
      <c r="BQ122" s="263"/>
      <c r="BR122" s="263"/>
      <c r="BS122" s="263"/>
      <c r="BT122" s="263"/>
      <c r="BU122" s="263"/>
      <c r="BV122" s="263"/>
      <c r="BW122" s="263"/>
      <c r="BX122" s="263"/>
      <c r="BY122" s="263"/>
      <c r="BZ122" s="263"/>
      <c r="CA122" s="263"/>
      <c r="CB122" s="263"/>
      <c r="CC122" s="263"/>
      <c r="CD122" s="263"/>
      <c r="CE122" s="263"/>
      <c r="CF122" s="263"/>
      <c r="CG122" s="263"/>
      <c r="CH122" s="263"/>
      <c r="CI122" s="263"/>
      <c r="CJ122" s="263"/>
      <c r="CK122" s="263"/>
      <c r="CL122" s="263"/>
      <c r="CM122" s="263"/>
      <c r="CN122" s="263"/>
      <c r="CO122" s="263"/>
      <c r="CP122" s="263"/>
      <c r="CQ122" s="263"/>
      <c r="CR122" s="263"/>
      <c r="CS122" s="263"/>
      <c r="CT122" s="273"/>
      <c r="CU122" s="273"/>
      <c r="CV122" s="273"/>
      <c r="CW122" s="273"/>
      <c r="CX122" s="273"/>
      <c r="CY122" s="273"/>
      <c r="CZ122" s="273"/>
      <c r="DA122" s="273"/>
      <c r="DB122" s="273"/>
      <c r="DC122" s="273"/>
      <c r="DD122" s="273"/>
      <c r="DE122" s="273"/>
      <c r="DF122" s="273"/>
      <c r="DG122" s="273"/>
      <c r="DH122" s="273"/>
      <c r="DI122" s="273"/>
      <c r="DJ122" s="273"/>
      <c r="DK122" s="273"/>
      <c r="DL122" s="273"/>
      <c r="DM122" s="273"/>
      <c r="DN122" s="273"/>
      <c r="DO122" s="273"/>
      <c r="DP122" s="273"/>
      <c r="DQ122" s="273"/>
      <c r="DR122" s="273"/>
      <c r="DS122" s="273"/>
      <c r="DT122" s="273"/>
      <c r="DU122" s="273"/>
      <c r="DV122" s="273"/>
      <c r="DW122" s="273"/>
      <c r="DX122" s="273"/>
      <c r="DY122" s="273"/>
      <c r="DZ122" s="273"/>
      <c r="EA122" s="273"/>
      <c r="EB122" s="273"/>
      <c r="EC122" s="273"/>
      <c r="ED122" s="273"/>
      <c r="EE122" s="273"/>
      <c r="EF122" s="273"/>
      <c r="EG122" s="273"/>
      <c r="EH122" s="273"/>
      <c r="EI122" s="273"/>
      <c r="EJ122" s="273"/>
      <c r="EK122" s="273"/>
      <c r="EL122" s="273"/>
      <c r="EM122" s="273"/>
      <c r="EN122" s="273"/>
      <c r="EO122" s="273"/>
      <c r="EP122" s="264"/>
      <c r="EQ122" s="265"/>
      <c r="ER122" s="265"/>
      <c r="ES122" s="265"/>
      <c r="ET122" s="265"/>
      <c r="EU122" s="265"/>
      <c r="EV122" s="265"/>
      <c r="EW122" s="265"/>
      <c r="EX122" s="265"/>
      <c r="EY122" s="265"/>
      <c r="EZ122" s="265"/>
      <c r="FA122" s="265"/>
      <c r="FB122" s="265"/>
      <c r="FC122" s="265"/>
      <c r="FD122" s="265"/>
      <c r="FE122" s="265"/>
      <c r="FF122" s="265"/>
      <c r="FG122" s="265"/>
      <c r="FH122" s="265"/>
      <c r="FI122" s="265"/>
      <c r="FJ122" s="265"/>
      <c r="FK122" s="265"/>
      <c r="FL122" s="265"/>
      <c r="FM122" s="265"/>
      <c r="FN122" s="265"/>
      <c r="FO122" s="265"/>
      <c r="FP122" s="265"/>
      <c r="FQ122" s="265"/>
      <c r="FR122" s="265"/>
      <c r="FS122" s="265"/>
      <c r="FT122" s="265"/>
      <c r="FU122" s="265"/>
      <c r="FV122" s="265"/>
      <c r="FW122" s="265"/>
      <c r="FX122" s="265"/>
      <c r="FY122" s="265"/>
      <c r="FZ122" s="265"/>
      <c r="GA122" s="265"/>
      <c r="GB122" s="265"/>
      <c r="GC122" s="265"/>
      <c r="GD122" s="265"/>
      <c r="GE122" s="265"/>
      <c r="GF122" s="265"/>
      <c r="GG122" s="265"/>
      <c r="GH122" s="266"/>
    </row>
    <row r="123" spans="3:190" ht="12" customHeight="1" thickTop="1" thickBot="1" x14ac:dyDescent="0.3">
      <c r="C123" s="274"/>
      <c r="D123" s="274"/>
      <c r="E123" s="274"/>
      <c r="F123" s="274"/>
      <c r="G123" s="274"/>
      <c r="H123" s="274"/>
      <c r="I123" s="274"/>
      <c r="J123" s="274"/>
      <c r="K123" s="274"/>
      <c r="L123" s="274"/>
      <c r="M123" s="274"/>
      <c r="N123" s="274"/>
      <c r="O123" s="274"/>
      <c r="P123" s="274"/>
      <c r="Q123" s="274"/>
      <c r="R123" s="274"/>
      <c r="S123" s="274"/>
      <c r="T123" s="274"/>
      <c r="U123" s="274"/>
      <c r="V123" s="274"/>
      <c r="W123" s="274"/>
      <c r="X123" s="274"/>
      <c r="Y123" s="274"/>
      <c r="Z123" s="274"/>
      <c r="AA123" s="274"/>
      <c r="AB123" s="274"/>
      <c r="AC123" s="274"/>
      <c r="AD123" s="274"/>
      <c r="AE123" s="274"/>
      <c r="AF123" s="274"/>
      <c r="AG123" s="274"/>
      <c r="AH123" s="274"/>
      <c r="AI123" s="274"/>
      <c r="AJ123" s="274"/>
      <c r="AK123" s="274"/>
      <c r="AL123" s="274"/>
      <c r="AM123" s="274"/>
      <c r="AN123" s="274"/>
      <c r="AO123" s="274"/>
      <c r="AP123" s="274"/>
      <c r="AQ123" s="274"/>
      <c r="AR123" s="274"/>
      <c r="AS123" s="274"/>
      <c r="AT123" s="274"/>
      <c r="AU123" s="274"/>
      <c r="AV123" s="274"/>
      <c r="AW123" s="274"/>
      <c r="AX123" s="274"/>
      <c r="AY123" s="274"/>
      <c r="AZ123" s="274"/>
      <c r="BA123" s="263"/>
      <c r="BB123" s="263"/>
      <c r="BC123" s="263"/>
      <c r="BD123" s="263"/>
      <c r="BE123" s="263"/>
      <c r="BF123" s="263"/>
      <c r="BG123" s="263"/>
      <c r="BH123" s="263"/>
      <c r="BI123" s="263"/>
      <c r="BJ123" s="263"/>
      <c r="BK123" s="263"/>
      <c r="BL123" s="263"/>
      <c r="BM123" s="263"/>
      <c r="BN123" s="263"/>
      <c r="BO123" s="263"/>
      <c r="BP123" s="263"/>
      <c r="BQ123" s="263"/>
      <c r="BR123" s="263"/>
      <c r="BS123" s="263"/>
      <c r="BT123" s="263"/>
      <c r="BU123" s="263"/>
      <c r="BV123" s="263"/>
      <c r="BW123" s="263"/>
      <c r="BX123" s="263"/>
      <c r="BY123" s="263"/>
      <c r="BZ123" s="263"/>
      <c r="CA123" s="263"/>
      <c r="CB123" s="263"/>
      <c r="CC123" s="263"/>
      <c r="CD123" s="263"/>
      <c r="CE123" s="263"/>
      <c r="CF123" s="263"/>
      <c r="CG123" s="263"/>
      <c r="CH123" s="263"/>
      <c r="CI123" s="263"/>
      <c r="CJ123" s="263"/>
      <c r="CK123" s="263"/>
      <c r="CL123" s="263"/>
      <c r="CM123" s="263"/>
      <c r="CN123" s="263"/>
      <c r="CO123" s="263"/>
      <c r="CP123" s="263"/>
      <c r="CQ123" s="263"/>
      <c r="CR123" s="263"/>
      <c r="CS123" s="263"/>
      <c r="CT123" s="273"/>
      <c r="CU123" s="273"/>
      <c r="CV123" s="273"/>
      <c r="CW123" s="273"/>
      <c r="CX123" s="273"/>
      <c r="CY123" s="273"/>
      <c r="CZ123" s="273"/>
      <c r="DA123" s="273"/>
      <c r="DB123" s="273"/>
      <c r="DC123" s="273"/>
      <c r="DD123" s="273"/>
      <c r="DE123" s="273"/>
      <c r="DF123" s="273"/>
      <c r="DG123" s="273"/>
      <c r="DH123" s="273"/>
      <c r="DI123" s="273"/>
      <c r="DJ123" s="273"/>
      <c r="DK123" s="273"/>
      <c r="DL123" s="273"/>
      <c r="DM123" s="273"/>
      <c r="DN123" s="273"/>
      <c r="DO123" s="273"/>
      <c r="DP123" s="273"/>
      <c r="DQ123" s="273"/>
      <c r="DR123" s="273"/>
      <c r="DS123" s="273"/>
      <c r="DT123" s="273"/>
      <c r="DU123" s="273"/>
      <c r="DV123" s="273"/>
      <c r="DW123" s="273"/>
      <c r="DX123" s="273"/>
      <c r="DY123" s="273"/>
      <c r="DZ123" s="273"/>
      <c r="EA123" s="273"/>
      <c r="EB123" s="273"/>
      <c r="EC123" s="273"/>
      <c r="ED123" s="273"/>
      <c r="EE123" s="273"/>
      <c r="EF123" s="273"/>
      <c r="EG123" s="273"/>
      <c r="EH123" s="273"/>
      <c r="EI123" s="273"/>
      <c r="EJ123" s="273"/>
      <c r="EK123" s="273"/>
      <c r="EL123" s="273"/>
      <c r="EM123" s="273"/>
      <c r="EN123" s="273"/>
      <c r="EO123" s="273"/>
      <c r="EP123" s="264"/>
      <c r="EQ123" s="265"/>
      <c r="ER123" s="265"/>
      <c r="ES123" s="265"/>
      <c r="ET123" s="265"/>
      <c r="EU123" s="265"/>
      <c r="EV123" s="265"/>
      <c r="EW123" s="265"/>
      <c r="EX123" s="265"/>
      <c r="EY123" s="265"/>
      <c r="EZ123" s="265"/>
      <c r="FA123" s="265"/>
      <c r="FB123" s="265"/>
      <c r="FC123" s="265"/>
      <c r="FD123" s="265"/>
      <c r="FE123" s="265"/>
      <c r="FF123" s="265"/>
      <c r="FG123" s="265"/>
      <c r="FH123" s="265"/>
      <c r="FI123" s="265"/>
      <c r="FJ123" s="265"/>
      <c r="FK123" s="265"/>
      <c r="FL123" s="265"/>
      <c r="FM123" s="265"/>
      <c r="FN123" s="265"/>
      <c r="FO123" s="265"/>
      <c r="FP123" s="265"/>
      <c r="FQ123" s="265"/>
      <c r="FR123" s="265"/>
      <c r="FS123" s="265"/>
      <c r="FT123" s="265"/>
      <c r="FU123" s="265"/>
      <c r="FV123" s="265"/>
      <c r="FW123" s="265"/>
      <c r="FX123" s="265"/>
      <c r="FY123" s="265"/>
      <c r="FZ123" s="265"/>
      <c r="GA123" s="265"/>
      <c r="GB123" s="265"/>
      <c r="GC123" s="265"/>
      <c r="GD123" s="265"/>
      <c r="GE123" s="265"/>
      <c r="GF123" s="265"/>
      <c r="GG123" s="265"/>
      <c r="GH123" s="266"/>
    </row>
    <row r="124" spans="3:190" ht="12" customHeight="1" thickTop="1" thickBot="1" x14ac:dyDescent="0.3">
      <c r="C124" s="274"/>
      <c r="D124" s="274"/>
      <c r="E124" s="274"/>
      <c r="F124" s="274"/>
      <c r="G124" s="274"/>
      <c r="H124" s="274"/>
      <c r="I124" s="274"/>
      <c r="J124" s="274"/>
      <c r="K124" s="274"/>
      <c r="L124" s="274"/>
      <c r="M124" s="274"/>
      <c r="N124" s="274"/>
      <c r="O124" s="274"/>
      <c r="P124" s="274"/>
      <c r="Q124" s="274"/>
      <c r="R124" s="274"/>
      <c r="S124" s="274"/>
      <c r="T124" s="274"/>
      <c r="U124" s="274"/>
      <c r="V124" s="274"/>
      <c r="W124" s="274"/>
      <c r="X124" s="274"/>
      <c r="Y124" s="274"/>
      <c r="Z124" s="274"/>
      <c r="AA124" s="274"/>
      <c r="AB124" s="274"/>
      <c r="AC124" s="274"/>
      <c r="AD124" s="274"/>
      <c r="AE124" s="274"/>
      <c r="AF124" s="274"/>
      <c r="AG124" s="274"/>
      <c r="AH124" s="274"/>
      <c r="AI124" s="274"/>
      <c r="AJ124" s="274"/>
      <c r="AK124" s="274"/>
      <c r="AL124" s="274"/>
      <c r="AM124" s="274"/>
      <c r="AN124" s="274"/>
      <c r="AO124" s="274"/>
      <c r="AP124" s="274"/>
      <c r="AQ124" s="274"/>
      <c r="AR124" s="274"/>
      <c r="AS124" s="274"/>
      <c r="AT124" s="274"/>
      <c r="AU124" s="274"/>
      <c r="AV124" s="274"/>
      <c r="AW124" s="274"/>
      <c r="AX124" s="274"/>
      <c r="AY124" s="274"/>
      <c r="AZ124" s="274"/>
      <c r="BA124" s="263"/>
      <c r="BB124" s="263"/>
      <c r="BC124" s="263"/>
      <c r="BD124" s="263"/>
      <c r="BE124" s="263"/>
      <c r="BF124" s="263"/>
      <c r="BG124" s="263"/>
      <c r="BH124" s="263"/>
      <c r="BI124" s="263"/>
      <c r="BJ124" s="263"/>
      <c r="BK124" s="263"/>
      <c r="BL124" s="263"/>
      <c r="BM124" s="263"/>
      <c r="BN124" s="263"/>
      <c r="BO124" s="263"/>
      <c r="BP124" s="263"/>
      <c r="BQ124" s="263"/>
      <c r="BR124" s="263"/>
      <c r="BS124" s="263"/>
      <c r="BT124" s="263"/>
      <c r="BU124" s="263"/>
      <c r="BV124" s="263"/>
      <c r="BW124" s="263"/>
      <c r="BX124" s="263"/>
      <c r="BY124" s="263"/>
      <c r="BZ124" s="263"/>
      <c r="CA124" s="263"/>
      <c r="CB124" s="263"/>
      <c r="CC124" s="263"/>
      <c r="CD124" s="263"/>
      <c r="CE124" s="263"/>
      <c r="CF124" s="263"/>
      <c r="CG124" s="263"/>
      <c r="CH124" s="263"/>
      <c r="CI124" s="263"/>
      <c r="CJ124" s="263"/>
      <c r="CK124" s="263"/>
      <c r="CL124" s="263"/>
      <c r="CM124" s="263"/>
      <c r="CN124" s="263"/>
      <c r="CO124" s="263"/>
      <c r="CP124" s="263"/>
      <c r="CQ124" s="263"/>
      <c r="CR124" s="263"/>
      <c r="CS124" s="263"/>
      <c r="CT124" s="273"/>
      <c r="CU124" s="273"/>
      <c r="CV124" s="273"/>
      <c r="CW124" s="273"/>
      <c r="CX124" s="273"/>
      <c r="CY124" s="273"/>
      <c r="CZ124" s="273"/>
      <c r="DA124" s="273"/>
      <c r="DB124" s="273"/>
      <c r="DC124" s="273"/>
      <c r="DD124" s="273"/>
      <c r="DE124" s="273"/>
      <c r="DF124" s="273"/>
      <c r="DG124" s="273"/>
      <c r="DH124" s="273"/>
      <c r="DI124" s="273"/>
      <c r="DJ124" s="273"/>
      <c r="DK124" s="273"/>
      <c r="DL124" s="273"/>
      <c r="DM124" s="273"/>
      <c r="DN124" s="273"/>
      <c r="DO124" s="273"/>
      <c r="DP124" s="273"/>
      <c r="DQ124" s="273"/>
      <c r="DR124" s="273"/>
      <c r="DS124" s="273"/>
      <c r="DT124" s="273"/>
      <c r="DU124" s="273"/>
      <c r="DV124" s="273"/>
      <c r="DW124" s="273"/>
      <c r="DX124" s="273"/>
      <c r="DY124" s="273"/>
      <c r="DZ124" s="273"/>
      <c r="EA124" s="273"/>
      <c r="EB124" s="273"/>
      <c r="EC124" s="273"/>
      <c r="ED124" s="273"/>
      <c r="EE124" s="273"/>
      <c r="EF124" s="273"/>
      <c r="EG124" s="273"/>
      <c r="EH124" s="273"/>
      <c r="EI124" s="273"/>
      <c r="EJ124" s="273"/>
      <c r="EK124" s="273"/>
      <c r="EL124" s="273"/>
      <c r="EM124" s="273"/>
      <c r="EN124" s="273"/>
      <c r="EO124" s="273"/>
      <c r="EP124" s="264"/>
      <c r="EQ124" s="265"/>
      <c r="ER124" s="265"/>
      <c r="ES124" s="265"/>
      <c r="ET124" s="265"/>
      <c r="EU124" s="265"/>
      <c r="EV124" s="265"/>
      <c r="EW124" s="265"/>
      <c r="EX124" s="265"/>
      <c r="EY124" s="265"/>
      <c r="EZ124" s="265"/>
      <c r="FA124" s="265"/>
      <c r="FB124" s="265"/>
      <c r="FC124" s="265"/>
      <c r="FD124" s="265"/>
      <c r="FE124" s="265"/>
      <c r="FF124" s="265"/>
      <c r="FG124" s="265"/>
      <c r="FH124" s="265"/>
      <c r="FI124" s="265"/>
      <c r="FJ124" s="265"/>
      <c r="FK124" s="265"/>
      <c r="FL124" s="265"/>
      <c r="FM124" s="265"/>
      <c r="FN124" s="265"/>
      <c r="FO124" s="265"/>
      <c r="FP124" s="265"/>
      <c r="FQ124" s="265"/>
      <c r="FR124" s="265"/>
      <c r="FS124" s="265"/>
      <c r="FT124" s="265"/>
      <c r="FU124" s="265"/>
      <c r="FV124" s="265"/>
      <c r="FW124" s="265"/>
      <c r="FX124" s="265"/>
      <c r="FY124" s="265"/>
      <c r="FZ124" s="265"/>
      <c r="GA124" s="265"/>
      <c r="GB124" s="265"/>
      <c r="GC124" s="265"/>
      <c r="GD124" s="265"/>
      <c r="GE124" s="265"/>
      <c r="GF124" s="265"/>
      <c r="GG124" s="265"/>
      <c r="GH124" s="266"/>
    </row>
    <row r="125" spans="3:190" ht="12" customHeight="1" thickTop="1" thickBot="1" x14ac:dyDescent="0.3">
      <c r="C125" s="274"/>
      <c r="D125" s="274"/>
      <c r="E125" s="274"/>
      <c r="F125" s="274"/>
      <c r="G125" s="274"/>
      <c r="H125" s="274"/>
      <c r="I125" s="274"/>
      <c r="J125" s="274"/>
      <c r="K125" s="274"/>
      <c r="L125" s="274"/>
      <c r="M125" s="274"/>
      <c r="N125" s="274"/>
      <c r="O125" s="274"/>
      <c r="P125" s="274"/>
      <c r="Q125" s="274"/>
      <c r="R125" s="274"/>
      <c r="S125" s="274"/>
      <c r="T125" s="274"/>
      <c r="U125" s="274"/>
      <c r="V125" s="274"/>
      <c r="W125" s="274"/>
      <c r="X125" s="274"/>
      <c r="Y125" s="274"/>
      <c r="Z125" s="274"/>
      <c r="AA125" s="274"/>
      <c r="AB125" s="274"/>
      <c r="AC125" s="274"/>
      <c r="AD125" s="274"/>
      <c r="AE125" s="274"/>
      <c r="AF125" s="274"/>
      <c r="AG125" s="274"/>
      <c r="AH125" s="274"/>
      <c r="AI125" s="274"/>
      <c r="AJ125" s="274"/>
      <c r="AK125" s="274"/>
      <c r="AL125" s="274"/>
      <c r="AM125" s="274"/>
      <c r="AN125" s="274"/>
      <c r="AO125" s="274"/>
      <c r="AP125" s="274"/>
      <c r="AQ125" s="274"/>
      <c r="AR125" s="274"/>
      <c r="AS125" s="274"/>
      <c r="AT125" s="274"/>
      <c r="AU125" s="274"/>
      <c r="AV125" s="274"/>
      <c r="AW125" s="274"/>
      <c r="AX125" s="274"/>
      <c r="AY125" s="274"/>
      <c r="AZ125" s="274"/>
      <c r="BA125" s="263"/>
      <c r="BB125" s="263"/>
      <c r="BC125" s="263"/>
      <c r="BD125" s="263"/>
      <c r="BE125" s="263"/>
      <c r="BF125" s="263"/>
      <c r="BG125" s="263"/>
      <c r="BH125" s="263"/>
      <c r="BI125" s="263"/>
      <c r="BJ125" s="263"/>
      <c r="BK125" s="263"/>
      <c r="BL125" s="263"/>
      <c r="BM125" s="263"/>
      <c r="BN125" s="263"/>
      <c r="BO125" s="263"/>
      <c r="BP125" s="263"/>
      <c r="BQ125" s="263"/>
      <c r="BR125" s="263"/>
      <c r="BS125" s="263"/>
      <c r="BT125" s="263"/>
      <c r="BU125" s="263"/>
      <c r="BV125" s="263"/>
      <c r="BW125" s="263"/>
      <c r="BX125" s="263"/>
      <c r="BY125" s="263"/>
      <c r="BZ125" s="263"/>
      <c r="CA125" s="263"/>
      <c r="CB125" s="263"/>
      <c r="CC125" s="263"/>
      <c r="CD125" s="263"/>
      <c r="CE125" s="263"/>
      <c r="CF125" s="263"/>
      <c r="CG125" s="263"/>
      <c r="CH125" s="263"/>
      <c r="CI125" s="263"/>
      <c r="CJ125" s="263"/>
      <c r="CK125" s="263"/>
      <c r="CL125" s="263"/>
      <c r="CM125" s="263"/>
      <c r="CN125" s="263"/>
      <c r="CO125" s="263"/>
      <c r="CP125" s="263"/>
      <c r="CQ125" s="263"/>
      <c r="CR125" s="263"/>
      <c r="CS125" s="263"/>
      <c r="CT125" s="273"/>
      <c r="CU125" s="273"/>
      <c r="CV125" s="273"/>
      <c r="CW125" s="273"/>
      <c r="CX125" s="273"/>
      <c r="CY125" s="273"/>
      <c r="CZ125" s="273"/>
      <c r="DA125" s="273"/>
      <c r="DB125" s="273"/>
      <c r="DC125" s="273"/>
      <c r="DD125" s="273"/>
      <c r="DE125" s="273"/>
      <c r="DF125" s="273"/>
      <c r="DG125" s="273"/>
      <c r="DH125" s="273"/>
      <c r="DI125" s="273"/>
      <c r="DJ125" s="273"/>
      <c r="DK125" s="273"/>
      <c r="DL125" s="273"/>
      <c r="DM125" s="273"/>
      <c r="DN125" s="273"/>
      <c r="DO125" s="273"/>
      <c r="DP125" s="273"/>
      <c r="DQ125" s="273"/>
      <c r="DR125" s="273"/>
      <c r="DS125" s="273"/>
      <c r="DT125" s="273"/>
      <c r="DU125" s="273"/>
      <c r="DV125" s="273"/>
      <c r="DW125" s="273"/>
      <c r="DX125" s="273"/>
      <c r="DY125" s="273"/>
      <c r="DZ125" s="273"/>
      <c r="EA125" s="273"/>
      <c r="EB125" s="273"/>
      <c r="EC125" s="273"/>
      <c r="ED125" s="273"/>
      <c r="EE125" s="273"/>
      <c r="EF125" s="273"/>
      <c r="EG125" s="273"/>
      <c r="EH125" s="273"/>
      <c r="EI125" s="273"/>
      <c r="EJ125" s="273"/>
      <c r="EK125" s="273"/>
      <c r="EL125" s="273"/>
      <c r="EM125" s="273"/>
      <c r="EN125" s="273"/>
      <c r="EO125" s="273"/>
      <c r="EP125" s="264"/>
      <c r="EQ125" s="265"/>
      <c r="ER125" s="265"/>
      <c r="ES125" s="265"/>
      <c r="ET125" s="265"/>
      <c r="EU125" s="265"/>
      <c r="EV125" s="265"/>
      <c r="EW125" s="265"/>
      <c r="EX125" s="265"/>
      <c r="EY125" s="265"/>
      <c r="EZ125" s="265"/>
      <c r="FA125" s="265"/>
      <c r="FB125" s="265"/>
      <c r="FC125" s="265"/>
      <c r="FD125" s="265"/>
      <c r="FE125" s="265"/>
      <c r="FF125" s="265"/>
      <c r="FG125" s="265"/>
      <c r="FH125" s="265"/>
      <c r="FI125" s="265"/>
      <c r="FJ125" s="265"/>
      <c r="FK125" s="265"/>
      <c r="FL125" s="265"/>
      <c r="FM125" s="265"/>
      <c r="FN125" s="265"/>
      <c r="FO125" s="265"/>
      <c r="FP125" s="265"/>
      <c r="FQ125" s="265"/>
      <c r="FR125" s="265"/>
      <c r="FS125" s="265"/>
      <c r="FT125" s="265"/>
      <c r="FU125" s="265"/>
      <c r="FV125" s="265"/>
      <c r="FW125" s="265"/>
      <c r="FX125" s="265"/>
      <c r="FY125" s="265"/>
      <c r="FZ125" s="265"/>
      <c r="GA125" s="265"/>
      <c r="GB125" s="265"/>
      <c r="GC125" s="265"/>
      <c r="GD125" s="265"/>
      <c r="GE125" s="265"/>
      <c r="GF125" s="265"/>
      <c r="GG125" s="265"/>
      <c r="GH125" s="266"/>
    </row>
    <row r="126" spans="3:190" ht="12" customHeight="1" thickTop="1" thickBot="1" x14ac:dyDescent="0.3">
      <c r="C126" s="28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U126" s="29"/>
      <c r="V126" s="29"/>
      <c r="W126" s="29"/>
      <c r="X126" s="29"/>
      <c r="Y126" s="29"/>
      <c r="Z126" s="29"/>
      <c r="AA126" s="29"/>
      <c r="AB126" s="29"/>
      <c r="AC126" s="29"/>
      <c r="AD126" s="29"/>
      <c r="AE126" s="29"/>
      <c r="AF126" s="29"/>
      <c r="AG126" s="29"/>
      <c r="AH126" s="29"/>
      <c r="AI126" s="29"/>
      <c r="AJ126" s="29"/>
      <c r="AK126" s="29"/>
      <c r="AL126" s="29"/>
      <c r="AM126" s="29"/>
      <c r="AN126" s="29"/>
      <c r="AO126" s="29"/>
      <c r="AP126" s="29"/>
      <c r="AQ126" s="29"/>
      <c r="AR126" s="29"/>
      <c r="AS126" s="29"/>
      <c r="AT126" s="29"/>
      <c r="AU126" s="29"/>
      <c r="AV126" s="29"/>
      <c r="AW126" s="29"/>
      <c r="AX126" s="29"/>
      <c r="AY126" s="29"/>
      <c r="AZ126" s="30"/>
      <c r="BA126" s="130"/>
      <c r="BB126" s="131"/>
      <c r="BC126" s="131"/>
      <c r="BD126" s="131"/>
      <c r="BE126" s="131"/>
      <c r="BF126" s="131"/>
      <c r="BG126" s="131"/>
      <c r="BH126" s="131"/>
      <c r="BI126" s="131"/>
      <c r="BJ126" s="131"/>
      <c r="BK126" s="131"/>
      <c r="BL126" s="131"/>
      <c r="BM126" s="131"/>
      <c r="BN126" s="131"/>
      <c r="BO126" s="131"/>
      <c r="BP126" s="131"/>
      <c r="BQ126" s="131"/>
      <c r="BR126" s="131"/>
      <c r="BS126" s="131"/>
      <c r="BT126" s="131"/>
      <c r="BU126" s="131"/>
      <c r="BV126" s="131"/>
      <c r="BW126" s="131"/>
      <c r="BX126" s="131"/>
      <c r="BY126" s="131"/>
      <c r="BZ126" s="131"/>
      <c r="CA126" s="131"/>
      <c r="CB126" s="131"/>
      <c r="CC126" s="131"/>
      <c r="CD126" s="131"/>
      <c r="CE126" s="131"/>
      <c r="CF126" s="131"/>
      <c r="CG126" s="131"/>
      <c r="CH126" s="131"/>
      <c r="CI126" s="131"/>
      <c r="CJ126" s="131"/>
      <c r="CK126" s="131"/>
      <c r="CL126" s="131"/>
      <c r="CM126" s="131"/>
      <c r="CN126" s="131"/>
      <c r="CO126" s="131"/>
      <c r="CP126" s="131"/>
      <c r="CQ126" s="131"/>
      <c r="CR126" s="131"/>
      <c r="CS126" s="132"/>
      <c r="CT126" s="273"/>
      <c r="CU126" s="273"/>
      <c r="CV126" s="273"/>
      <c r="CW126" s="273"/>
      <c r="CX126" s="273"/>
      <c r="CY126" s="273"/>
      <c r="CZ126" s="273"/>
      <c r="DA126" s="273"/>
      <c r="DB126" s="273"/>
      <c r="DC126" s="273"/>
      <c r="DD126" s="273"/>
      <c r="DE126" s="273"/>
      <c r="DF126" s="273"/>
      <c r="DG126" s="273"/>
      <c r="DH126" s="273"/>
      <c r="DI126" s="273"/>
      <c r="DJ126" s="273"/>
      <c r="DK126" s="273"/>
      <c r="DL126" s="273"/>
      <c r="DM126" s="273"/>
      <c r="DN126" s="273"/>
      <c r="DO126" s="273"/>
      <c r="DP126" s="273"/>
      <c r="DQ126" s="273"/>
      <c r="DR126" s="273"/>
      <c r="DS126" s="273"/>
      <c r="DT126" s="273"/>
      <c r="DU126" s="273"/>
      <c r="DV126" s="273"/>
      <c r="DW126" s="273"/>
      <c r="DX126" s="273"/>
      <c r="DY126" s="273"/>
      <c r="DZ126" s="273"/>
      <c r="EA126" s="273"/>
      <c r="EB126" s="273"/>
      <c r="EC126" s="273"/>
      <c r="ED126" s="273"/>
      <c r="EE126" s="273"/>
      <c r="EF126" s="273"/>
      <c r="EG126" s="273"/>
      <c r="EH126" s="273"/>
      <c r="EI126" s="273"/>
      <c r="EJ126" s="273"/>
      <c r="EK126" s="273"/>
      <c r="EL126" s="273"/>
      <c r="EM126" s="273"/>
      <c r="EN126" s="273"/>
      <c r="EO126" s="273"/>
      <c r="EP126" s="130"/>
      <c r="EQ126" s="131"/>
      <c r="ER126" s="131"/>
      <c r="ES126" s="131"/>
      <c r="ET126" s="131"/>
      <c r="EU126" s="131"/>
      <c r="EV126" s="131"/>
      <c r="EW126" s="131"/>
      <c r="EX126" s="131"/>
      <c r="EY126" s="131"/>
      <c r="EZ126" s="131"/>
      <c r="FA126" s="131"/>
      <c r="FB126" s="131"/>
      <c r="FC126" s="131"/>
      <c r="FD126" s="131"/>
      <c r="FE126" s="131"/>
      <c r="FF126" s="131"/>
      <c r="FG126" s="131"/>
      <c r="FH126" s="131"/>
      <c r="FI126" s="131"/>
      <c r="FJ126" s="131"/>
      <c r="FK126" s="131"/>
      <c r="FL126" s="131"/>
      <c r="FM126" s="131"/>
      <c r="FN126" s="131"/>
      <c r="FO126" s="131"/>
      <c r="FP126" s="131"/>
      <c r="FQ126" s="131"/>
      <c r="FR126" s="131"/>
      <c r="FS126" s="131"/>
      <c r="FT126" s="131"/>
      <c r="FU126" s="131"/>
      <c r="FV126" s="131"/>
      <c r="FW126" s="131"/>
      <c r="FX126" s="131"/>
      <c r="FY126" s="131"/>
      <c r="FZ126" s="131"/>
      <c r="GA126" s="131"/>
      <c r="GB126" s="131"/>
      <c r="GC126" s="131"/>
      <c r="GD126" s="131"/>
      <c r="GE126" s="131"/>
      <c r="GF126" s="131"/>
      <c r="GG126" s="131"/>
      <c r="GH126" s="132"/>
    </row>
    <row r="127" spans="3:190" ht="12" customHeight="1" thickTop="1" x14ac:dyDescent="0.25"/>
  </sheetData>
  <mergeCells count="27">
    <mergeCell ref="E11:AA11"/>
    <mergeCell ref="E5:AA5"/>
    <mergeCell ref="AI5:AW5"/>
    <mergeCell ref="E7:AA7"/>
    <mergeCell ref="AI7:AV7"/>
    <mergeCell ref="E9:AA9"/>
    <mergeCell ref="EP119:GH125"/>
    <mergeCell ref="E13:AA13"/>
    <mergeCell ref="O16:AK17"/>
    <mergeCell ref="BS16:CH17"/>
    <mergeCell ref="DK16:EB17"/>
    <mergeCell ref="FC16:FR17"/>
    <mergeCell ref="C18:Q118"/>
    <mergeCell ref="AA18:AZ62"/>
    <mergeCell ref="CT112:EO126"/>
    <mergeCell ref="C119:AZ125"/>
    <mergeCell ref="X87:AH90"/>
    <mergeCell ref="BD10:BP10"/>
    <mergeCell ref="BD11:BP11"/>
    <mergeCell ref="BD12:BP12"/>
    <mergeCell ref="BD5:BM5"/>
    <mergeCell ref="BA119:CS125"/>
    <mergeCell ref="BD4:BP4"/>
    <mergeCell ref="BD6:BP6"/>
    <mergeCell ref="BD7:BP7"/>
    <mergeCell ref="BD8:BP8"/>
    <mergeCell ref="BD9:BP9"/>
  </mergeCells>
  <conditionalFormatting sqref="BA126:GH126 BA119:EP119 BA120:EO125 BF19:BF54 BA18:GH18 BI29:BL54 BI19:BL24 BO19:BO54 BR19:GG20 BR26:EO28 BR24:BS25 CR24:EO25 BR31:EO33 BR29:BS30 CL29:EO30 BR36:EO38 BR34:BS35 CR34:EO35 BR41:DE43 BR39:BS40 CL39:EO40 BR46:EO48 BR44:BS45 CR44:EO45 BR51:EO53 BR49:BS50 CL49:EO50 BR54:BY54 CR54:EO54 BA66:GH118 BA19:BC19 BB55:EO55 BB20:BC54 BA38:BA39 BA56:EO65 BR21:EO23 EQ21:ES65 DH41:EO43 EV21:EX44 EV46:EX65 ET45:EX45 FA21:FC65 FF21:FH65 FK21:FM65 FP21:FR65 FU21:FW65 FZ21:GB65 GE21:GG65">
    <cfRule type="containsText" dxfId="1161" priority="1447" operator="containsText" text="E">
      <formula>NOT(ISERROR(SEARCH("E",BA18)))</formula>
    </cfRule>
    <cfRule type="containsText" dxfId="1160" priority="1448" operator="containsText" text="D">
      <formula>NOT(ISERROR(SEARCH("D",BA18)))</formula>
    </cfRule>
    <cfRule type="containsText" dxfId="1159" priority="1449" operator="containsText" text="A">
      <formula>NOT(ISERROR(SEARCH("A",BA18)))</formula>
    </cfRule>
    <cfRule type="containsText" dxfId="1158" priority="1450" operator="containsText" text="B">
      <formula>NOT(ISERROR(SEARCH("B",BA18)))</formula>
    </cfRule>
    <cfRule type="containsText" dxfId="1157" priority="1491" operator="containsText" text="C">
      <formula>NOT(ISERROR(SEARCH("C",BA18)))</formula>
    </cfRule>
  </conditionalFormatting>
  <conditionalFormatting sqref="EF81 DL81 DO34:DO35 DP37:DP38 DP49:DP50 BA38:BB39">
    <cfRule type="containsText" dxfId="1156" priority="1446" operator="containsText" text="I">
      <formula>NOT(ISERROR(SEARCH("I",BA34)))</formula>
    </cfRule>
  </conditionalFormatting>
  <conditionalFormatting sqref="BD19:BE54">
    <cfRule type="containsText" dxfId="1155" priority="1434" operator="containsText" text="E">
      <formula>NOT(ISERROR(SEARCH("E",BD19)))</formula>
    </cfRule>
    <cfRule type="containsText" dxfId="1154" priority="1435" operator="containsText" text="D">
      <formula>NOT(ISERROR(SEARCH("D",BD19)))</formula>
    </cfRule>
    <cfRule type="containsText" dxfId="1153" priority="1436" operator="containsText" text="A">
      <formula>NOT(ISERROR(SEARCH("A",BD19)))</formula>
    </cfRule>
    <cfRule type="containsText" dxfId="1152" priority="1437" operator="containsText" text="B">
      <formula>NOT(ISERROR(SEARCH("B",BD19)))</formula>
    </cfRule>
    <cfRule type="containsText" dxfId="1151" priority="1438" operator="containsText" text="C">
      <formula>NOT(ISERROR(SEARCH("C",BD19)))</formula>
    </cfRule>
  </conditionalFormatting>
  <conditionalFormatting sqref="BG19:BH54">
    <cfRule type="containsText" dxfId="1150" priority="1414" operator="containsText" text="E">
      <formula>NOT(ISERROR(SEARCH("E",BG19)))</formula>
    </cfRule>
    <cfRule type="containsText" dxfId="1149" priority="1415" operator="containsText" text="D">
      <formula>NOT(ISERROR(SEARCH("D",BG19)))</formula>
    </cfRule>
    <cfRule type="containsText" dxfId="1148" priority="1416" operator="containsText" text="A">
      <formula>NOT(ISERROR(SEARCH("A",BG19)))</formula>
    </cfRule>
    <cfRule type="containsText" dxfId="1147" priority="1417" operator="containsText" text="B">
      <formula>NOT(ISERROR(SEARCH("B",BG19)))</formula>
    </cfRule>
    <cfRule type="containsText" dxfId="1146" priority="1418" operator="containsText" text="C">
      <formula>NOT(ISERROR(SEARCH("C",BG19)))</formula>
    </cfRule>
  </conditionalFormatting>
  <conditionalFormatting sqref="BM19:BN54">
    <cfRule type="containsText" dxfId="1145" priority="1408" operator="containsText" text="E">
      <formula>NOT(ISERROR(SEARCH("E",BM19)))</formula>
    </cfRule>
    <cfRule type="containsText" dxfId="1144" priority="1409" operator="containsText" text="D">
      <formula>NOT(ISERROR(SEARCH("D",BM19)))</formula>
    </cfRule>
    <cfRule type="containsText" dxfId="1143" priority="1410" operator="containsText" text="A">
      <formula>NOT(ISERROR(SEARCH("A",BM19)))</formula>
    </cfRule>
    <cfRule type="containsText" dxfId="1142" priority="1411" operator="containsText" text="B">
      <formula>NOT(ISERROR(SEARCH("B",BM19)))</formula>
    </cfRule>
    <cfRule type="containsText" dxfId="1141" priority="1412" operator="containsText" text="C">
      <formula>NOT(ISERROR(SEARCH("C",BM19)))</formula>
    </cfRule>
  </conditionalFormatting>
  <conditionalFormatting sqref="BP19:BQ54">
    <cfRule type="containsText" dxfId="1140" priority="1402" operator="containsText" text="E">
      <formula>NOT(ISERROR(SEARCH("E",BP19)))</formula>
    </cfRule>
    <cfRule type="containsText" dxfId="1139" priority="1403" operator="containsText" text="D">
      <formula>NOT(ISERROR(SEARCH("D",BP19)))</formula>
    </cfRule>
    <cfRule type="containsText" dxfId="1138" priority="1404" operator="containsText" text="A">
      <formula>NOT(ISERROR(SEARCH("A",BP19)))</formula>
    </cfRule>
    <cfRule type="containsText" dxfId="1137" priority="1405" operator="containsText" text="B">
      <formula>NOT(ISERROR(SEARCH("B",BP19)))</formula>
    </cfRule>
    <cfRule type="containsText" dxfId="1136" priority="1406" operator="containsText" text="C">
      <formula>NOT(ISERROR(SEARCH("C",BP19)))</formula>
    </cfRule>
  </conditionalFormatting>
  <conditionalFormatting sqref="BT24 BW24 BZ24 CC24 CF24 CI24 CL24 CO24">
    <cfRule type="containsText" dxfId="1135" priority="1396" operator="containsText" text="E">
      <formula>NOT(ISERROR(SEARCH("E",BT24)))</formula>
    </cfRule>
    <cfRule type="containsText" dxfId="1134" priority="1397" operator="containsText" text="D">
      <formula>NOT(ISERROR(SEARCH("D",BT24)))</formula>
    </cfRule>
    <cfRule type="containsText" dxfId="1133" priority="1398" operator="containsText" text="A">
      <formula>NOT(ISERROR(SEARCH("A",BT24)))</formula>
    </cfRule>
    <cfRule type="containsText" dxfId="1132" priority="1399" operator="containsText" text="B">
      <formula>NOT(ISERROR(SEARCH("B",BT24)))</formula>
    </cfRule>
    <cfRule type="containsText" dxfId="1131" priority="1400" operator="containsText" text="C">
      <formula>NOT(ISERROR(SEARCH("C",BT24)))</formula>
    </cfRule>
  </conditionalFormatting>
  <conditionalFormatting sqref="BU24 BX24 CA24 CD24 CG24 CJ24 CM24 CP24">
    <cfRule type="containsText" dxfId="1130" priority="1390" operator="containsText" text="E">
      <formula>NOT(ISERROR(SEARCH("E",BU24)))</formula>
    </cfRule>
    <cfRule type="containsText" dxfId="1129" priority="1391" operator="containsText" text="D">
      <formula>NOT(ISERROR(SEARCH("D",BU24)))</formula>
    </cfRule>
    <cfRule type="containsText" dxfId="1128" priority="1392" operator="containsText" text="A">
      <formula>NOT(ISERROR(SEARCH("A",BU24)))</formula>
    </cfRule>
    <cfRule type="containsText" dxfId="1127" priority="1393" operator="containsText" text="B">
      <formula>NOT(ISERROR(SEARCH("B",BU24)))</formula>
    </cfRule>
    <cfRule type="containsText" dxfId="1126" priority="1394" operator="containsText" text="C">
      <formula>NOT(ISERROR(SEARCH("C",BU24)))</formula>
    </cfRule>
  </conditionalFormatting>
  <conditionalFormatting sqref="BV24 BY24 CB24 CE24 CH24 CK24 CN24 CQ24">
    <cfRule type="containsText" dxfId="1125" priority="1384" operator="containsText" text="E">
      <formula>NOT(ISERROR(SEARCH("E",BV24)))</formula>
    </cfRule>
    <cfRule type="containsText" dxfId="1124" priority="1385" operator="containsText" text="D">
      <formula>NOT(ISERROR(SEARCH("D",BV24)))</formula>
    </cfRule>
    <cfRule type="containsText" dxfId="1123" priority="1386" operator="containsText" text="A">
      <formula>NOT(ISERROR(SEARCH("A",BV24)))</formula>
    </cfRule>
    <cfRule type="containsText" dxfId="1122" priority="1387" operator="containsText" text="B">
      <formula>NOT(ISERROR(SEARCH("B",BV24)))</formula>
    </cfRule>
    <cfRule type="containsText" dxfId="1121" priority="1388" operator="containsText" text="C">
      <formula>NOT(ISERROR(SEARCH("C",BV24)))</formula>
    </cfRule>
  </conditionalFormatting>
  <conditionalFormatting sqref="BT25 BW25 BZ25 CC25 CF25 CI25 CL25 CO25">
    <cfRule type="containsText" dxfId="1120" priority="1372" operator="containsText" text="E">
      <formula>NOT(ISERROR(SEARCH("E",BT25)))</formula>
    </cfRule>
    <cfRule type="containsText" dxfId="1119" priority="1373" operator="containsText" text="D">
      <formula>NOT(ISERROR(SEARCH("D",BT25)))</formula>
    </cfRule>
    <cfRule type="containsText" dxfId="1118" priority="1374" operator="containsText" text="A">
      <formula>NOT(ISERROR(SEARCH("A",BT25)))</formula>
    </cfRule>
    <cfRule type="containsText" dxfId="1117" priority="1375" operator="containsText" text="B">
      <formula>NOT(ISERROR(SEARCH("B",BT25)))</formula>
    </cfRule>
    <cfRule type="containsText" dxfId="1116" priority="1376" operator="containsText" text="C">
      <formula>NOT(ISERROR(SEARCH("C",BT25)))</formula>
    </cfRule>
  </conditionalFormatting>
  <conditionalFormatting sqref="BU25 BX25 CA25 CD25 CG25 CJ25 CM25 CP25">
    <cfRule type="containsText" dxfId="1115" priority="1366" operator="containsText" text="E">
      <formula>NOT(ISERROR(SEARCH("E",BU25)))</formula>
    </cfRule>
    <cfRule type="containsText" dxfId="1114" priority="1367" operator="containsText" text="D">
      <formula>NOT(ISERROR(SEARCH("D",BU25)))</formula>
    </cfRule>
    <cfRule type="containsText" dxfId="1113" priority="1368" operator="containsText" text="A">
      <formula>NOT(ISERROR(SEARCH("A",BU25)))</formula>
    </cfRule>
    <cfRule type="containsText" dxfId="1112" priority="1369" operator="containsText" text="B">
      <formula>NOT(ISERROR(SEARCH("B",BU25)))</formula>
    </cfRule>
    <cfRule type="containsText" dxfId="1111" priority="1370" operator="containsText" text="C">
      <formula>NOT(ISERROR(SEARCH("C",BU25)))</formula>
    </cfRule>
  </conditionalFormatting>
  <conditionalFormatting sqref="BV25 BY25 CB25 CE25 CH25 CK25 CN25 CQ25">
    <cfRule type="containsText" dxfId="1110" priority="1360" operator="containsText" text="E">
      <formula>NOT(ISERROR(SEARCH("E",BV25)))</formula>
    </cfRule>
    <cfRule type="containsText" dxfId="1109" priority="1361" operator="containsText" text="D">
      <formula>NOT(ISERROR(SEARCH("D",BV25)))</formula>
    </cfRule>
    <cfRule type="containsText" dxfId="1108" priority="1362" operator="containsText" text="A">
      <formula>NOT(ISERROR(SEARCH("A",BV25)))</formula>
    </cfRule>
    <cfRule type="containsText" dxfId="1107" priority="1363" operator="containsText" text="B">
      <formula>NOT(ISERROR(SEARCH("B",BV25)))</formula>
    </cfRule>
    <cfRule type="containsText" dxfId="1106" priority="1364" operator="containsText" text="C">
      <formula>NOT(ISERROR(SEARCH("C",BV25)))</formula>
    </cfRule>
  </conditionalFormatting>
  <conditionalFormatting sqref="BT29 BW29 BZ29 CC29 CF29 CI29">
    <cfRule type="containsText" dxfId="1105" priority="1354" operator="containsText" text="E">
      <formula>NOT(ISERROR(SEARCH("E",BT29)))</formula>
    </cfRule>
    <cfRule type="containsText" dxfId="1104" priority="1355" operator="containsText" text="D">
      <formula>NOT(ISERROR(SEARCH("D",BT29)))</formula>
    </cfRule>
    <cfRule type="containsText" dxfId="1103" priority="1356" operator="containsText" text="A">
      <formula>NOT(ISERROR(SEARCH("A",BT29)))</formula>
    </cfRule>
    <cfRule type="containsText" dxfId="1102" priority="1357" operator="containsText" text="B">
      <formula>NOT(ISERROR(SEARCH("B",BT29)))</formula>
    </cfRule>
    <cfRule type="containsText" dxfId="1101" priority="1358" operator="containsText" text="C">
      <formula>NOT(ISERROR(SEARCH("C",BT29)))</formula>
    </cfRule>
  </conditionalFormatting>
  <conditionalFormatting sqref="BU29 BX29 CA29 CD29 CG29 CJ29">
    <cfRule type="containsText" dxfId="1100" priority="1348" operator="containsText" text="E">
      <formula>NOT(ISERROR(SEARCH("E",BU29)))</formula>
    </cfRule>
    <cfRule type="containsText" dxfId="1099" priority="1349" operator="containsText" text="D">
      <formula>NOT(ISERROR(SEARCH("D",BU29)))</formula>
    </cfRule>
    <cfRule type="containsText" dxfId="1098" priority="1350" operator="containsText" text="A">
      <formula>NOT(ISERROR(SEARCH("A",BU29)))</formula>
    </cfRule>
    <cfRule type="containsText" dxfId="1097" priority="1351" operator="containsText" text="B">
      <formula>NOT(ISERROR(SEARCH("B",BU29)))</formula>
    </cfRule>
    <cfRule type="containsText" dxfId="1096" priority="1352" operator="containsText" text="C">
      <formula>NOT(ISERROR(SEARCH("C",BU29)))</formula>
    </cfRule>
  </conditionalFormatting>
  <conditionalFormatting sqref="BV29 BY29 CB29 CE29 CH29 CK29">
    <cfRule type="containsText" dxfId="1095" priority="1342" operator="containsText" text="E">
      <formula>NOT(ISERROR(SEARCH("E",BV29)))</formula>
    </cfRule>
    <cfRule type="containsText" dxfId="1094" priority="1343" operator="containsText" text="D">
      <formula>NOT(ISERROR(SEARCH("D",BV29)))</formula>
    </cfRule>
    <cfRule type="containsText" dxfId="1093" priority="1344" operator="containsText" text="A">
      <formula>NOT(ISERROR(SEARCH("A",BV29)))</formula>
    </cfRule>
    <cfRule type="containsText" dxfId="1092" priority="1345" operator="containsText" text="B">
      <formula>NOT(ISERROR(SEARCH("B",BV29)))</formula>
    </cfRule>
    <cfRule type="containsText" dxfId="1091" priority="1346" operator="containsText" text="C">
      <formula>NOT(ISERROR(SEARCH("C",BV29)))</formula>
    </cfRule>
  </conditionalFormatting>
  <conditionalFormatting sqref="BT30 BW30 BZ30 CC30 CF30 CI30">
    <cfRule type="containsText" dxfId="1090" priority="1336" operator="containsText" text="E">
      <formula>NOT(ISERROR(SEARCH("E",BT30)))</formula>
    </cfRule>
    <cfRule type="containsText" dxfId="1089" priority="1337" operator="containsText" text="D">
      <formula>NOT(ISERROR(SEARCH("D",BT30)))</formula>
    </cfRule>
    <cfRule type="containsText" dxfId="1088" priority="1338" operator="containsText" text="A">
      <formula>NOT(ISERROR(SEARCH("A",BT30)))</formula>
    </cfRule>
    <cfRule type="containsText" dxfId="1087" priority="1339" operator="containsText" text="B">
      <formula>NOT(ISERROR(SEARCH("B",BT30)))</formula>
    </cfRule>
    <cfRule type="containsText" dxfId="1086" priority="1340" operator="containsText" text="C">
      <formula>NOT(ISERROR(SEARCH("C",BT30)))</formula>
    </cfRule>
  </conditionalFormatting>
  <conditionalFormatting sqref="BU30 BX30 CA30 CD30 CG30 CJ30">
    <cfRule type="containsText" dxfId="1085" priority="1330" operator="containsText" text="E">
      <formula>NOT(ISERROR(SEARCH("E",BU30)))</formula>
    </cfRule>
    <cfRule type="containsText" dxfId="1084" priority="1331" operator="containsText" text="D">
      <formula>NOT(ISERROR(SEARCH("D",BU30)))</formula>
    </cfRule>
    <cfRule type="containsText" dxfId="1083" priority="1332" operator="containsText" text="A">
      <formula>NOT(ISERROR(SEARCH("A",BU30)))</formula>
    </cfRule>
    <cfRule type="containsText" dxfId="1082" priority="1333" operator="containsText" text="B">
      <formula>NOT(ISERROR(SEARCH("B",BU30)))</formula>
    </cfRule>
    <cfRule type="containsText" dxfId="1081" priority="1334" operator="containsText" text="C">
      <formula>NOT(ISERROR(SEARCH("C",BU30)))</formula>
    </cfRule>
  </conditionalFormatting>
  <conditionalFormatting sqref="BV30 BY30 CB30 CE30 CH30 CK30">
    <cfRule type="containsText" dxfId="1080" priority="1324" operator="containsText" text="E">
      <formula>NOT(ISERROR(SEARCH("E",BV30)))</formula>
    </cfRule>
    <cfRule type="containsText" dxfId="1079" priority="1325" operator="containsText" text="D">
      <formula>NOT(ISERROR(SEARCH("D",BV30)))</formula>
    </cfRule>
    <cfRule type="containsText" dxfId="1078" priority="1326" operator="containsText" text="A">
      <formula>NOT(ISERROR(SEARCH("A",BV30)))</formula>
    </cfRule>
    <cfRule type="containsText" dxfId="1077" priority="1327" operator="containsText" text="B">
      <formula>NOT(ISERROR(SEARCH("B",BV30)))</formula>
    </cfRule>
    <cfRule type="containsText" dxfId="1076" priority="1328" operator="containsText" text="C">
      <formula>NOT(ISERROR(SEARCH("C",BV30)))</formula>
    </cfRule>
  </conditionalFormatting>
  <conditionalFormatting sqref="BT34 BW34 BZ34 CC34 CF34 CI34 CL34 CO34">
    <cfRule type="containsText" dxfId="1075" priority="1318" operator="containsText" text="E">
      <formula>NOT(ISERROR(SEARCH("E",BT34)))</formula>
    </cfRule>
    <cfRule type="containsText" dxfId="1074" priority="1319" operator="containsText" text="D">
      <formula>NOT(ISERROR(SEARCH("D",BT34)))</formula>
    </cfRule>
    <cfRule type="containsText" dxfId="1073" priority="1320" operator="containsText" text="A">
      <formula>NOT(ISERROR(SEARCH("A",BT34)))</formula>
    </cfRule>
    <cfRule type="containsText" dxfId="1072" priority="1321" operator="containsText" text="B">
      <formula>NOT(ISERROR(SEARCH("B",BT34)))</formula>
    </cfRule>
    <cfRule type="containsText" dxfId="1071" priority="1322" operator="containsText" text="C">
      <formula>NOT(ISERROR(SEARCH("C",BT34)))</formula>
    </cfRule>
  </conditionalFormatting>
  <conditionalFormatting sqref="BU34 BX34 CA34 CD34 CG34 CJ34 CM34 CP34">
    <cfRule type="containsText" dxfId="1070" priority="1312" operator="containsText" text="E">
      <formula>NOT(ISERROR(SEARCH("E",BU34)))</formula>
    </cfRule>
    <cfRule type="containsText" dxfId="1069" priority="1313" operator="containsText" text="D">
      <formula>NOT(ISERROR(SEARCH("D",BU34)))</formula>
    </cfRule>
    <cfRule type="containsText" dxfId="1068" priority="1314" operator="containsText" text="A">
      <formula>NOT(ISERROR(SEARCH("A",BU34)))</formula>
    </cfRule>
    <cfRule type="containsText" dxfId="1067" priority="1315" operator="containsText" text="B">
      <formula>NOT(ISERROR(SEARCH("B",BU34)))</formula>
    </cfRule>
    <cfRule type="containsText" dxfId="1066" priority="1316" operator="containsText" text="C">
      <formula>NOT(ISERROR(SEARCH("C",BU34)))</formula>
    </cfRule>
  </conditionalFormatting>
  <conditionalFormatting sqref="BV34 BY34 CB34 CE34 CH34 CK34 CN34 CQ34">
    <cfRule type="containsText" dxfId="1065" priority="1306" operator="containsText" text="E">
      <formula>NOT(ISERROR(SEARCH("E",BV34)))</formula>
    </cfRule>
    <cfRule type="containsText" dxfId="1064" priority="1307" operator="containsText" text="D">
      <formula>NOT(ISERROR(SEARCH("D",BV34)))</formula>
    </cfRule>
    <cfRule type="containsText" dxfId="1063" priority="1308" operator="containsText" text="A">
      <formula>NOT(ISERROR(SEARCH("A",BV34)))</formula>
    </cfRule>
    <cfRule type="containsText" dxfId="1062" priority="1309" operator="containsText" text="B">
      <formula>NOT(ISERROR(SEARCH("B",BV34)))</formula>
    </cfRule>
    <cfRule type="containsText" dxfId="1061" priority="1310" operator="containsText" text="C">
      <formula>NOT(ISERROR(SEARCH("C",BV34)))</formula>
    </cfRule>
  </conditionalFormatting>
  <conditionalFormatting sqref="BT35 BW35 BZ35 CC35 CF35 CI35 CL35 CO35">
    <cfRule type="containsText" dxfId="1060" priority="1300" operator="containsText" text="E">
      <formula>NOT(ISERROR(SEARCH("E",BT35)))</formula>
    </cfRule>
    <cfRule type="containsText" dxfId="1059" priority="1301" operator="containsText" text="D">
      <formula>NOT(ISERROR(SEARCH("D",BT35)))</formula>
    </cfRule>
    <cfRule type="containsText" dxfId="1058" priority="1302" operator="containsText" text="A">
      <formula>NOT(ISERROR(SEARCH("A",BT35)))</formula>
    </cfRule>
    <cfRule type="containsText" dxfId="1057" priority="1303" operator="containsText" text="B">
      <formula>NOT(ISERROR(SEARCH("B",BT35)))</formula>
    </cfRule>
    <cfRule type="containsText" dxfId="1056" priority="1304" operator="containsText" text="C">
      <formula>NOT(ISERROR(SEARCH("C",BT35)))</formula>
    </cfRule>
  </conditionalFormatting>
  <conditionalFormatting sqref="BU35 BX35 CA35 CD35 CG35 CJ35 CM35 CP35">
    <cfRule type="containsText" dxfId="1055" priority="1294" operator="containsText" text="E">
      <formula>NOT(ISERROR(SEARCH("E",BU35)))</formula>
    </cfRule>
    <cfRule type="containsText" dxfId="1054" priority="1295" operator="containsText" text="D">
      <formula>NOT(ISERROR(SEARCH("D",BU35)))</formula>
    </cfRule>
    <cfRule type="containsText" dxfId="1053" priority="1296" operator="containsText" text="A">
      <formula>NOT(ISERROR(SEARCH("A",BU35)))</formula>
    </cfRule>
    <cfRule type="containsText" dxfId="1052" priority="1297" operator="containsText" text="B">
      <formula>NOT(ISERROR(SEARCH("B",BU35)))</formula>
    </cfRule>
    <cfRule type="containsText" dxfId="1051" priority="1298" operator="containsText" text="C">
      <formula>NOT(ISERROR(SEARCH("C",BU35)))</formula>
    </cfRule>
  </conditionalFormatting>
  <conditionalFormatting sqref="BV35 BY35 CB35 CE35 CH35 CK35 CN35 CQ35">
    <cfRule type="containsText" dxfId="1050" priority="1288" operator="containsText" text="E">
      <formula>NOT(ISERROR(SEARCH("E",BV35)))</formula>
    </cfRule>
    <cfRule type="containsText" dxfId="1049" priority="1289" operator="containsText" text="D">
      <formula>NOT(ISERROR(SEARCH("D",BV35)))</formula>
    </cfRule>
    <cfRule type="containsText" dxfId="1048" priority="1290" operator="containsText" text="A">
      <formula>NOT(ISERROR(SEARCH("A",BV35)))</formula>
    </cfRule>
    <cfRule type="containsText" dxfId="1047" priority="1291" operator="containsText" text="B">
      <formula>NOT(ISERROR(SEARCH("B",BV35)))</formula>
    </cfRule>
    <cfRule type="containsText" dxfId="1046" priority="1292" operator="containsText" text="C">
      <formula>NOT(ISERROR(SEARCH("C",BV35)))</formula>
    </cfRule>
  </conditionalFormatting>
  <conditionalFormatting sqref="BT39 BW39 BZ39 CC39 CF39 CI39">
    <cfRule type="containsText" dxfId="1045" priority="1282" operator="containsText" text="E">
      <formula>NOT(ISERROR(SEARCH("E",BT39)))</formula>
    </cfRule>
    <cfRule type="containsText" dxfId="1044" priority="1283" operator="containsText" text="D">
      <formula>NOT(ISERROR(SEARCH("D",BT39)))</formula>
    </cfRule>
    <cfRule type="containsText" dxfId="1043" priority="1284" operator="containsText" text="A">
      <formula>NOT(ISERROR(SEARCH("A",BT39)))</formula>
    </cfRule>
    <cfRule type="containsText" dxfId="1042" priority="1285" operator="containsText" text="B">
      <formula>NOT(ISERROR(SEARCH("B",BT39)))</formula>
    </cfRule>
    <cfRule type="containsText" dxfId="1041" priority="1286" operator="containsText" text="C">
      <formula>NOT(ISERROR(SEARCH("C",BT39)))</formula>
    </cfRule>
  </conditionalFormatting>
  <conditionalFormatting sqref="BU39 BX39 CA39 CD39 CG39 CJ39">
    <cfRule type="containsText" dxfId="1040" priority="1276" operator="containsText" text="E">
      <formula>NOT(ISERROR(SEARCH("E",BU39)))</formula>
    </cfRule>
    <cfRule type="containsText" dxfId="1039" priority="1277" operator="containsText" text="D">
      <formula>NOT(ISERROR(SEARCH("D",BU39)))</formula>
    </cfRule>
    <cfRule type="containsText" dxfId="1038" priority="1278" operator="containsText" text="A">
      <formula>NOT(ISERROR(SEARCH("A",BU39)))</formula>
    </cfRule>
    <cfRule type="containsText" dxfId="1037" priority="1279" operator="containsText" text="B">
      <formula>NOT(ISERROR(SEARCH("B",BU39)))</formula>
    </cfRule>
    <cfRule type="containsText" dxfId="1036" priority="1280" operator="containsText" text="C">
      <formula>NOT(ISERROR(SEARCH("C",BU39)))</formula>
    </cfRule>
  </conditionalFormatting>
  <conditionalFormatting sqref="BV39 BY39 CB39 CE39 CH39 CK39">
    <cfRule type="containsText" dxfId="1035" priority="1270" operator="containsText" text="E">
      <formula>NOT(ISERROR(SEARCH("E",BV39)))</formula>
    </cfRule>
    <cfRule type="containsText" dxfId="1034" priority="1271" operator="containsText" text="D">
      <formula>NOT(ISERROR(SEARCH("D",BV39)))</formula>
    </cfRule>
    <cfRule type="containsText" dxfId="1033" priority="1272" operator="containsText" text="A">
      <formula>NOT(ISERROR(SEARCH("A",BV39)))</formula>
    </cfRule>
    <cfRule type="containsText" dxfId="1032" priority="1273" operator="containsText" text="B">
      <formula>NOT(ISERROR(SEARCH("B",BV39)))</formula>
    </cfRule>
    <cfRule type="containsText" dxfId="1031" priority="1274" operator="containsText" text="C">
      <formula>NOT(ISERROR(SEARCH("C",BV39)))</formula>
    </cfRule>
  </conditionalFormatting>
  <conditionalFormatting sqref="BT40 BW40 BZ40 CC40 CF40 CI40">
    <cfRule type="containsText" dxfId="1030" priority="1264" operator="containsText" text="E">
      <formula>NOT(ISERROR(SEARCH("E",BT40)))</formula>
    </cfRule>
    <cfRule type="containsText" dxfId="1029" priority="1265" operator="containsText" text="D">
      <formula>NOT(ISERROR(SEARCH("D",BT40)))</formula>
    </cfRule>
    <cfRule type="containsText" dxfId="1028" priority="1266" operator="containsText" text="A">
      <formula>NOT(ISERROR(SEARCH("A",BT40)))</formula>
    </cfRule>
    <cfRule type="containsText" dxfId="1027" priority="1267" operator="containsText" text="B">
      <formula>NOT(ISERROR(SEARCH("B",BT40)))</formula>
    </cfRule>
    <cfRule type="containsText" dxfId="1026" priority="1268" operator="containsText" text="C">
      <formula>NOT(ISERROR(SEARCH("C",BT40)))</formula>
    </cfRule>
  </conditionalFormatting>
  <conditionalFormatting sqref="BU40 BX40 CA40 CD40 CG40 CJ40">
    <cfRule type="containsText" dxfId="1025" priority="1258" operator="containsText" text="E">
      <formula>NOT(ISERROR(SEARCH("E",BU40)))</formula>
    </cfRule>
    <cfRule type="containsText" dxfId="1024" priority="1259" operator="containsText" text="D">
      <formula>NOT(ISERROR(SEARCH("D",BU40)))</formula>
    </cfRule>
    <cfRule type="containsText" dxfId="1023" priority="1260" operator="containsText" text="A">
      <formula>NOT(ISERROR(SEARCH("A",BU40)))</formula>
    </cfRule>
    <cfRule type="containsText" dxfId="1022" priority="1261" operator="containsText" text="B">
      <formula>NOT(ISERROR(SEARCH("B",BU40)))</formula>
    </cfRule>
    <cfRule type="containsText" dxfId="1021" priority="1262" operator="containsText" text="C">
      <formula>NOT(ISERROR(SEARCH("C",BU40)))</formula>
    </cfRule>
  </conditionalFormatting>
  <conditionalFormatting sqref="BV40 BY40 CB40 CE40 CH40 CK40">
    <cfRule type="containsText" dxfId="1020" priority="1252" operator="containsText" text="E">
      <formula>NOT(ISERROR(SEARCH("E",BV40)))</formula>
    </cfRule>
    <cfRule type="containsText" dxfId="1019" priority="1253" operator="containsText" text="D">
      <formula>NOT(ISERROR(SEARCH("D",BV40)))</formula>
    </cfRule>
    <cfRule type="containsText" dxfId="1018" priority="1254" operator="containsText" text="A">
      <formula>NOT(ISERROR(SEARCH("A",BV40)))</formula>
    </cfRule>
    <cfRule type="containsText" dxfId="1017" priority="1255" operator="containsText" text="B">
      <formula>NOT(ISERROR(SEARCH("B",BV40)))</formula>
    </cfRule>
    <cfRule type="containsText" dxfId="1016" priority="1256" operator="containsText" text="C">
      <formula>NOT(ISERROR(SEARCH("C",BV40)))</formula>
    </cfRule>
  </conditionalFormatting>
  <conditionalFormatting sqref="BT44 BW44 BZ44 CC44 CF44 CI44 CL44 CO44">
    <cfRule type="containsText" dxfId="1015" priority="1246" operator="containsText" text="E">
      <formula>NOT(ISERROR(SEARCH("E",BT44)))</formula>
    </cfRule>
    <cfRule type="containsText" dxfId="1014" priority="1247" operator="containsText" text="D">
      <formula>NOT(ISERROR(SEARCH("D",BT44)))</formula>
    </cfRule>
    <cfRule type="containsText" dxfId="1013" priority="1248" operator="containsText" text="A">
      <formula>NOT(ISERROR(SEARCH("A",BT44)))</formula>
    </cfRule>
    <cfRule type="containsText" dxfId="1012" priority="1249" operator="containsText" text="B">
      <formula>NOT(ISERROR(SEARCH("B",BT44)))</formula>
    </cfRule>
    <cfRule type="containsText" dxfId="1011" priority="1250" operator="containsText" text="C">
      <formula>NOT(ISERROR(SEARCH("C",BT44)))</formula>
    </cfRule>
  </conditionalFormatting>
  <conditionalFormatting sqref="BU44 BX44 CA44 CD44 CG44 CJ44 CM44 CP44">
    <cfRule type="containsText" dxfId="1010" priority="1240" operator="containsText" text="E">
      <formula>NOT(ISERROR(SEARCH("E",BU44)))</formula>
    </cfRule>
    <cfRule type="containsText" dxfId="1009" priority="1241" operator="containsText" text="D">
      <formula>NOT(ISERROR(SEARCH("D",BU44)))</formula>
    </cfRule>
    <cfRule type="containsText" dxfId="1008" priority="1242" operator="containsText" text="A">
      <formula>NOT(ISERROR(SEARCH("A",BU44)))</formula>
    </cfRule>
    <cfRule type="containsText" dxfId="1007" priority="1243" operator="containsText" text="B">
      <formula>NOT(ISERROR(SEARCH("B",BU44)))</formula>
    </cfRule>
    <cfRule type="containsText" dxfId="1006" priority="1244" operator="containsText" text="C">
      <formula>NOT(ISERROR(SEARCH("C",BU44)))</formula>
    </cfRule>
  </conditionalFormatting>
  <conditionalFormatting sqref="BV44 BY44 CB44 CE44 CH44 CK44 CN44 CQ44">
    <cfRule type="containsText" dxfId="1005" priority="1234" operator="containsText" text="E">
      <formula>NOT(ISERROR(SEARCH("E",BV44)))</formula>
    </cfRule>
    <cfRule type="containsText" dxfId="1004" priority="1235" operator="containsText" text="D">
      <formula>NOT(ISERROR(SEARCH("D",BV44)))</formula>
    </cfRule>
    <cfRule type="containsText" dxfId="1003" priority="1236" operator="containsText" text="A">
      <formula>NOT(ISERROR(SEARCH("A",BV44)))</formula>
    </cfRule>
    <cfRule type="containsText" dxfId="1002" priority="1237" operator="containsText" text="B">
      <formula>NOT(ISERROR(SEARCH("B",BV44)))</formula>
    </cfRule>
    <cfRule type="containsText" dxfId="1001" priority="1238" operator="containsText" text="C">
      <formula>NOT(ISERROR(SEARCH("C",BV44)))</formula>
    </cfRule>
  </conditionalFormatting>
  <conditionalFormatting sqref="BT45 BW45 BZ45 CC45 CF45 CI45 CL45 CO45">
    <cfRule type="containsText" dxfId="1000" priority="1228" operator="containsText" text="E">
      <formula>NOT(ISERROR(SEARCH("E",BT45)))</formula>
    </cfRule>
    <cfRule type="containsText" dxfId="999" priority="1229" operator="containsText" text="D">
      <formula>NOT(ISERROR(SEARCH("D",BT45)))</formula>
    </cfRule>
    <cfRule type="containsText" dxfId="998" priority="1230" operator="containsText" text="A">
      <formula>NOT(ISERROR(SEARCH("A",BT45)))</formula>
    </cfRule>
    <cfRule type="containsText" dxfId="997" priority="1231" operator="containsText" text="B">
      <formula>NOT(ISERROR(SEARCH("B",BT45)))</formula>
    </cfRule>
    <cfRule type="containsText" dxfId="996" priority="1232" operator="containsText" text="C">
      <formula>NOT(ISERROR(SEARCH("C",BT45)))</formula>
    </cfRule>
  </conditionalFormatting>
  <conditionalFormatting sqref="BU45 BX45 CA45 CD45 CG45 CJ45 CM45 CP45">
    <cfRule type="containsText" dxfId="995" priority="1222" operator="containsText" text="E">
      <formula>NOT(ISERROR(SEARCH("E",BU45)))</formula>
    </cfRule>
    <cfRule type="containsText" dxfId="994" priority="1223" operator="containsText" text="D">
      <formula>NOT(ISERROR(SEARCH("D",BU45)))</formula>
    </cfRule>
    <cfRule type="containsText" dxfId="993" priority="1224" operator="containsText" text="A">
      <formula>NOT(ISERROR(SEARCH("A",BU45)))</formula>
    </cfRule>
    <cfRule type="containsText" dxfId="992" priority="1225" operator="containsText" text="B">
      <formula>NOT(ISERROR(SEARCH("B",BU45)))</formula>
    </cfRule>
    <cfRule type="containsText" dxfId="991" priority="1226" operator="containsText" text="C">
      <formula>NOT(ISERROR(SEARCH("C",BU45)))</formula>
    </cfRule>
  </conditionalFormatting>
  <conditionalFormatting sqref="BV45 BY45 CB45 CE45 CH45 CK45 CN45 CQ45">
    <cfRule type="containsText" dxfId="990" priority="1216" operator="containsText" text="E">
      <formula>NOT(ISERROR(SEARCH("E",BV45)))</formula>
    </cfRule>
    <cfRule type="containsText" dxfId="989" priority="1217" operator="containsText" text="D">
      <formula>NOT(ISERROR(SEARCH("D",BV45)))</formula>
    </cfRule>
    <cfRule type="containsText" dxfId="988" priority="1218" operator="containsText" text="A">
      <formula>NOT(ISERROR(SEARCH("A",BV45)))</formula>
    </cfRule>
    <cfRule type="containsText" dxfId="987" priority="1219" operator="containsText" text="B">
      <formula>NOT(ISERROR(SEARCH("B",BV45)))</formula>
    </cfRule>
    <cfRule type="containsText" dxfId="986" priority="1220" operator="containsText" text="C">
      <formula>NOT(ISERROR(SEARCH("C",BV45)))</formula>
    </cfRule>
  </conditionalFormatting>
  <conditionalFormatting sqref="BT49 BW49 BZ49 CC49 CF49 CI49">
    <cfRule type="containsText" dxfId="985" priority="1210" operator="containsText" text="E">
      <formula>NOT(ISERROR(SEARCH("E",BT49)))</formula>
    </cfRule>
    <cfRule type="containsText" dxfId="984" priority="1211" operator="containsText" text="D">
      <formula>NOT(ISERROR(SEARCH("D",BT49)))</formula>
    </cfRule>
    <cfRule type="containsText" dxfId="983" priority="1212" operator="containsText" text="A">
      <formula>NOT(ISERROR(SEARCH("A",BT49)))</formula>
    </cfRule>
    <cfRule type="containsText" dxfId="982" priority="1213" operator="containsText" text="B">
      <formula>NOT(ISERROR(SEARCH("B",BT49)))</formula>
    </cfRule>
    <cfRule type="containsText" dxfId="981" priority="1214" operator="containsText" text="C">
      <formula>NOT(ISERROR(SEARCH("C",BT49)))</formula>
    </cfRule>
  </conditionalFormatting>
  <conditionalFormatting sqref="BU49 BX49 CA49 CD49 CG49 CJ49">
    <cfRule type="containsText" dxfId="980" priority="1204" operator="containsText" text="E">
      <formula>NOT(ISERROR(SEARCH("E",BU49)))</formula>
    </cfRule>
    <cfRule type="containsText" dxfId="979" priority="1205" operator="containsText" text="D">
      <formula>NOT(ISERROR(SEARCH("D",BU49)))</formula>
    </cfRule>
    <cfRule type="containsText" dxfId="978" priority="1206" operator="containsText" text="A">
      <formula>NOT(ISERROR(SEARCH("A",BU49)))</formula>
    </cfRule>
    <cfRule type="containsText" dxfId="977" priority="1207" operator="containsText" text="B">
      <formula>NOT(ISERROR(SEARCH("B",BU49)))</formula>
    </cfRule>
    <cfRule type="containsText" dxfId="976" priority="1208" operator="containsText" text="C">
      <formula>NOT(ISERROR(SEARCH("C",BU49)))</formula>
    </cfRule>
  </conditionalFormatting>
  <conditionalFormatting sqref="BV49 BY49 CB49 CE49 CH49 CK49">
    <cfRule type="containsText" dxfId="975" priority="1198" operator="containsText" text="E">
      <formula>NOT(ISERROR(SEARCH("E",BV49)))</formula>
    </cfRule>
    <cfRule type="containsText" dxfId="974" priority="1199" operator="containsText" text="D">
      <formula>NOT(ISERROR(SEARCH("D",BV49)))</formula>
    </cfRule>
    <cfRule type="containsText" dxfId="973" priority="1200" operator="containsText" text="A">
      <formula>NOT(ISERROR(SEARCH("A",BV49)))</formula>
    </cfRule>
    <cfRule type="containsText" dxfId="972" priority="1201" operator="containsText" text="B">
      <formula>NOT(ISERROR(SEARCH("B",BV49)))</formula>
    </cfRule>
    <cfRule type="containsText" dxfId="971" priority="1202" operator="containsText" text="C">
      <formula>NOT(ISERROR(SEARCH("C",BV49)))</formula>
    </cfRule>
  </conditionalFormatting>
  <conditionalFormatting sqref="BT50 BW50 BZ50 CC50 CF50 CI50">
    <cfRule type="containsText" dxfId="970" priority="1192" operator="containsText" text="E">
      <formula>NOT(ISERROR(SEARCH("E",BT50)))</formula>
    </cfRule>
    <cfRule type="containsText" dxfId="969" priority="1193" operator="containsText" text="D">
      <formula>NOT(ISERROR(SEARCH("D",BT50)))</formula>
    </cfRule>
    <cfRule type="containsText" dxfId="968" priority="1194" operator="containsText" text="A">
      <formula>NOT(ISERROR(SEARCH("A",BT50)))</formula>
    </cfRule>
    <cfRule type="containsText" dxfId="967" priority="1195" operator="containsText" text="B">
      <formula>NOT(ISERROR(SEARCH("B",BT50)))</formula>
    </cfRule>
    <cfRule type="containsText" dxfId="966" priority="1196" operator="containsText" text="C">
      <formula>NOT(ISERROR(SEARCH("C",BT50)))</formula>
    </cfRule>
  </conditionalFormatting>
  <conditionalFormatting sqref="BU50 BX50 CA50 CD50 CG50 CJ50">
    <cfRule type="containsText" dxfId="965" priority="1186" operator="containsText" text="E">
      <formula>NOT(ISERROR(SEARCH("E",BU50)))</formula>
    </cfRule>
    <cfRule type="containsText" dxfId="964" priority="1187" operator="containsText" text="D">
      <formula>NOT(ISERROR(SEARCH("D",BU50)))</formula>
    </cfRule>
    <cfRule type="containsText" dxfId="963" priority="1188" operator="containsText" text="A">
      <formula>NOT(ISERROR(SEARCH("A",BU50)))</formula>
    </cfRule>
    <cfRule type="containsText" dxfId="962" priority="1189" operator="containsText" text="B">
      <formula>NOT(ISERROR(SEARCH("B",BU50)))</formula>
    </cfRule>
    <cfRule type="containsText" dxfId="961" priority="1190" operator="containsText" text="C">
      <formula>NOT(ISERROR(SEARCH("C",BU50)))</formula>
    </cfRule>
  </conditionalFormatting>
  <conditionalFormatting sqref="BV50 BY50 CB50 CE50 CH50 CK50">
    <cfRule type="containsText" dxfId="960" priority="1180" operator="containsText" text="E">
      <formula>NOT(ISERROR(SEARCH("E",BV50)))</formula>
    </cfRule>
    <cfRule type="containsText" dxfId="959" priority="1181" operator="containsText" text="D">
      <formula>NOT(ISERROR(SEARCH("D",BV50)))</formula>
    </cfRule>
    <cfRule type="containsText" dxfId="958" priority="1182" operator="containsText" text="A">
      <formula>NOT(ISERROR(SEARCH("A",BV50)))</formula>
    </cfRule>
    <cfRule type="containsText" dxfId="957" priority="1183" operator="containsText" text="B">
      <formula>NOT(ISERROR(SEARCH("B",BV50)))</formula>
    </cfRule>
    <cfRule type="containsText" dxfId="956" priority="1184" operator="containsText" text="C">
      <formula>NOT(ISERROR(SEARCH("C",BV50)))</formula>
    </cfRule>
  </conditionalFormatting>
  <conditionalFormatting sqref="BZ54 CC54 CF54 CI54 CL54 CO54">
    <cfRule type="containsText" dxfId="955" priority="1174" operator="containsText" text="E">
      <formula>NOT(ISERROR(SEARCH("E",BZ54)))</formula>
    </cfRule>
    <cfRule type="containsText" dxfId="954" priority="1175" operator="containsText" text="D">
      <formula>NOT(ISERROR(SEARCH("D",BZ54)))</formula>
    </cfRule>
    <cfRule type="containsText" dxfId="953" priority="1176" operator="containsText" text="A">
      <formula>NOT(ISERROR(SEARCH("A",BZ54)))</formula>
    </cfRule>
    <cfRule type="containsText" dxfId="952" priority="1177" operator="containsText" text="B">
      <formula>NOT(ISERROR(SEARCH("B",BZ54)))</formula>
    </cfRule>
    <cfRule type="containsText" dxfId="951" priority="1178" operator="containsText" text="C">
      <formula>NOT(ISERROR(SEARCH("C",BZ54)))</formula>
    </cfRule>
  </conditionalFormatting>
  <conditionalFormatting sqref="CA54 CD54 CG54 CJ54 CM54 CP54">
    <cfRule type="containsText" dxfId="950" priority="1168" operator="containsText" text="E">
      <formula>NOT(ISERROR(SEARCH("E",CA54)))</formula>
    </cfRule>
    <cfRule type="containsText" dxfId="949" priority="1169" operator="containsText" text="D">
      <formula>NOT(ISERROR(SEARCH("D",CA54)))</formula>
    </cfRule>
    <cfRule type="containsText" dxfId="948" priority="1170" operator="containsText" text="A">
      <formula>NOT(ISERROR(SEARCH("A",CA54)))</formula>
    </cfRule>
    <cfRule type="containsText" dxfId="947" priority="1171" operator="containsText" text="B">
      <formula>NOT(ISERROR(SEARCH("B",CA54)))</formula>
    </cfRule>
    <cfRule type="containsText" dxfId="946" priority="1172" operator="containsText" text="C">
      <formula>NOT(ISERROR(SEARCH("C",CA54)))</formula>
    </cfRule>
  </conditionalFormatting>
  <conditionalFormatting sqref="CB54 CE54 CH54 CK54 CN54 CQ54">
    <cfRule type="containsText" dxfId="945" priority="1162" operator="containsText" text="E">
      <formula>NOT(ISERROR(SEARCH("E",CB54)))</formula>
    </cfRule>
    <cfRule type="containsText" dxfId="944" priority="1163" operator="containsText" text="D">
      <formula>NOT(ISERROR(SEARCH("D",CB54)))</formula>
    </cfRule>
    <cfRule type="containsText" dxfId="943" priority="1164" operator="containsText" text="A">
      <formula>NOT(ISERROR(SEARCH("A",CB54)))</formula>
    </cfRule>
    <cfRule type="containsText" dxfId="942" priority="1165" operator="containsText" text="B">
      <formula>NOT(ISERROR(SEARCH("B",CB54)))</formula>
    </cfRule>
    <cfRule type="containsText" dxfId="941" priority="1166" operator="containsText" text="C">
      <formula>NOT(ISERROR(SEARCH("C",CB54)))</formula>
    </cfRule>
  </conditionalFormatting>
  <conditionalFormatting sqref="BA20:BA37 BA40:BA55">
    <cfRule type="containsText" dxfId="940" priority="1148" operator="containsText" text="E">
      <formula>NOT(ISERROR(SEARCH("E",BA20)))</formula>
    </cfRule>
    <cfRule type="containsText" dxfId="939" priority="1149" operator="containsText" text="D">
      <formula>NOT(ISERROR(SEARCH("D",BA20)))</formula>
    </cfRule>
    <cfRule type="containsText" dxfId="938" priority="1150" operator="containsText" text="A">
      <formula>NOT(ISERROR(SEARCH("A",BA20)))</formula>
    </cfRule>
    <cfRule type="containsText" dxfId="937" priority="1151" operator="containsText" text="B">
      <formula>NOT(ISERROR(SEARCH("B",BA20)))</formula>
    </cfRule>
    <cfRule type="containsText" dxfId="936" priority="1152" operator="containsText" text="C">
      <formula>NOT(ISERROR(SEARCH("C",BA20)))</formula>
    </cfRule>
  </conditionalFormatting>
  <conditionalFormatting sqref="C11">
    <cfRule type="containsText" dxfId="935" priority="1147" operator="containsText" text="I">
      <formula>NOT(ISERROR(SEARCH("I",C11)))</formula>
    </cfRule>
  </conditionalFormatting>
  <conditionalFormatting sqref="BB4">
    <cfRule type="containsText" dxfId="934" priority="1141" operator="containsText" text="E">
      <formula>NOT(ISERROR(SEARCH("E",BB4)))</formula>
    </cfRule>
    <cfRule type="containsText" dxfId="933" priority="1142" operator="containsText" text="D">
      <formula>NOT(ISERROR(SEARCH("D",BB4)))</formula>
    </cfRule>
    <cfRule type="containsText" dxfId="932" priority="1143" operator="containsText" text="A">
      <formula>NOT(ISERROR(SEARCH("A",BB4)))</formula>
    </cfRule>
    <cfRule type="containsText" dxfId="931" priority="1144" operator="containsText" text="B">
      <formula>NOT(ISERROR(SEARCH("B",BB4)))</formula>
    </cfRule>
    <cfRule type="containsText" dxfId="930" priority="1145" operator="containsText" text="C">
      <formula>NOT(ISERROR(SEARCH("C",BB4)))</formula>
    </cfRule>
  </conditionalFormatting>
  <conditionalFormatting sqref="EP21:EP65">
    <cfRule type="containsText" dxfId="929" priority="1135" operator="containsText" text="E">
      <formula>NOT(ISERROR(SEARCH("E",EP21)))</formula>
    </cfRule>
    <cfRule type="containsText" dxfId="928" priority="1136" operator="containsText" text="D">
      <formula>NOT(ISERROR(SEARCH("D",EP21)))</formula>
    </cfRule>
    <cfRule type="containsText" dxfId="927" priority="1137" operator="containsText" text="A">
      <formula>NOT(ISERROR(SEARCH("A",EP21)))</formula>
    </cfRule>
    <cfRule type="containsText" dxfId="926" priority="1138" operator="containsText" text="B">
      <formula>NOT(ISERROR(SEARCH("B",EP21)))</formula>
    </cfRule>
    <cfRule type="containsText" dxfId="925" priority="1139" operator="containsText" text="C">
      <formula>NOT(ISERROR(SEARCH("C",EP21)))</formula>
    </cfRule>
  </conditionalFormatting>
  <conditionalFormatting sqref="ET21:EU23">
    <cfRule type="containsText" dxfId="924" priority="1129" operator="containsText" text="E">
      <formula>NOT(ISERROR(SEARCH("E",ET21)))</formula>
    </cfRule>
    <cfRule type="containsText" dxfId="923" priority="1130" operator="containsText" text="D">
      <formula>NOT(ISERROR(SEARCH("D",ET21)))</formula>
    </cfRule>
    <cfRule type="containsText" dxfId="922" priority="1131" operator="containsText" text="A">
      <formula>NOT(ISERROR(SEARCH("A",ET21)))</formula>
    </cfRule>
    <cfRule type="containsText" dxfId="921" priority="1132" operator="containsText" text="B">
      <formula>NOT(ISERROR(SEARCH("B",ET21)))</formula>
    </cfRule>
    <cfRule type="containsText" dxfId="920" priority="1133" operator="containsText" text="C">
      <formula>NOT(ISERROR(SEARCH("C",ET21)))</formula>
    </cfRule>
  </conditionalFormatting>
  <conditionalFormatting sqref="ET24:EU26">
    <cfRule type="containsText" dxfId="919" priority="949" operator="containsText" text="E">
      <formula>NOT(ISERROR(SEARCH("E",ET24)))</formula>
    </cfRule>
    <cfRule type="containsText" dxfId="918" priority="950" operator="containsText" text="D">
      <formula>NOT(ISERROR(SEARCH("D",ET24)))</formula>
    </cfRule>
    <cfRule type="containsText" dxfId="917" priority="951" operator="containsText" text="A">
      <formula>NOT(ISERROR(SEARCH("A",ET24)))</formula>
    </cfRule>
    <cfRule type="containsText" dxfId="916" priority="952" operator="containsText" text="B">
      <formula>NOT(ISERROR(SEARCH("B",ET24)))</formula>
    </cfRule>
    <cfRule type="containsText" dxfId="915" priority="953" operator="containsText" text="C">
      <formula>NOT(ISERROR(SEARCH("C",ET24)))</formula>
    </cfRule>
  </conditionalFormatting>
  <conditionalFormatting sqref="ET27:EU29">
    <cfRule type="containsText" dxfId="914" priority="943" operator="containsText" text="E">
      <formula>NOT(ISERROR(SEARCH("E",ET27)))</formula>
    </cfRule>
    <cfRule type="containsText" dxfId="913" priority="944" operator="containsText" text="D">
      <formula>NOT(ISERROR(SEARCH("D",ET27)))</formula>
    </cfRule>
    <cfRule type="containsText" dxfId="912" priority="945" operator="containsText" text="A">
      <formula>NOT(ISERROR(SEARCH("A",ET27)))</formula>
    </cfRule>
    <cfRule type="containsText" dxfId="911" priority="946" operator="containsText" text="B">
      <formula>NOT(ISERROR(SEARCH("B",ET27)))</formula>
    </cfRule>
    <cfRule type="containsText" dxfId="910" priority="947" operator="containsText" text="C">
      <formula>NOT(ISERROR(SEARCH("C",ET27)))</formula>
    </cfRule>
  </conditionalFormatting>
  <conditionalFormatting sqref="ET30:EU32">
    <cfRule type="containsText" dxfId="909" priority="937" operator="containsText" text="E">
      <formula>NOT(ISERROR(SEARCH("E",ET30)))</formula>
    </cfRule>
    <cfRule type="containsText" dxfId="908" priority="938" operator="containsText" text="D">
      <formula>NOT(ISERROR(SEARCH("D",ET30)))</formula>
    </cfRule>
    <cfRule type="containsText" dxfId="907" priority="939" operator="containsText" text="A">
      <formula>NOT(ISERROR(SEARCH("A",ET30)))</formula>
    </cfRule>
    <cfRule type="containsText" dxfId="906" priority="940" operator="containsText" text="B">
      <formula>NOT(ISERROR(SEARCH("B",ET30)))</formula>
    </cfRule>
    <cfRule type="containsText" dxfId="905" priority="941" operator="containsText" text="C">
      <formula>NOT(ISERROR(SEARCH("C",ET30)))</formula>
    </cfRule>
  </conditionalFormatting>
  <conditionalFormatting sqref="ET33:EU35">
    <cfRule type="containsText" dxfId="904" priority="931" operator="containsText" text="E">
      <formula>NOT(ISERROR(SEARCH("E",ET33)))</formula>
    </cfRule>
    <cfRule type="containsText" dxfId="903" priority="932" operator="containsText" text="D">
      <formula>NOT(ISERROR(SEARCH("D",ET33)))</formula>
    </cfRule>
    <cfRule type="containsText" dxfId="902" priority="933" operator="containsText" text="A">
      <formula>NOT(ISERROR(SEARCH("A",ET33)))</formula>
    </cfRule>
    <cfRule type="containsText" dxfId="901" priority="934" operator="containsText" text="B">
      <formula>NOT(ISERROR(SEARCH("B",ET33)))</formula>
    </cfRule>
    <cfRule type="containsText" dxfId="900" priority="935" operator="containsText" text="C">
      <formula>NOT(ISERROR(SEARCH("C",ET33)))</formula>
    </cfRule>
  </conditionalFormatting>
  <conditionalFormatting sqref="ET36:EU38">
    <cfRule type="containsText" dxfId="899" priority="925" operator="containsText" text="E">
      <formula>NOT(ISERROR(SEARCH("E",ET36)))</formula>
    </cfRule>
    <cfRule type="containsText" dxfId="898" priority="926" operator="containsText" text="D">
      <formula>NOT(ISERROR(SEARCH("D",ET36)))</formula>
    </cfRule>
    <cfRule type="containsText" dxfId="897" priority="927" operator="containsText" text="A">
      <formula>NOT(ISERROR(SEARCH("A",ET36)))</formula>
    </cfRule>
    <cfRule type="containsText" dxfId="896" priority="928" operator="containsText" text="B">
      <formula>NOT(ISERROR(SEARCH("B",ET36)))</formula>
    </cfRule>
    <cfRule type="containsText" dxfId="895" priority="929" operator="containsText" text="C">
      <formula>NOT(ISERROR(SEARCH("C",ET36)))</formula>
    </cfRule>
  </conditionalFormatting>
  <conditionalFormatting sqref="ET39:EU41">
    <cfRule type="containsText" dxfId="894" priority="919" operator="containsText" text="E">
      <formula>NOT(ISERROR(SEARCH("E",ET39)))</formula>
    </cfRule>
    <cfRule type="containsText" dxfId="893" priority="920" operator="containsText" text="D">
      <formula>NOT(ISERROR(SEARCH("D",ET39)))</formula>
    </cfRule>
    <cfRule type="containsText" dxfId="892" priority="921" operator="containsText" text="A">
      <formula>NOT(ISERROR(SEARCH("A",ET39)))</formula>
    </cfRule>
    <cfRule type="containsText" dxfId="891" priority="922" operator="containsText" text="B">
      <formula>NOT(ISERROR(SEARCH("B",ET39)))</formula>
    </cfRule>
    <cfRule type="containsText" dxfId="890" priority="923" operator="containsText" text="C">
      <formula>NOT(ISERROR(SEARCH("C",ET39)))</formula>
    </cfRule>
  </conditionalFormatting>
  <conditionalFormatting sqref="ET42:EU44">
    <cfRule type="containsText" dxfId="889" priority="913" operator="containsText" text="E">
      <formula>NOT(ISERROR(SEARCH("E",ET42)))</formula>
    </cfRule>
    <cfRule type="containsText" dxfId="888" priority="914" operator="containsText" text="D">
      <formula>NOT(ISERROR(SEARCH("D",ET42)))</formula>
    </cfRule>
    <cfRule type="containsText" dxfId="887" priority="915" operator="containsText" text="A">
      <formula>NOT(ISERROR(SEARCH("A",ET42)))</formula>
    </cfRule>
    <cfRule type="containsText" dxfId="886" priority="916" operator="containsText" text="B">
      <formula>NOT(ISERROR(SEARCH("B",ET42)))</formula>
    </cfRule>
    <cfRule type="containsText" dxfId="885" priority="917" operator="containsText" text="C">
      <formula>NOT(ISERROR(SEARCH("C",ET42)))</formula>
    </cfRule>
  </conditionalFormatting>
  <conditionalFormatting sqref="ET45:EU47">
    <cfRule type="containsText" dxfId="884" priority="907" operator="containsText" text="E">
      <formula>NOT(ISERROR(SEARCH("E",ET45)))</formula>
    </cfRule>
    <cfRule type="containsText" dxfId="883" priority="908" operator="containsText" text="D">
      <formula>NOT(ISERROR(SEARCH("D",ET45)))</formula>
    </cfRule>
    <cfRule type="containsText" dxfId="882" priority="909" operator="containsText" text="A">
      <formula>NOT(ISERROR(SEARCH("A",ET45)))</formula>
    </cfRule>
    <cfRule type="containsText" dxfId="881" priority="910" operator="containsText" text="B">
      <formula>NOT(ISERROR(SEARCH("B",ET45)))</formula>
    </cfRule>
    <cfRule type="containsText" dxfId="880" priority="911" operator="containsText" text="C">
      <formula>NOT(ISERROR(SEARCH("C",ET45)))</formula>
    </cfRule>
  </conditionalFormatting>
  <conditionalFormatting sqref="ET48:EU50">
    <cfRule type="containsText" dxfId="879" priority="901" operator="containsText" text="E">
      <formula>NOT(ISERROR(SEARCH("E",ET48)))</formula>
    </cfRule>
    <cfRule type="containsText" dxfId="878" priority="902" operator="containsText" text="D">
      <formula>NOT(ISERROR(SEARCH("D",ET48)))</formula>
    </cfRule>
    <cfRule type="containsText" dxfId="877" priority="903" operator="containsText" text="A">
      <formula>NOT(ISERROR(SEARCH("A",ET48)))</formula>
    </cfRule>
    <cfRule type="containsText" dxfId="876" priority="904" operator="containsText" text="B">
      <formula>NOT(ISERROR(SEARCH("B",ET48)))</formula>
    </cfRule>
    <cfRule type="containsText" dxfId="875" priority="905" operator="containsText" text="C">
      <formula>NOT(ISERROR(SEARCH("C",ET48)))</formula>
    </cfRule>
  </conditionalFormatting>
  <conditionalFormatting sqref="ET51:EU53">
    <cfRule type="containsText" dxfId="874" priority="895" operator="containsText" text="E">
      <formula>NOT(ISERROR(SEARCH("E",ET51)))</formula>
    </cfRule>
    <cfRule type="containsText" dxfId="873" priority="896" operator="containsText" text="D">
      <formula>NOT(ISERROR(SEARCH("D",ET51)))</formula>
    </cfRule>
    <cfRule type="containsText" dxfId="872" priority="897" operator="containsText" text="A">
      <formula>NOT(ISERROR(SEARCH("A",ET51)))</formula>
    </cfRule>
    <cfRule type="containsText" dxfId="871" priority="898" operator="containsText" text="B">
      <formula>NOT(ISERROR(SEARCH("B",ET51)))</formula>
    </cfRule>
    <cfRule type="containsText" dxfId="870" priority="899" operator="containsText" text="C">
      <formula>NOT(ISERROR(SEARCH("C",ET51)))</formula>
    </cfRule>
  </conditionalFormatting>
  <conditionalFormatting sqref="ET54:EU56">
    <cfRule type="containsText" dxfId="869" priority="889" operator="containsText" text="E">
      <formula>NOT(ISERROR(SEARCH("E",ET54)))</formula>
    </cfRule>
    <cfRule type="containsText" dxfId="868" priority="890" operator="containsText" text="D">
      <formula>NOT(ISERROR(SEARCH("D",ET54)))</formula>
    </cfRule>
    <cfRule type="containsText" dxfId="867" priority="891" operator="containsText" text="A">
      <formula>NOT(ISERROR(SEARCH("A",ET54)))</formula>
    </cfRule>
    <cfRule type="containsText" dxfId="866" priority="892" operator="containsText" text="B">
      <formula>NOT(ISERROR(SEARCH("B",ET54)))</formula>
    </cfRule>
    <cfRule type="containsText" dxfId="865" priority="893" operator="containsText" text="C">
      <formula>NOT(ISERROR(SEARCH("C",ET54)))</formula>
    </cfRule>
  </conditionalFormatting>
  <conditionalFormatting sqref="ET57:EU59">
    <cfRule type="containsText" dxfId="864" priority="883" operator="containsText" text="E">
      <formula>NOT(ISERROR(SEARCH("E",ET57)))</formula>
    </cfRule>
    <cfRule type="containsText" dxfId="863" priority="884" operator="containsText" text="D">
      <formula>NOT(ISERROR(SEARCH("D",ET57)))</formula>
    </cfRule>
    <cfRule type="containsText" dxfId="862" priority="885" operator="containsText" text="A">
      <formula>NOT(ISERROR(SEARCH("A",ET57)))</formula>
    </cfRule>
    <cfRule type="containsText" dxfId="861" priority="886" operator="containsText" text="B">
      <formula>NOT(ISERROR(SEARCH("B",ET57)))</formula>
    </cfRule>
    <cfRule type="containsText" dxfId="860" priority="887" operator="containsText" text="C">
      <formula>NOT(ISERROR(SEARCH("C",ET57)))</formula>
    </cfRule>
  </conditionalFormatting>
  <conditionalFormatting sqref="ET60:EU62">
    <cfRule type="containsText" dxfId="859" priority="877" operator="containsText" text="E">
      <formula>NOT(ISERROR(SEARCH("E",ET60)))</formula>
    </cfRule>
    <cfRule type="containsText" dxfId="858" priority="878" operator="containsText" text="D">
      <formula>NOT(ISERROR(SEARCH("D",ET60)))</formula>
    </cfRule>
    <cfRule type="containsText" dxfId="857" priority="879" operator="containsText" text="A">
      <formula>NOT(ISERROR(SEARCH("A",ET60)))</formula>
    </cfRule>
    <cfRule type="containsText" dxfId="856" priority="880" operator="containsText" text="B">
      <formula>NOT(ISERROR(SEARCH("B",ET60)))</formula>
    </cfRule>
    <cfRule type="containsText" dxfId="855" priority="881" operator="containsText" text="C">
      <formula>NOT(ISERROR(SEARCH("C",ET60)))</formula>
    </cfRule>
  </conditionalFormatting>
  <conditionalFormatting sqref="ET63:EU65">
    <cfRule type="containsText" dxfId="854" priority="871" operator="containsText" text="E">
      <formula>NOT(ISERROR(SEARCH("E",ET63)))</formula>
    </cfRule>
    <cfRule type="containsText" dxfId="853" priority="872" operator="containsText" text="D">
      <formula>NOT(ISERROR(SEARCH("D",ET63)))</formula>
    </cfRule>
    <cfRule type="containsText" dxfId="852" priority="873" operator="containsText" text="A">
      <formula>NOT(ISERROR(SEARCH("A",ET63)))</formula>
    </cfRule>
    <cfRule type="containsText" dxfId="851" priority="874" operator="containsText" text="B">
      <formula>NOT(ISERROR(SEARCH("B",ET63)))</formula>
    </cfRule>
    <cfRule type="containsText" dxfId="850" priority="875" operator="containsText" text="C">
      <formula>NOT(ISERROR(SEARCH("C",ET63)))</formula>
    </cfRule>
  </conditionalFormatting>
  <conditionalFormatting sqref="EY45:EZ45">
    <cfRule type="containsText" dxfId="849" priority="865" operator="containsText" text="E">
      <formula>NOT(ISERROR(SEARCH("E",EY45)))</formula>
    </cfRule>
    <cfRule type="containsText" dxfId="848" priority="866" operator="containsText" text="D">
      <formula>NOT(ISERROR(SEARCH("D",EY45)))</formula>
    </cfRule>
    <cfRule type="containsText" dxfId="847" priority="867" operator="containsText" text="A">
      <formula>NOT(ISERROR(SEARCH("A",EY45)))</formula>
    </cfRule>
    <cfRule type="containsText" dxfId="846" priority="868" operator="containsText" text="B">
      <formula>NOT(ISERROR(SEARCH("B",EY45)))</formula>
    </cfRule>
    <cfRule type="containsText" dxfId="845" priority="870" operator="containsText" text="C">
      <formula>NOT(ISERROR(SEARCH("C",EY45)))</formula>
    </cfRule>
  </conditionalFormatting>
  <conditionalFormatting sqref="EY21:EZ23">
    <cfRule type="containsText" dxfId="844" priority="859" operator="containsText" text="E">
      <formula>NOT(ISERROR(SEARCH("E",EY21)))</formula>
    </cfRule>
    <cfRule type="containsText" dxfId="843" priority="860" operator="containsText" text="D">
      <formula>NOT(ISERROR(SEARCH("D",EY21)))</formula>
    </cfRule>
    <cfRule type="containsText" dxfId="842" priority="861" operator="containsText" text="A">
      <formula>NOT(ISERROR(SEARCH("A",EY21)))</formula>
    </cfRule>
    <cfRule type="containsText" dxfId="841" priority="862" operator="containsText" text="B">
      <formula>NOT(ISERROR(SEARCH("B",EY21)))</formula>
    </cfRule>
    <cfRule type="containsText" dxfId="840" priority="863" operator="containsText" text="C">
      <formula>NOT(ISERROR(SEARCH("C",EY21)))</formula>
    </cfRule>
  </conditionalFormatting>
  <conditionalFormatting sqref="EY24:EZ26">
    <cfRule type="containsText" dxfId="839" priority="853" operator="containsText" text="E">
      <formula>NOT(ISERROR(SEARCH("E",EY24)))</formula>
    </cfRule>
    <cfRule type="containsText" dxfId="838" priority="854" operator="containsText" text="D">
      <formula>NOT(ISERROR(SEARCH("D",EY24)))</formula>
    </cfRule>
    <cfRule type="containsText" dxfId="837" priority="855" operator="containsText" text="A">
      <formula>NOT(ISERROR(SEARCH("A",EY24)))</formula>
    </cfRule>
    <cfRule type="containsText" dxfId="836" priority="856" operator="containsText" text="B">
      <formula>NOT(ISERROR(SEARCH("B",EY24)))</formula>
    </cfRule>
    <cfRule type="containsText" dxfId="835" priority="857" operator="containsText" text="C">
      <formula>NOT(ISERROR(SEARCH("C",EY24)))</formula>
    </cfRule>
  </conditionalFormatting>
  <conditionalFormatting sqref="EY27:EZ29">
    <cfRule type="containsText" dxfId="834" priority="847" operator="containsText" text="E">
      <formula>NOT(ISERROR(SEARCH("E",EY27)))</formula>
    </cfRule>
    <cfRule type="containsText" dxfId="833" priority="848" operator="containsText" text="D">
      <formula>NOT(ISERROR(SEARCH("D",EY27)))</formula>
    </cfRule>
    <cfRule type="containsText" dxfId="832" priority="849" operator="containsText" text="A">
      <formula>NOT(ISERROR(SEARCH("A",EY27)))</formula>
    </cfRule>
    <cfRule type="containsText" dxfId="831" priority="850" operator="containsText" text="B">
      <formula>NOT(ISERROR(SEARCH("B",EY27)))</formula>
    </cfRule>
    <cfRule type="containsText" dxfId="830" priority="851" operator="containsText" text="C">
      <formula>NOT(ISERROR(SEARCH("C",EY27)))</formula>
    </cfRule>
  </conditionalFormatting>
  <conditionalFormatting sqref="EY30:EZ32">
    <cfRule type="containsText" dxfId="829" priority="841" operator="containsText" text="E">
      <formula>NOT(ISERROR(SEARCH("E",EY30)))</formula>
    </cfRule>
    <cfRule type="containsText" dxfId="828" priority="842" operator="containsText" text="D">
      <formula>NOT(ISERROR(SEARCH("D",EY30)))</formula>
    </cfRule>
    <cfRule type="containsText" dxfId="827" priority="843" operator="containsText" text="A">
      <formula>NOT(ISERROR(SEARCH("A",EY30)))</formula>
    </cfRule>
    <cfRule type="containsText" dxfId="826" priority="844" operator="containsText" text="B">
      <formula>NOT(ISERROR(SEARCH("B",EY30)))</formula>
    </cfRule>
    <cfRule type="containsText" dxfId="825" priority="845" operator="containsText" text="C">
      <formula>NOT(ISERROR(SEARCH("C",EY30)))</formula>
    </cfRule>
  </conditionalFormatting>
  <conditionalFormatting sqref="EY33:EZ35">
    <cfRule type="containsText" dxfId="824" priority="835" operator="containsText" text="E">
      <formula>NOT(ISERROR(SEARCH("E",EY33)))</formula>
    </cfRule>
    <cfRule type="containsText" dxfId="823" priority="836" operator="containsText" text="D">
      <formula>NOT(ISERROR(SEARCH("D",EY33)))</formula>
    </cfRule>
    <cfRule type="containsText" dxfId="822" priority="837" operator="containsText" text="A">
      <formula>NOT(ISERROR(SEARCH("A",EY33)))</formula>
    </cfRule>
    <cfRule type="containsText" dxfId="821" priority="838" operator="containsText" text="B">
      <formula>NOT(ISERROR(SEARCH("B",EY33)))</formula>
    </cfRule>
    <cfRule type="containsText" dxfId="820" priority="839" operator="containsText" text="C">
      <formula>NOT(ISERROR(SEARCH("C",EY33)))</formula>
    </cfRule>
  </conditionalFormatting>
  <conditionalFormatting sqref="EY36:EZ38">
    <cfRule type="containsText" dxfId="819" priority="829" operator="containsText" text="E">
      <formula>NOT(ISERROR(SEARCH("E",EY36)))</formula>
    </cfRule>
    <cfRule type="containsText" dxfId="818" priority="830" operator="containsText" text="D">
      <formula>NOT(ISERROR(SEARCH("D",EY36)))</formula>
    </cfRule>
    <cfRule type="containsText" dxfId="817" priority="831" operator="containsText" text="A">
      <formula>NOT(ISERROR(SEARCH("A",EY36)))</formula>
    </cfRule>
    <cfRule type="containsText" dxfId="816" priority="832" operator="containsText" text="B">
      <formula>NOT(ISERROR(SEARCH("B",EY36)))</formula>
    </cfRule>
    <cfRule type="containsText" dxfId="815" priority="833" operator="containsText" text="C">
      <formula>NOT(ISERROR(SEARCH("C",EY36)))</formula>
    </cfRule>
  </conditionalFormatting>
  <conditionalFormatting sqref="EY39:EZ41">
    <cfRule type="containsText" dxfId="814" priority="823" operator="containsText" text="E">
      <formula>NOT(ISERROR(SEARCH("E",EY39)))</formula>
    </cfRule>
    <cfRule type="containsText" dxfId="813" priority="824" operator="containsText" text="D">
      <formula>NOT(ISERROR(SEARCH("D",EY39)))</formula>
    </cfRule>
    <cfRule type="containsText" dxfId="812" priority="825" operator="containsText" text="A">
      <formula>NOT(ISERROR(SEARCH("A",EY39)))</formula>
    </cfRule>
    <cfRule type="containsText" dxfId="811" priority="826" operator="containsText" text="B">
      <formula>NOT(ISERROR(SEARCH("B",EY39)))</formula>
    </cfRule>
    <cfRule type="containsText" dxfId="810" priority="827" operator="containsText" text="C">
      <formula>NOT(ISERROR(SEARCH("C",EY39)))</formula>
    </cfRule>
  </conditionalFormatting>
  <conditionalFormatting sqref="EY42:EZ44">
    <cfRule type="containsText" dxfId="809" priority="817" operator="containsText" text="E">
      <formula>NOT(ISERROR(SEARCH("E",EY42)))</formula>
    </cfRule>
    <cfRule type="containsText" dxfId="808" priority="818" operator="containsText" text="D">
      <formula>NOT(ISERROR(SEARCH("D",EY42)))</formula>
    </cfRule>
    <cfRule type="containsText" dxfId="807" priority="819" operator="containsText" text="A">
      <formula>NOT(ISERROR(SEARCH("A",EY42)))</formula>
    </cfRule>
    <cfRule type="containsText" dxfId="806" priority="820" operator="containsText" text="B">
      <formula>NOT(ISERROR(SEARCH("B",EY42)))</formula>
    </cfRule>
    <cfRule type="containsText" dxfId="805" priority="821" operator="containsText" text="C">
      <formula>NOT(ISERROR(SEARCH("C",EY42)))</formula>
    </cfRule>
  </conditionalFormatting>
  <conditionalFormatting sqref="EY45:EZ47">
    <cfRule type="containsText" dxfId="804" priority="811" operator="containsText" text="E">
      <formula>NOT(ISERROR(SEARCH("E",EY45)))</formula>
    </cfRule>
    <cfRule type="containsText" dxfId="803" priority="812" operator="containsText" text="D">
      <formula>NOT(ISERROR(SEARCH("D",EY45)))</formula>
    </cfRule>
    <cfRule type="containsText" dxfId="802" priority="813" operator="containsText" text="A">
      <formula>NOT(ISERROR(SEARCH("A",EY45)))</formula>
    </cfRule>
    <cfRule type="containsText" dxfId="801" priority="814" operator="containsText" text="B">
      <formula>NOT(ISERROR(SEARCH("B",EY45)))</formula>
    </cfRule>
    <cfRule type="containsText" dxfId="800" priority="815" operator="containsText" text="C">
      <formula>NOT(ISERROR(SEARCH("C",EY45)))</formula>
    </cfRule>
  </conditionalFormatting>
  <conditionalFormatting sqref="EY48:EZ50">
    <cfRule type="containsText" dxfId="799" priority="805" operator="containsText" text="E">
      <formula>NOT(ISERROR(SEARCH("E",EY48)))</formula>
    </cfRule>
    <cfRule type="containsText" dxfId="798" priority="806" operator="containsText" text="D">
      <formula>NOT(ISERROR(SEARCH("D",EY48)))</formula>
    </cfRule>
    <cfRule type="containsText" dxfId="797" priority="807" operator="containsText" text="A">
      <formula>NOT(ISERROR(SEARCH("A",EY48)))</formula>
    </cfRule>
    <cfRule type="containsText" dxfId="796" priority="808" operator="containsText" text="B">
      <formula>NOT(ISERROR(SEARCH("B",EY48)))</formula>
    </cfRule>
    <cfRule type="containsText" dxfId="795" priority="809" operator="containsText" text="C">
      <formula>NOT(ISERROR(SEARCH("C",EY48)))</formula>
    </cfRule>
  </conditionalFormatting>
  <conditionalFormatting sqref="EY51:EZ53">
    <cfRule type="containsText" dxfId="794" priority="799" operator="containsText" text="E">
      <formula>NOT(ISERROR(SEARCH("E",EY51)))</formula>
    </cfRule>
    <cfRule type="containsText" dxfId="793" priority="800" operator="containsText" text="D">
      <formula>NOT(ISERROR(SEARCH("D",EY51)))</formula>
    </cfRule>
    <cfRule type="containsText" dxfId="792" priority="801" operator="containsText" text="A">
      <formula>NOT(ISERROR(SEARCH("A",EY51)))</formula>
    </cfRule>
    <cfRule type="containsText" dxfId="791" priority="802" operator="containsText" text="B">
      <formula>NOT(ISERROR(SEARCH("B",EY51)))</formula>
    </cfRule>
    <cfRule type="containsText" dxfId="790" priority="803" operator="containsText" text="C">
      <formula>NOT(ISERROR(SEARCH("C",EY51)))</formula>
    </cfRule>
  </conditionalFormatting>
  <conditionalFormatting sqref="EY54:EZ56">
    <cfRule type="containsText" dxfId="789" priority="793" operator="containsText" text="E">
      <formula>NOT(ISERROR(SEARCH("E",EY54)))</formula>
    </cfRule>
    <cfRule type="containsText" dxfId="788" priority="794" operator="containsText" text="D">
      <formula>NOT(ISERROR(SEARCH("D",EY54)))</formula>
    </cfRule>
    <cfRule type="containsText" dxfId="787" priority="795" operator="containsText" text="A">
      <formula>NOT(ISERROR(SEARCH("A",EY54)))</formula>
    </cfRule>
    <cfRule type="containsText" dxfId="786" priority="796" operator="containsText" text="B">
      <formula>NOT(ISERROR(SEARCH("B",EY54)))</formula>
    </cfRule>
    <cfRule type="containsText" dxfId="785" priority="797" operator="containsText" text="C">
      <formula>NOT(ISERROR(SEARCH("C",EY54)))</formula>
    </cfRule>
  </conditionalFormatting>
  <conditionalFormatting sqref="EY57:EZ59">
    <cfRule type="containsText" dxfId="784" priority="787" operator="containsText" text="E">
      <formula>NOT(ISERROR(SEARCH("E",EY57)))</formula>
    </cfRule>
    <cfRule type="containsText" dxfId="783" priority="788" operator="containsText" text="D">
      <formula>NOT(ISERROR(SEARCH("D",EY57)))</formula>
    </cfRule>
    <cfRule type="containsText" dxfId="782" priority="789" operator="containsText" text="A">
      <formula>NOT(ISERROR(SEARCH("A",EY57)))</formula>
    </cfRule>
    <cfRule type="containsText" dxfId="781" priority="790" operator="containsText" text="B">
      <formula>NOT(ISERROR(SEARCH("B",EY57)))</formula>
    </cfRule>
    <cfRule type="containsText" dxfId="780" priority="791" operator="containsText" text="C">
      <formula>NOT(ISERROR(SEARCH("C",EY57)))</formula>
    </cfRule>
  </conditionalFormatting>
  <conditionalFormatting sqref="EY60:EZ62">
    <cfRule type="containsText" dxfId="779" priority="781" operator="containsText" text="E">
      <formula>NOT(ISERROR(SEARCH("E",EY60)))</formula>
    </cfRule>
    <cfRule type="containsText" dxfId="778" priority="782" operator="containsText" text="D">
      <formula>NOT(ISERROR(SEARCH("D",EY60)))</formula>
    </cfRule>
    <cfRule type="containsText" dxfId="777" priority="783" operator="containsText" text="A">
      <formula>NOT(ISERROR(SEARCH("A",EY60)))</formula>
    </cfRule>
    <cfRule type="containsText" dxfId="776" priority="784" operator="containsText" text="B">
      <formula>NOT(ISERROR(SEARCH("B",EY60)))</formula>
    </cfRule>
    <cfRule type="containsText" dxfId="775" priority="785" operator="containsText" text="C">
      <formula>NOT(ISERROR(SEARCH("C",EY60)))</formula>
    </cfRule>
  </conditionalFormatting>
  <conditionalFormatting sqref="EY63:EZ65">
    <cfRule type="containsText" dxfId="774" priority="775" operator="containsText" text="E">
      <formula>NOT(ISERROR(SEARCH("E",EY63)))</formula>
    </cfRule>
    <cfRule type="containsText" dxfId="773" priority="776" operator="containsText" text="D">
      <formula>NOT(ISERROR(SEARCH("D",EY63)))</formula>
    </cfRule>
    <cfRule type="containsText" dxfId="772" priority="777" operator="containsText" text="A">
      <formula>NOT(ISERROR(SEARCH("A",EY63)))</formula>
    </cfRule>
    <cfRule type="containsText" dxfId="771" priority="778" operator="containsText" text="B">
      <formula>NOT(ISERROR(SEARCH("B",EY63)))</formula>
    </cfRule>
    <cfRule type="containsText" dxfId="770" priority="779" operator="containsText" text="C">
      <formula>NOT(ISERROR(SEARCH("C",EY63)))</formula>
    </cfRule>
  </conditionalFormatting>
  <conditionalFormatting sqref="FD45:FE45">
    <cfRule type="containsText" dxfId="769" priority="769" operator="containsText" text="E">
      <formula>NOT(ISERROR(SEARCH("E",FD45)))</formula>
    </cfRule>
    <cfRule type="containsText" dxfId="768" priority="770" operator="containsText" text="D">
      <formula>NOT(ISERROR(SEARCH("D",FD45)))</formula>
    </cfRule>
    <cfRule type="containsText" dxfId="767" priority="771" operator="containsText" text="A">
      <formula>NOT(ISERROR(SEARCH("A",FD45)))</formula>
    </cfRule>
    <cfRule type="containsText" dxfId="766" priority="772" operator="containsText" text="B">
      <formula>NOT(ISERROR(SEARCH("B",FD45)))</formula>
    </cfRule>
    <cfRule type="containsText" dxfId="765" priority="774" operator="containsText" text="C">
      <formula>NOT(ISERROR(SEARCH("C",FD45)))</formula>
    </cfRule>
  </conditionalFormatting>
  <conditionalFormatting sqref="FD21:FE23">
    <cfRule type="containsText" dxfId="764" priority="763" operator="containsText" text="E">
      <formula>NOT(ISERROR(SEARCH("E",FD21)))</formula>
    </cfRule>
    <cfRule type="containsText" dxfId="763" priority="764" operator="containsText" text="D">
      <formula>NOT(ISERROR(SEARCH("D",FD21)))</formula>
    </cfRule>
    <cfRule type="containsText" dxfId="762" priority="765" operator="containsText" text="A">
      <formula>NOT(ISERROR(SEARCH("A",FD21)))</formula>
    </cfRule>
    <cfRule type="containsText" dxfId="761" priority="766" operator="containsText" text="B">
      <formula>NOT(ISERROR(SEARCH("B",FD21)))</formula>
    </cfRule>
    <cfRule type="containsText" dxfId="760" priority="767" operator="containsText" text="C">
      <formula>NOT(ISERROR(SEARCH("C",FD21)))</formula>
    </cfRule>
  </conditionalFormatting>
  <conditionalFormatting sqref="FD24:FE26">
    <cfRule type="containsText" dxfId="759" priority="757" operator="containsText" text="E">
      <formula>NOT(ISERROR(SEARCH("E",FD24)))</formula>
    </cfRule>
    <cfRule type="containsText" dxfId="758" priority="758" operator="containsText" text="D">
      <formula>NOT(ISERROR(SEARCH("D",FD24)))</formula>
    </cfRule>
    <cfRule type="containsText" dxfId="757" priority="759" operator="containsText" text="A">
      <formula>NOT(ISERROR(SEARCH("A",FD24)))</formula>
    </cfRule>
    <cfRule type="containsText" dxfId="756" priority="760" operator="containsText" text="B">
      <formula>NOT(ISERROR(SEARCH("B",FD24)))</formula>
    </cfRule>
    <cfRule type="containsText" dxfId="755" priority="761" operator="containsText" text="C">
      <formula>NOT(ISERROR(SEARCH("C",FD24)))</formula>
    </cfRule>
  </conditionalFormatting>
  <conditionalFormatting sqref="FD27:FE29">
    <cfRule type="containsText" dxfId="754" priority="751" operator="containsText" text="E">
      <formula>NOT(ISERROR(SEARCH("E",FD27)))</formula>
    </cfRule>
    <cfRule type="containsText" dxfId="753" priority="752" operator="containsText" text="D">
      <formula>NOT(ISERROR(SEARCH("D",FD27)))</formula>
    </cfRule>
    <cfRule type="containsText" dxfId="752" priority="753" operator="containsText" text="A">
      <formula>NOT(ISERROR(SEARCH("A",FD27)))</formula>
    </cfRule>
    <cfRule type="containsText" dxfId="751" priority="754" operator="containsText" text="B">
      <formula>NOT(ISERROR(SEARCH("B",FD27)))</formula>
    </cfRule>
    <cfRule type="containsText" dxfId="750" priority="755" operator="containsText" text="C">
      <formula>NOT(ISERROR(SEARCH("C",FD27)))</formula>
    </cfRule>
  </conditionalFormatting>
  <conditionalFormatting sqref="FD30:FE32">
    <cfRule type="containsText" dxfId="749" priority="745" operator="containsText" text="E">
      <formula>NOT(ISERROR(SEARCH("E",FD30)))</formula>
    </cfRule>
    <cfRule type="containsText" dxfId="748" priority="746" operator="containsText" text="D">
      <formula>NOT(ISERROR(SEARCH("D",FD30)))</formula>
    </cfRule>
    <cfRule type="containsText" dxfId="747" priority="747" operator="containsText" text="A">
      <formula>NOT(ISERROR(SEARCH("A",FD30)))</formula>
    </cfRule>
    <cfRule type="containsText" dxfId="746" priority="748" operator="containsText" text="B">
      <formula>NOT(ISERROR(SEARCH("B",FD30)))</formula>
    </cfRule>
    <cfRule type="containsText" dxfId="745" priority="749" operator="containsText" text="C">
      <formula>NOT(ISERROR(SEARCH("C",FD30)))</formula>
    </cfRule>
  </conditionalFormatting>
  <conditionalFormatting sqref="FD33:FE35">
    <cfRule type="containsText" dxfId="744" priority="739" operator="containsText" text="E">
      <formula>NOT(ISERROR(SEARCH("E",FD33)))</formula>
    </cfRule>
    <cfRule type="containsText" dxfId="743" priority="740" operator="containsText" text="D">
      <formula>NOT(ISERROR(SEARCH("D",FD33)))</formula>
    </cfRule>
    <cfRule type="containsText" dxfId="742" priority="741" operator="containsText" text="A">
      <formula>NOT(ISERROR(SEARCH("A",FD33)))</formula>
    </cfRule>
    <cfRule type="containsText" dxfId="741" priority="742" operator="containsText" text="B">
      <formula>NOT(ISERROR(SEARCH("B",FD33)))</formula>
    </cfRule>
    <cfRule type="containsText" dxfId="740" priority="743" operator="containsText" text="C">
      <formula>NOT(ISERROR(SEARCH("C",FD33)))</formula>
    </cfRule>
  </conditionalFormatting>
  <conditionalFormatting sqref="FD36:FE38">
    <cfRule type="containsText" dxfId="739" priority="733" operator="containsText" text="E">
      <formula>NOT(ISERROR(SEARCH("E",FD36)))</formula>
    </cfRule>
    <cfRule type="containsText" dxfId="738" priority="734" operator="containsText" text="D">
      <formula>NOT(ISERROR(SEARCH("D",FD36)))</formula>
    </cfRule>
    <cfRule type="containsText" dxfId="737" priority="735" operator="containsText" text="A">
      <formula>NOT(ISERROR(SEARCH("A",FD36)))</formula>
    </cfRule>
    <cfRule type="containsText" dxfId="736" priority="736" operator="containsText" text="B">
      <formula>NOT(ISERROR(SEARCH("B",FD36)))</formula>
    </cfRule>
    <cfRule type="containsText" dxfId="735" priority="737" operator="containsText" text="C">
      <formula>NOT(ISERROR(SEARCH("C",FD36)))</formula>
    </cfRule>
  </conditionalFormatting>
  <conditionalFormatting sqref="FD39:FE41">
    <cfRule type="containsText" dxfId="734" priority="727" operator="containsText" text="E">
      <formula>NOT(ISERROR(SEARCH("E",FD39)))</formula>
    </cfRule>
    <cfRule type="containsText" dxfId="733" priority="728" operator="containsText" text="D">
      <formula>NOT(ISERROR(SEARCH("D",FD39)))</formula>
    </cfRule>
    <cfRule type="containsText" dxfId="732" priority="729" operator="containsText" text="A">
      <formula>NOT(ISERROR(SEARCH("A",FD39)))</formula>
    </cfRule>
    <cfRule type="containsText" dxfId="731" priority="730" operator="containsText" text="B">
      <formula>NOT(ISERROR(SEARCH("B",FD39)))</formula>
    </cfRule>
    <cfRule type="containsText" dxfId="730" priority="731" operator="containsText" text="C">
      <formula>NOT(ISERROR(SEARCH("C",FD39)))</formula>
    </cfRule>
  </conditionalFormatting>
  <conditionalFormatting sqref="FD42:FE44">
    <cfRule type="containsText" dxfId="729" priority="721" operator="containsText" text="E">
      <formula>NOT(ISERROR(SEARCH("E",FD42)))</formula>
    </cfRule>
    <cfRule type="containsText" dxfId="728" priority="722" operator="containsText" text="D">
      <formula>NOT(ISERROR(SEARCH("D",FD42)))</formula>
    </cfRule>
    <cfRule type="containsText" dxfId="727" priority="723" operator="containsText" text="A">
      <formula>NOT(ISERROR(SEARCH("A",FD42)))</formula>
    </cfRule>
    <cfRule type="containsText" dxfId="726" priority="724" operator="containsText" text="B">
      <formula>NOT(ISERROR(SEARCH("B",FD42)))</formula>
    </cfRule>
    <cfRule type="containsText" dxfId="725" priority="725" operator="containsText" text="C">
      <formula>NOT(ISERROR(SEARCH("C",FD42)))</formula>
    </cfRule>
  </conditionalFormatting>
  <conditionalFormatting sqref="FD45:FE47">
    <cfRule type="containsText" dxfId="724" priority="715" operator="containsText" text="E">
      <formula>NOT(ISERROR(SEARCH("E",FD45)))</formula>
    </cfRule>
    <cfRule type="containsText" dxfId="723" priority="716" operator="containsText" text="D">
      <formula>NOT(ISERROR(SEARCH("D",FD45)))</formula>
    </cfRule>
    <cfRule type="containsText" dxfId="722" priority="717" operator="containsText" text="A">
      <formula>NOT(ISERROR(SEARCH("A",FD45)))</formula>
    </cfRule>
    <cfRule type="containsText" dxfId="721" priority="718" operator="containsText" text="B">
      <formula>NOT(ISERROR(SEARCH("B",FD45)))</formula>
    </cfRule>
    <cfRule type="containsText" dxfId="720" priority="719" operator="containsText" text="C">
      <formula>NOT(ISERROR(SEARCH("C",FD45)))</formula>
    </cfRule>
  </conditionalFormatting>
  <conditionalFormatting sqref="FD48:FE50">
    <cfRule type="containsText" dxfId="719" priority="709" operator="containsText" text="E">
      <formula>NOT(ISERROR(SEARCH("E",FD48)))</formula>
    </cfRule>
    <cfRule type="containsText" dxfId="718" priority="710" operator="containsText" text="D">
      <formula>NOT(ISERROR(SEARCH("D",FD48)))</formula>
    </cfRule>
    <cfRule type="containsText" dxfId="717" priority="711" operator="containsText" text="A">
      <formula>NOT(ISERROR(SEARCH("A",FD48)))</formula>
    </cfRule>
    <cfRule type="containsText" dxfId="716" priority="712" operator="containsText" text="B">
      <formula>NOT(ISERROR(SEARCH("B",FD48)))</formula>
    </cfRule>
    <cfRule type="containsText" dxfId="715" priority="713" operator="containsText" text="C">
      <formula>NOT(ISERROR(SEARCH("C",FD48)))</formula>
    </cfRule>
  </conditionalFormatting>
  <conditionalFormatting sqref="FD51:FE53">
    <cfRule type="containsText" dxfId="714" priority="703" operator="containsText" text="E">
      <formula>NOT(ISERROR(SEARCH("E",FD51)))</formula>
    </cfRule>
    <cfRule type="containsText" dxfId="713" priority="704" operator="containsText" text="D">
      <formula>NOT(ISERROR(SEARCH("D",FD51)))</formula>
    </cfRule>
    <cfRule type="containsText" dxfId="712" priority="705" operator="containsText" text="A">
      <formula>NOT(ISERROR(SEARCH("A",FD51)))</formula>
    </cfRule>
    <cfRule type="containsText" dxfId="711" priority="706" operator="containsText" text="B">
      <formula>NOT(ISERROR(SEARCH("B",FD51)))</formula>
    </cfRule>
    <cfRule type="containsText" dxfId="710" priority="707" operator="containsText" text="C">
      <formula>NOT(ISERROR(SEARCH("C",FD51)))</formula>
    </cfRule>
  </conditionalFormatting>
  <conditionalFormatting sqref="FD54:FE56">
    <cfRule type="containsText" dxfId="709" priority="697" operator="containsText" text="E">
      <formula>NOT(ISERROR(SEARCH("E",FD54)))</formula>
    </cfRule>
    <cfRule type="containsText" dxfId="708" priority="698" operator="containsText" text="D">
      <formula>NOT(ISERROR(SEARCH("D",FD54)))</formula>
    </cfRule>
    <cfRule type="containsText" dxfId="707" priority="699" operator="containsText" text="A">
      <formula>NOT(ISERROR(SEARCH("A",FD54)))</formula>
    </cfRule>
    <cfRule type="containsText" dxfId="706" priority="700" operator="containsText" text="B">
      <formula>NOT(ISERROR(SEARCH("B",FD54)))</formula>
    </cfRule>
    <cfRule type="containsText" dxfId="705" priority="701" operator="containsText" text="C">
      <formula>NOT(ISERROR(SEARCH("C",FD54)))</formula>
    </cfRule>
  </conditionalFormatting>
  <conditionalFormatting sqref="FD57:FE59">
    <cfRule type="containsText" dxfId="704" priority="691" operator="containsText" text="E">
      <formula>NOT(ISERROR(SEARCH("E",FD57)))</formula>
    </cfRule>
    <cfRule type="containsText" dxfId="703" priority="692" operator="containsText" text="D">
      <formula>NOT(ISERROR(SEARCH("D",FD57)))</formula>
    </cfRule>
    <cfRule type="containsText" dxfId="702" priority="693" operator="containsText" text="A">
      <formula>NOT(ISERROR(SEARCH("A",FD57)))</formula>
    </cfRule>
    <cfRule type="containsText" dxfId="701" priority="694" operator="containsText" text="B">
      <formula>NOT(ISERROR(SEARCH("B",FD57)))</formula>
    </cfRule>
    <cfRule type="containsText" dxfId="700" priority="695" operator="containsText" text="C">
      <formula>NOT(ISERROR(SEARCH("C",FD57)))</formula>
    </cfRule>
  </conditionalFormatting>
  <conditionalFormatting sqref="FD60:FE62">
    <cfRule type="containsText" dxfId="699" priority="685" operator="containsText" text="E">
      <formula>NOT(ISERROR(SEARCH("E",FD60)))</formula>
    </cfRule>
    <cfRule type="containsText" dxfId="698" priority="686" operator="containsText" text="D">
      <formula>NOT(ISERROR(SEARCH("D",FD60)))</formula>
    </cfRule>
    <cfRule type="containsText" dxfId="697" priority="687" operator="containsText" text="A">
      <formula>NOT(ISERROR(SEARCH("A",FD60)))</formula>
    </cfRule>
    <cfRule type="containsText" dxfId="696" priority="688" operator="containsText" text="B">
      <formula>NOT(ISERROR(SEARCH("B",FD60)))</formula>
    </cfRule>
    <cfRule type="containsText" dxfId="695" priority="689" operator="containsText" text="C">
      <formula>NOT(ISERROR(SEARCH("C",FD60)))</formula>
    </cfRule>
  </conditionalFormatting>
  <conditionalFormatting sqref="FD63:FE65">
    <cfRule type="containsText" dxfId="694" priority="679" operator="containsText" text="E">
      <formula>NOT(ISERROR(SEARCH("E",FD63)))</formula>
    </cfRule>
    <cfRule type="containsText" dxfId="693" priority="680" operator="containsText" text="D">
      <formula>NOT(ISERROR(SEARCH("D",FD63)))</formula>
    </cfRule>
    <cfRule type="containsText" dxfId="692" priority="681" operator="containsText" text="A">
      <formula>NOT(ISERROR(SEARCH("A",FD63)))</formula>
    </cfRule>
    <cfRule type="containsText" dxfId="691" priority="682" operator="containsText" text="B">
      <formula>NOT(ISERROR(SEARCH("B",FD63)))</formula>
    </cfRule>
    <cfRule type="containsText" dxfId="690" priority="683" operator="containsText" text="C">
      <formula>NOT(ISERROR(SEARCH("C",FD63)))</formula>
    </cfRule>
  </conditionalFormatting>
  <conditionalFormatting sqref="FI45:FJ45">
    <cfRule type="containsText" dxfId="689" priority="673" operator="containsText" text="E">
      <formula>NOT(ISERROR(SEARCH("E",FI45)))</formula>
    </cfRule>
    <cfRule type="containsText" dxfId="688" priority="674" operator="containsText" text="D">
      <formula>NOT(ISERROR(SEARCH("D",FI45)))</formula>
    </cfRule>
    <cfRule type="containsText" dxfId="687" priority="675" operator="containsText" text="A">
      <formula>NOT(ISERROR(SEARCH("A",FI45)))</formula>
    </cfRule>
    <cfRule type="containsText" dxfId="686" priority="676" operator="containsText" text="B">
      <formula>NOT(ISERROR(SEARCH("B",FI45)))</formula>
    </cfRule>
    <cfRule type="containsText" dxfId="685" priority="678" operator="containsText" text="C">
      <formula>NOT(ISERROR(SEARCH("C",FI45)))</formula>
    </cfRule>
  </conditionalFormatting>
  <conditionalFormatting sqref="FI21:FJ23">
    <cfRule type="containsText" dxfId="684" priority="667" operator="containsText" text="E">
      <formula>NOT(ISERROR(SEARCH("E",FI21)))</formula>
    </cfRule>
    <cfRule type="containsText" dxfId="683" priority="668" operator="containsText" text="D">
      <formula>NOT(ISERROR(SEARCH("D",FI21)))</formula>
    </cfRule>
    <cfRule type="containsText" dxfId="682" priority="669" operator="containsText" text="A">
      <formula>NOT(ISERROR(SEARCH("A",FI21)))</formula>
    </cfRule>
    <cfRule type="containsText" dxfId="681" priority="670" operator="containsText" text="B">
      <formula>NOT(ISERROR(SEARCH("B",FI21)))</formula>
    </cfRule>
    <cfRule type="containsText" dxfId="680" priority="671" operator="containsText" text="C">
      <formula>NOT(ISERROR(SEARCH("C",FI21)))</formula>
    </cfRule>
  </conditionalFormatting>
  <conditionalFormatting sqref="FI24:FJ26">
    <cfRule type="containsText" dxfId="679" priority="661" operator="containsText" text="E">
      <formula>NOT(ISERROR(SEARCH("E",FI24)))</formula>
    </cfRule>
    <cfRule type="containsText" dxfId="678" priority="662" operator="containsText" text="D">
      <formula>NOT(ISERROR(SEARCH("D",FI24)))</formula>
    </cfRule>
    <cfRule type="containsText" dxfId="677" priority="663" operator="containsText" text="A">
      <formula>NOT(ISERROR(SEARCH("A",FI24)))</formula>
    </cfRule>
    <cfRule type="containsText" dxfId="676" priority="664" operator="containsText" text="B">
      <formula>NOT(ISERROR(SEARCH("B",FI24)))</formula>
    </cfRule>
    <cfRule type="containsText" dxfId="675" priority="665" operator="containsText" text="C">
      <formula>NOT(ISERROR(SEARCH("C",FI24)))</formula>
    </cfRule>
  </conditionalFormatting>
  <conditionalFormatting sqref="FI27:FJ29">
    <cfRule type="containsText" dxfId="674" priority="655" operator="containsText" text="E">
      <formula>NOT(ISERROR(SEARCH("E",FI27)))</formula>
    </cfRule>
    <cfRule type="containsText" dxfId="673" priority="656" operator="containsText" text="D">
      <formula>NOT(ISERROR(SEARCH("D",FI27)))</formula>
    </cfRule>
    <cfRule type="containsText" dxfId="672" priority="657" operator="containsText" text="A">
      <formula>NOT(ISERROR(SEARCH("A",FI27)))</formula>
    </cfRule>
    <cfRule type="containsText" dxfId="671" priority="658" operator="containsText" text="B">
      <formula>NOT(ISERROR(SEARCH("B",FI27)))</formula>
    </cfRule>
    <cfRule type="containsText" dxfId="670" priority="659" operator="containsText" text="C">
      <formula>NOT(ISERROR(SEARCH("C",FI27)))</formula>
    </cfRule>
  </conditionalFormatting>
  <conditionalFormatting sqref="FI30:FJ32">
    <cfRule type="containsText" dxfId="669" priority="649" operator="containsText" text="E">
      <formula>NOT(ISERROR(SEARCH("E",FI30)))</formula>
    </cfRule>
    <cfRule type="containsText" dxfId="668" priority="650" operator="containsText" text="D">
      <formula>NOT(ISERROR(SEARCH("D",FI30)))</formula>
    </cfRule>
    <cfRule type="containsText" dxfId="667" priority="651" operator="containsText" text="A">
      <formula>NOT(ISERROR(SEARCH("A",FI30)))</formula>
    </cfRule>
    <cfRule type="containsText" dxfId="666" priority="652" operator="containsText" text="B">
      <formula>NOT(ISERROR(SEARCH("B",FI30)))</formula>
    </cfRule>
    <cfRule type="containsText" dxfId="665" priority="653" operator="containsText" text="C">
      <formula>NOT(ISERROR(SEARCH("C",FI30)))</formula>
    </cfRule>
  </conditionalFormatting>
  <conditionalFormatting sqref="FI33:FJ35">
    <cfRule type="containsText" dxfId="664" priority="643" operator="containsText" text="E">
      <formula>NOT(ISERROR(SEARCH("E",FI33)))</formula>
    </cfRule>
    <cfRule type="containsText" dxfId="663" priority="644" operator="containsText" text="D">
      <formula>NOT(ISERROR(SEARCH("D",FI33)))</formula>
    </cfRule>
    <cfRule type="containsText" dxfId="662" priority="645" operator="containsText" text="A">
      <formula>NOT(ISERROR(SEARCH("A",FI33)))</formula>
    </cfRule>
    <cfRule type="containsText" dxfId="661" priority="646" operator="containsText" text="B">
      <formula>NOT(ISERROR(SEARCH("B",FI33)))</formula>
    </cfRule>
    <cfRule type="containsText" dxfId="660" priority="647" operator="containsText" text="C">
      <formula>NOT(ISERROR(SEARCH("C",FI33)))</formula>
    </cfRule>
  </conditionalFormatting>
  <conditionalFormatting sqref="FI36:FJ38">
    <cfRule type="containsText" dxfId="659" priority="637" operator="containsText" text="E">
      <formula>NOT(ISERROR(SEARCH("E",FI36)))</formula>
    </cfRule>
    <cfRule type="containsText" dxfId="658" priority="638" operator="containsText" text="D">
      <formula>NOT(ISERROR(SEARCH("D",FI36)))</formula>
    </cfRule>
    <cfRule type="containsText" dxfId="657" priority="639" operator="containsText" text="A">
      <formula>NOT(ISERROR(SEARCH("A",FI36)))</formula>
    </cfRule>
    <cfRule type="containsText" dxfId="656" priority="640" operator="containsText" text="B">
      <formula>NOT(ISERROR(SEARCH("B",FI36)))</formula>
    </cfRule>
    <cfRule type="containsText" dxfId="655" priority="641" operator="containsText" text="C">
      <formula>NOT(ISERROR(SEARCH("C",FI36)))</formula>
    </cfRule>
  </conditionalFormatting>
  <conditionalFormatting sqref="FI39:FJ41">
    <cfRule type="containsText" dxfId="654" priority="631" operator="containsText" text="E">
      <formula>NOT(ISERROR(SEARCH("E",FI39)))</formula>
    </cfRule>
    <cfRule type="containsText" dxfId="653" priority="632" operator="containsText" text="D">
      <formula>NOT(ISERROR(SEARCH("D",FI39)))</formula>
    </cfRule>
    <cfRule type="containsText" dxfId="652" priority="633" operator="containsText" text="A">
      <formula>NOT(ISERROR(SEARCH("A",FI39)))</formula>
    </cfRule>
    <cfRule type="containsText" dxfId="651" priority="634" operator="containsText" text="B">
      <formula>NOT(ISERROR(SEARCH("B",FI39)))</formula>
    </cfRule>
    <cfRule type="containsText" dxfId="650" priority="635" operator="containsText" text="C">
      <formula>NOT(ISERROR(SEARCH("C",FI39)))</formula>
    </cfRule>
  </conditionalFormatting>
  <conditionalFormatting sqref="FI42:FJ44">
    <cfRule type="containsText" dxfId="649" priority="625" operator="containsText" text="E">
      <formula>NOT(ISERROR(SEARCH("E",FI42)))</formula>
    </cfRule>
    <cfRule type="containsText" dxfId="648" priority="626" operator="containsText" text="D">
      <formula>NOT(ISERROR(SEARCH("D",FI42)))</formula>
    </cfRule>
    <cfRule type="containsText" dxfId="647" priority="627" operator="containsText" text="A">
      <formula>NOT(ISERROR(SEARCH("A",FI42)))</formula>
    </cfRule>
    <cfRule type="containsText" dxfId="646" priority="628" operator="containsText" text="B">
      <formula>NOT(ISERROR(SEARCH("B",FI42)))</formula>
    </cfRule>
    <cfRule type="containsText" dxfId="645" priority="629" operator="containsText" text="C">
      <formula>NOT(ISERROR(SEARCH("C",FI42)))</formula>
    </cfRule>
  </conditionalFormatting>
  <conditionalFormatting sqref="FI45:FJ47">
    <cfRule type="containsText" dxfId="644" priority="619" operator="containsText" text="E">
      <formula>NOT(ISERROR(SEARCH("E",FI45)))</formula>
    </cfRule>
    <cfRule type="containsText" dxfId="643" priority="620" operator="containsText" text="D">
      <formula>NOT(ISERROR(SEARCH("D",FI45)))</formula>
    </cfRule>
    <cfRule type="containsText" dxfId="642" priority="621" operator="containsText" text="A">
      <formula>NOT(ISERROR(SEARCH("A",FI45)))</formula>
    </cfRule>
    <cfRule type="containsText" dxfId="641" priority="622" operator="containsText" text="B">
      <formula>NOT(ISERROR(SEARCH("B",FI45)))</formula>
    </cfRule>
    <cfRule type="containsText" dxfId="640" priority="623" operator="containsText" text="C">
      <formula>NOT(ISERROR(SEARCH("C",FI45)))</formula>
    </cfRule>
  </conditionalFormatting>
  <conditionalFormatting sqref="FI48:FJ50">
    <cfRule type="containsText" dxfId="639" priority="613" operator="containsText" text="E">
      <formula>NOT(ISERROR(SEARCH("E",FI48)))</formula>
    </cfRule>
    <cfRule type="containsText" dxfId="638" priority="614" operator="containsText" text="D">
      <formula>NOT(ISERROR(SEARCH("D",FI48)))</formula>
    </cfRule>
    <cfRule type="containsText" dxfId="637" priority="615" operator="containsText" text="A">
      <formula>NOT(ISERROR(SEARCH("A",FI48)))</formula>
    </cfRule>
    <cfRule type="containsText" dxfId="636" priority="616" operator="containsText" text="B">
      <formula>NOT(ISERROR(SEARCH("B",FI48)))</formula>
    </cfRule>
    <cfRule type="containsText" dxfId="635" priority="617" operator="containsText" text="C">
      <formula>NOT(ISERROR(SEARCH("C",FI48)))</formula>
    </cfRule>
  </conditionalFormatting>
  <conditionalFormatting sqref="FI51:FJ53">
    <cfRule type="containsText" dxfId="634" priority="607" operator="containsText" text="E">
      <formula>NOT(ISERROR(SEARCH("E",FI51)))</formula>
    </cfRule>
    <cfRule type="containsText" dxfId="633" priority="608" operator="containsText" text="D">
      <formula>NOT(ISERROR(SEARCH("D",FI51)))</formula>
    </cfRule>
    <cfRule type="containsText" dxfId="632" priority="609" operator="containsText" text="A">
      <formula>NOT(ISERROR(SEARCH("A",FI51)))</formula>
    </cfRule>
    <cfRule type="containsText" dxfId="631" priority="610" operator="containsText" text="B">
      <formula>NOT(ISERROR(SEARCH("B",FI51)))</formula>
    </cfRule>
    <cfRule type="containsText" dxfId="630" priority="611" operator="containsText" text="C">
      <formula>NOT(ISERROR(SEARCH("C",FI51)))</formula>
    </cfRule>
  </conditionalFormatting>
  <conditionalFormatting sqref="FI54:FJ56">
    <cfRule type="containsText" dxfId="629" priority="601" operator="containsText" text="E">
      <formula>NOT(ISERROR(SEARCH("E",FI54)))</formula>
    </cfRule>
    <cfRule type="containsText" dxfId="628" priority="602" operator="containsText" text="D">
      <formula>NOT(ISERROR(SEARCH("D",FI54)))</formula>
    </cfRule>
    <cfRule type="containsText" dxfId="627" priority="603" operator="containsText" text="A">
      <formula>NOT(ISERROR(SEARCH("A",FI54)))</formula>
    </cfRule>
    <cfRule type="containsText" dxfId="626" priority="604" operator="containsText" text="B">
      <formula>NOT(ISERROR(SEARCH("B",FI54)))</formula>
    </cfRule>
    <cfRule type="containsText" dxfId="625" priority="605" operator="containsText" text="C">
      <formula>NOT(ISERROR(SEARCH("C",FI54)))</formula>
    </cfRule>
  </conditionalFormatting>
  <conditionalFormatting sqref="FI57:FJ59">
    <cfRule type="containsText" dxfId="624" priority="595" operator="containsText" text="E">
      <formula>NOT(ISERROR(SEARCH("E",FI57)))</formula>
    </cfRule>
    <cfRule type="containsText" dxfId="623" priority="596" operator="containsText" text="D">
      <formula>NOT(ISERROR(SEARCH("D",FI57)))</formula>
    </cfRule>
    <cfRule type="containsText" dxfId="622" priority="597" operator="containsText" text="A">
      <formula>NOT(ISERROR(SEARCH("A",FI57)))</formula>
    </cfRule>
    <cfRule type="containsText" dxfId="621" priority="598" operator="containsText" text="B">
      <formula>NOT(ISERROR(SEARCH("B",FI57)))</formula>
    </cfRule>
    <cfRule type="containsText" dxfId="620" priority="599" operator="containsText" text="C">
      <formula>NOT(ISERROR(SEARCH("C",FI57)))</formula>
    </cfRule>
  </conditionalFormatting>
  <conditionalFormatting sqref="FI60:FJ62">
    <cfRule type="containsText" dxfId="619" priority="589" operator="containsText" text="E">
      <formula>NOT(ISERROR(SEARCH("E",FI60)))</formula>
    </cfRule>
    <cfRule type="containsText" dxfId="618" priority="590" operator="containsText" text="D">
      <formula>NOT(ISERROR(SEARCH("D",FI60)))</formula>
    </cfRule>
    <cfRule type="containsText" dxfId="617" priority="591" operator="containsText" text="A">
      <formula>NOT(ISERROR(SEARCH("A",FI60)))</formula>
    </cfRule>
    <cfRule type="containsText" dxfId="616" priority="592" operator="containsText" text="B">
      <formula>NOT(ISERROR(SEARCH("B",FI60)))</formula>
    </cfRule>
    <cfRule type="containsText" dxfId="615" priority="593" operator="containsText" text="C">
      <formula>NOT(ISERROR(SEARCH("C",FI60)))</formula>
    </cfRule>
  </conditionalFormatting>
  <conditionalFormatting sqref="FI63:FJ65">
    <cfRule type="containsText" dxfId="614" priority="583" operator="containsText" text="E">
      <formula>NOT(ISERROR(SEARCH("E",FI63)))</formula>
    </cfRule>
    <cfRule type="containsText" dxfId="613" priority="584" operator="containsText" text="D">
      <formula>NOT(ISERROR(SEARCH("D",FI63)))</formula>
    </cfRule>
    <cfRule type="containsText" dxfId="612" priority="585" operator="containsText" text="A">
      <formula>NOT(ISERROR(SEARCH("A",FI63)))</formula>
    </cfRule>
    <cfRule type="containsText" dxfId="611" priority="586" operator="containsText" text="B">
      <formula>NOT(ISERROR(SEARCH("B",FI63)))</formula>
    </cfRule>
    <cfRule type="containsText" dxfId="610" priority="587" operator="containsText" text="C">
      <formula>NOT(ISERROR(SEARCH("C",FI63)))</formula>
    </cfRule>
  </conditionalFormatting>
  <conditionalFormatting sqref="FN45:FO45">
    <cfRule type="containsText" dxfId="609" priority="577" operator="containsText" text="E">
      <formula>NOT(ISERROR(SEARCH("E",FN45)))</formula>
    </cfRule>
    <cfRule type="containsText" dxfId="608" priority="578" operator="containsText" text="D">
      <formula>NOT(ISERROR(SEARCH("D",FN45)))</formula>
    </cfRule>
    <cfRule type="containsText" dxfId="607" priority="579" operator="containsText" text="A">
      <formula>NOT(ISERROR(SEARCH("A",FN45)))</formula>
    </cfRule>
    <cfRule type="containsText" dxfId="606" priority="580" operator="containsText" text="B">
      <formula>NOT(ISERROR(SEARCH("B",FN45)))</formula>
    </cfRule>
    <cfRule type="containsText" dxfId="605" priority="582" operator="containsText" text="C">
      <formula>NOT(ISERROR(SEARCH("C",FN45)))</formula>
    </cfRule>
  </conditionalFormatting>
  <conditionalFormatting sqref="FN21:FO23">
    <cfRule type="containsText" dxfId="604" priority="571" operator="containsText" text="E">
      <formula>NOT(ISERROR(SEARCH("E",FN21)))</formula>
    </cfRule>
    <cfRule type="containsText" dxfId="603" priority="572" operator="containsText" text="D">
      <formula>NOT(ISERROR(SEARCH("D",FN21)))</formula>
    </cfRule>
    <cfRule type="containsText" dxfId="602" priority="573" operator="containsText" text="A">
      <formula>NOT(ISERROR(SEARCH("A",FN21)))</formula>
    </cfRule>
    <cfRule type="containsText" dxfId="601" priority="574" operator="containsText" text="B">
      <formula>NOT(ISERROR(SEARCH("B",FN21)))</formula>
    </cfRule>
    <cfRule type="containsText" dxfId="600" priority="575" operator="containsText" text="C">
      <formula>NOT(ISERROR(SEARCH("C",FN21)))</formula>
    </cfRule>
  </conditionalFormatting>
  <conditionalFormatting sqref="FN24:FO26">
    <cfRule type="containsText" dxfId="599" priority="565" operator="containsText" text="E">
      <formula>NOT(ISERROR(SEARCH("E",FN24)))</formula>
    </cfRule>
    <cfRule type="containsText" dxfId="598" priority="566" operator="containsText" text="D">
      <formula>NOT(ISERROR(SEARCH("D",FN24)))</formula>
    </cfRule>
    <cfRule type="containsText" dxfId="597" priority="567" operator="containsText" text="A">
      <formula>NOT(ISERROR(SEARCH("A",FN24)))</formula>
    </cfRule>
    <cfRule type="containsText" dxfId="596" priority="568" operator="containsText" text="B">
      <formula>NOT(ISERROR(SEARCH("B",FN24)))</formula>
    </cfRule>
    <cfRule type="containsText" dxfId="595" priority="569" operator="containsText" text="C">
      <formula>NOT(ISERROR(SEARCH("C",FN24)))</formula>
    </cfRule>
  </conditionalFormatting>
  <conditionalFormatting sqref="FN27:FO29">
    <cfRule type="containsText" dxfId="594" priority="559" operator="containsText" text="E">
      <formula>NOT(ISERROR(SEARCH("E",FN27)))</formula>
    </cfRule>
    <cfRule type="containsText" dxfId="593" priority="560" operator="containsText" text="D">
      <formula>NOT(ISERROR(SEARCH("D",FN27)))</formula>
    </cfRule>
    <cfRule type="containsText" dxfId="592" priority="561" operator="containsText" text="A">
      <formula>NOT(ISERROR(SEARCH("A",FN27)))</formula>
    </cfRule>
    <cfRule type="containsText" dxfId="591" priority="562" operator="containsText" text="B">
      <formula>NOT(ISERROR(SEARCH("B",FN27)))</formula>
    </cfRule>
    <cfRule type="containsText" dxfId="590" priority="563" operator="containsText" text="C">
      <formula>NOT(ISERROR(SEARCH("C",FN27)))</formula>
    </cfRule>
  </conditionalFormatting>
  <conditionalFormatting sqref="FN30:FO32">
    <cfRule type="containsText" dxfId="589" priority="553" operator="containsText" text="E">
      <formula>NOT(ISERROR(SEARCH("E",FN30)))</formula>
    </cfRule>
    <cfRule type="containsText" dxfId="588" priority="554" operator="containsText" text="D">
      <formula>NOT(ISERROR(SEARCH("D",FN30)))</formula>
    </cfRule>
    <cfRule type="containsText" dxfId="587" priority="555" operator="containsText" text="A">
      <formula>NOT(ISERROR(SEARCH("A",FN30)))</formula>
    </cfRule>
    <cfRule type="containsText" dxfId="586" priority="556" operator="containsText" text="B">
      <formula>NOT(ISERROR(SEARCH("B",FN30)))</formula>
    </cfRule>
    <cfRule type="containsText" dxfId="585" priority="557" operator="containsText" text="C">
      <formula>NOT(ISERROR(SEARCH("C",FN30)))</formula>
    </cfRule>
  </conditionalFormatting>
  <conditionalFormatting sqref="FN33:FO35">
    <cfRule type="containsText" dxfId="584" priority="547" operator="containsText" text="E">
      <formula>NOT(ISERROR(SEARCH("E",FN33)))</formula>
    </cfRule>
    <cfRule type="containsText" dxfId="583" priority="548" operator="containsText" text="D">
      <formula>NOT(ISERROR(SEARCH("D",FN33)))</formula>
    </cfRule>
    <cfRule type="containsText" dxfId="582" priority="549" operator="containsText" text="A">
      <formula>NOT(ISERROR(SEARCH("A",FN33)))</formula>
    </cfRule>
    <cfRule type="containsText" dxfId="581" priority="550" operator="containsText" text="B">
      <formula>NOT(ISERROR(SEARCH("B",FN33)))</formula>
    </cfRule>
    <cfRule type="containsText" dxfId="580" priority="551" operator="containsText" text="C">
      <formula>NOT(ISERROR(SEARCH("C",FN33)))</formula>
    </cfRule>
  </conditionalFormatting>
  <conditionalFormatting sqref="FN36:FO38">
    <cfRule type="containsText" dxfId="579" priority="541" operator="containsText" text="E">
      <formula>NOT(ISERROR(SEARCH("E",FN36)))</formula>
    </cfRule>
    <cfRule type="containsText" dxfId="578" priority="542" operator="containsText" text="D">
      <formula>NOT(ISERROR(SEARCH("D",FN36)))</formula>
    </cfRule>
    <cfRule type="containsText" dxfId="577" priority="543" operator="containsText" text="A">
      <formula>NOT(ISERROR(SEARCH("A",FN36)))</formula>
    </cfRule>
    <cfRule type="containsText" dxfId="576" priority="544" operator="containsText" text="B">
      <formula>NOT(ISERROR(SEARCH("B",FN36)))</formula>
    </cfRule>
    <cfRule type="containsText" dxfId="575" priority="545" operator="containsText" text="C">
      <formula>NOT(ISERROR(SEARCH("C",FN36)))</formula>
    </cfRule>
  </conditionalFormatting>
  <conditionalFormatting sqref="FN39:FO41">
    <cfRule type="containsText" dxfId="574" priority="535" operator="containsText" text="E">
      <formula>NOT(ISERROR(SEARCH("E",FN39)))</formula>
    </cfRule>
    <cfRule type="containsText" dxfId="573" priority="536" operator="containsText" text="D">
      <formula>NOT(ISERROR(SEARCH("D",FN39)))</formula>
    </cfRule>
    <cfRule type="containsText" dxfId="572" priority="537" operator="containsText" text="A">
      <formula>NOT(ISERROR(SEARCH("A",FN39)))</formula>
    </cfRule>
    <cfRule type="containsText" dxfId="571" priority="538" operator="containsText" text="B">
      <formula>NOT(ISERROR(SEARCH("B",FN39)))</formula>
    </cfRule>
    <cfRule type="containsText" dxfId="570" priority="539" operator="containsText" text="C">
      <formula>NOT(ISERROR(SEARCH("C",FN39)))</formula>
    </cfRule>
  </conditionalFormatting>
  <conditionalFormatting sqref="FN42:FO44">
    <cfRule type="containsText" dxfId="569" priority="529" operator="containsText" text="E">
      <formula>NOT(ISERROR(SEARCH("E",FN42)))</formula>
    </cfRule>
    <cfRule type="containsText" dxfId="568" priority="530" operator="containsText" text="D">
      <formula>NOT(ISERROR(SEARCH("D",FN42)))</formula>
    </cfRule>
    <cfRule type="containsText" dxfId="567" priority="531" operator="containsText" text="A">
      <formula>NOT(ISERROR(SEARCH("A",FN42)))</formula>
    </cfRule>
    <cfRule type="containsText" dxfId="566" priority="532" operator="containsText" text="B">
      <formula>NOT(ISERROR(SEARCH("B",FN42)))</formula>
    </cfRule>
    <cfRule type="containsText" dxfId="565" priority="533" operator="containsText" text="C">
      <formula>NOT(ISERROR(SEARCH("C",FN42)))</formula>
    </cfRule>
  </conditionalFormatting>
  <conditionalFormatting sqref="FN45:FO47">
    <cfRule type="containsText" dxfId="564" priority="523" operator="containsText" text="E">
      <formula>NOT(ISERROR(SEARCH("E",FN45)))</formula>
    </cfRule>
    <cfRule type="containsText" dxfId="563" priority="524" operator="containsText" text="D">
      <formula>NOT(ISERROR(SEARCH("D",FN45)))</formula>
    </cfRule>
    <cfRule type="containsText" dxfId="562" priority="525" operator="containsText" text="A">
      <formula>NOT(ISERROR(SEARCH("A",FN45)))</formula>
    </cfRule>
    <cfRule type="containsText" dxfId="561" priority="526" operator="containsText" text="B">
      <formula>NOT(ISERROR(SEARCH("B",FN45)))</formula>
    </cfRule>
    <cfRule type="containsText" dxfId="560" priority="527" operator="containsText" text="C">
      <formula>NOT(ISERROR(SEARCH("C",FN45)))</formula>
    </cfRule>
  </conditionalFormatting>
  <conditionalFormatting sqref="FN48:FO50">
    <cfRule type="containsText" dxfId="559" priority="517" operator="containsText" text="E">
      <formula>NOT(ISERROR(SEARCH("E",FN48)))</formula>
    </cfRule>
    <cfRule type="containsText" dxfId="558" priority="518" operator="containsText" text="D">
      <formula>NOT(ISERROR(SEARCH("D",FN48)))</formula>
    </cfRule>
    <cfRule type="containsText" dxfId="557" priority="519" operator="containsText" text="A">
      <formula>NOT(ISERROR(SEARCH("A",FN48)))</formula>
    </cfRule>
    <cfRule type="containsText" dxfId="556" priority="520" operator="containsText" text="B">
      <formula>NOT(ISERROR(SEARCH("B",FN48)))</formula>
    </cfRule>
    <cfRule type="containsText" dxfId="555" priority="521" operator="containsText" text="C">
      <formula>NOT(ISERROR(SEARCH("C",FN48)))</formula>
    </cfRule>
  </conditionalFormatting>
  <conditionalFormatting sqref="FN51:FO53">
    <cfRule type="containsText" dxfId="554" priority="511" operator="containsText" text="E">
      <formula>NOT(ISERROR(SEARCH("E",FN51)))</formula>
    </cfRule>
    <cfRule type="containsText" dxfId="553" priority="512" operator="containsText" text="D">
      <formula>NOT(ISERROR(SEARCH("D",FN51)))</formula>
    </cfRule>
    <cfRule type="containsText" dxfId="552" priority="513" operator="containsText" text="A">
      <formula>NOT(ISERROR(SEARCH("A",FN51)))</formula>
    </cfRule>
    <cfRule type="containsText" dxfId="551" priority="514" operator="containsText" text="B">
      <formula>NOT(ISERROR(SEARCH("B",FN51)))</formula>
    </cfRule>
    <cfRule type="containsText" dxfId="550" priority="515" operator="containsText" text="C">
      <formula>NOT(ISERROR(SEARCH("C",FN51)))</formula>
    </cfRule>
  </conditionalFormatting>
  <conditionalFormatting sqref="FN54:FO56">
    <cfRule type="containsText" dxfId="549" priority="505" operator="containsText" text="E">
      <formula>NOT(ISERROR(SEARCH("E",FN54)))</formula>
    </cfRule>
    <cfRule type="containsText" dxfId="548" priority="506" operator="containsText" text="D">
      <formula>NOT(ISERROR(SEARCH("D",FN54)))</formula>
    </cfRule>
    <cfRule type="containsText" dxfId="547" priority="507" operator="containsText" text="A">
      <formula>NOT(ISERROR(SEARCH("A",FN54)))</formula>
    </cfRule>
    <cfRule type="containsText" dxfId="546" priority="508" operator="containsText" text="B">
      <formula>NOT(ISERROR(SEARCH("B",FN54)))</formula>
    </cfRule>
    <cfRule type="containsText" dxfId="545" priority="509" operator="containsText" text="C">
      <formula>NOT(ISERROR(SEARCH("C",FN54)))</formula>
    </cfRule>
  </conditionalFormatting>
  <conditionalFormatting sqref="FN57:FO59">
    <cfRule type="containsText" dxfId="544" priority="499" operator="containsText" text="E">
      <formula>NOT(ISERROR(SEARCH("E",FN57)))</formula>
    </cfRule>
    <cfRule type="containsText" dxfId="543" priority="500" operator="containsText" text="D">
      <formula>NOT(ISERROR(SEARCH("D",FN57)))</formula>
    </cfRule>
    <cfRule type="containsText" dxfId="542" priority="501" operator="containsText" text="A">
      <formula>NOT(ISERROR(SEARCH("A",FN57)))</formula>
    </cfRule>
    <cfRule type="containsText" dxfId="541" priority="502" operator="containsText" text="B">
      <formula>NOT(ISERROR(SEARCH("B",FN57)))</formula>
    </cfRule>
    <cfRule type="containsText" dxfId="540" priority="503" operator="containsText" text="C">
      <formula>NOT(ISERROR(SEARCH("C",FN57)))</formula>
    </cfRule>
  </conditionalFormatting>
  <conditionalFormatting sqref="FN60:FO62">
    <cfRule type="containsText" dxfId="539" priority="493" operator="containsText" text="E">
      <formula>NOT(ISERROR(SEARCH("E",FN60)))</formula>
    </cfRule>
    <cfRule type="containsText" dxfId="538" priority="494" operator="containsText" text="D">
      <formula>NOT(ISERROR(SEARCH("D",FN60)))</formula>
    </cfRule>
    <cfRule type="containsText" dxfId="537" priority="495" operator="containsText" text="A">
      <formula>NOT(ISERROR(SEARCH("A",FN60)))</formula>
    </cfRule>
    <cfRule type="containsText" dxfId="536" priority="496" operator="containsText" text="B">
      <formula>NOT(ISERROR(SEARCH("B",FN60)))</formula>
    </cfRule>
    <cfRule type="containsText" dxfId="535" priority="497" operator="containsText" text="C">
      <formula>NOT(ISERROR(SEARCH("C",FN60)))</formula>
    </cfRule>
  </conditionalFormatting>
  <conditionalFormatting sqref="FN63:FO65">
    <cfRule type="containsText" dxfId="534" priority="487" operator="containsText" text="E">
      <formula>NOT(ISERROR(SEARCH("E",FN63)))</formula>
    </cfRule>
    <cfRule type="containsText" dxfId="533" priority="488" operator="containsText" text="D">
      <formula>NOT(ISERROR(SEARCH("D",FN63)))</formula>
    </cfRule>
    <cfRule type="containsText" dxfId="532" priority="489" operator="containsText" text="A">
      <formula>NOT(ISERROR(SEARCH("A",FN63)))</formula>
    </cfRule>
    <cfRule type="containsText" dxfId="531" priority="490" operator="containsText" text="B">
      <formula>NOT(ISERROR(SEARCH("B",FN63)))</formula>
    </cfRule>
    <cfRule type="containsText" dxfId="530" priority="491" operator="containsText" text="C">
      <formula>NOT(ISERROR(SEARCH("C",FN63)))</formula>
    </cfRule>
  </conditionalFormatting>
  <conditionalFormatting sqref="FS45:FT45">
    <cfRule type="containsText" dxfId="529" priority="481" operator="containsText" text="E">
      <formula>NOT(ISERROR(SEARCH("E",FS45)))</formula>
    </cfRule>
    <cfRule type="containsText" dxfId="528" priority="482" operator="containsText" text="D">
      <formula>NOT(ISERROR(SEARCH("D",FS45)))</formula>
    </cfRule>
    <cfRule type="containsText" dxfId="527" priority="483" operator="containsText" text="A">
      <formula>NOT(ISERROR(SEARCH("A",FS45)))</formula>
    </cfRule>
    <cfRule type="containsText" dxfId="526" priority="484" operator="containsText" text="B">
      <formula>NOT(ISERROR(SEARCH("B",FS45)))</formula>
    </cfRule>
    <cfRule type="containsText" dxfId="525" priority="486" operator="containsText" text="C">
      <formula>NOT(ISERROR(SEARCH("C",FS45)))</formula>
    </cfRule>
  </conditionalFormatting>
  <conditionalFormatting sqref="FS21:FT23">
    <cfRule type="containsText" dxfId="524" priority="475" operator="containsText" text="E">
      <formula>NOT(ISERROR(SEARCH("E",FS21)))</formula>
    </cfRule>
    <cfRule type="containsText" dxfId="523" priority="476" operator="containsText" text="D">
      <formula>NOT(ISERROR(SEARCH("D",FS21)))</formula>
    </cfRule>
    <cfRule type="containsText" dxfId="522" priority="477" operator="containsText" text="A">
      <formula>NOT(ISERROR(SEARCH("A",FS21)))</formula>
    </cfRule>
    <cfRule type="containsText" dxfId="521" priority="478" operator="containsText" text="B">
      <formula>NOT(ISERROR(SEARCH("B",FS21)))</formula>
    </cfRule>
    <cfRule type="containsText" dxfId="520" priority="479" operator="containsText" text="C">
      <formula>NOT(ISERROR(SEARCH("C",FS21)))</formula>
    </cfRule>
  </conditionalFormatting>
  <conditionalFormatting sqref="FS24:FT26">
    <cfRule type="containsText" dxfId="519" priority="469" operator="containsText" text="E">
      <formula>NOT(ISERROR(SEARCH("E",FS24)))</formula>
    </cfRule>
    <cfRule type="containsText" dxfId="518" priority="470" operator="containsText" text="D">
      <formula>NOT(ISERROR(SEARCH("D",FS24)))</formula>
    </cfRule>
    <cfRule type="containsText" dxfId="517" priority="471" operator="containsText" text="A">
      <formula>NOT(ISERROR(SEARCH("A",FS24)))</formula>
    </cfRule>
    <cfRule type="containsText" dxfId="516" priority="472" operator="containsText" text="B">
      <formula>NOT(ISERROR(SEARCH("B",FS24)))</formula>
    </cfRule>
    <cfRule type="containsText" dxfId="515" priority="473" operator="containsText" text="C">
      <formula>NOT(ISERROR(SEARCH("C",FS24)))</formula>
    </cfRule>
  </conditionalFormatting>
  <conditionalFormatting sqref="FS27:FT29">
    <cfRule type="containsText" dxfId="514" priority="463" operator="containsText" text="E">
      <formula>NOT(ISERROR(SEARCH("E",FS27)))</formula>
    </cfRule>
    <cfRule type="containsText" dxfId="513" priority="464" operator="containsText" text="D">
      <formula>NOT(ISERROR(SEARCH("D",FS27)))</formula>
    </cfRule>
    <cfRule type="containsText" dxfId="512" priority="465" operator="containsText" text="A">
      <formula>NOT(ISERROR(SEARCH("A",FS27)))</formula>
    </cfRule>
    <cfRule type="containsText" dxfId="511" priority="466" operator="containsText" text="B">
      <formula>NOT(ISERROR(SEARCH("B",FS27)))</formula>
    </cfRule>
    <cfRule type="containsText" dxfId="510" priority="467" operator="containsText" text="C">
      <formula>NOT(ISERROR(SEARCH("C",FS27)))</formula>
    </cfRule>
  </conditionalFormatting>
  <conditionalFormatting sqref="FS30:FT32">
    <cfRule type="containsText" dxfId="509" priority="457" operator="containsText" text="E">
      <formula>NOT(ISERROR(SEARCH("E",FS30)))</formula>
    </cfRule>
    <cfRule type="containsText" dxfId="508" priority="458" operator="containsText" text="D">
      <formula>NOT(ISERROR(SEARCH("D",FS30)))</formula>
    </cfRule>
    <cfRule type="containsText" dxfId="507" priority="459" operator="containsText" text="A">
      <formula>NOT(ISERROR(SEARCH("A",FS30)))</formula>
    </cfRule>
    <cfRule type="containsText" dxfId="506" priority="460" operator="containsText" text="B">
      <formula>NOT(ISERROR(SEARCH("B",FS30)))</formula>
    </cfRule>
    <cfRule type="containsText" dxfId="505" priority="461" operator="containsText" text="C">
      <formula>NOT(ISERROR(SEARCH("C",FS30)))</formula>
    </cfRule>
  </conditionalFormatting>
  <conditionalFormatting sqref="FS33:FT35">
    <cfRule type="containsText" dxfId="504" priority="451" operator="containsText" text="E">
      <formula>NOT(ISERROR(SEARCH("E",FS33)))</formula>
    </cfRule>
    <cfRule type="containsText" dxfId="503" priority="452" operator="containsText" text="D">
      <formula>NOT(ISERROR(SEARCH("D",FS33)))</formula>
    </cfRule>
    <cfRule type="containsText" dxfId="502" priority="453" operator="containsText" text="A">
      <formula>NOT(ISERROR(SEARCH("A",FS33)))</formula>
    </cfRule>
    <cfRule type="containsText" dxfId="501" priority="454" operator="containsText" text="B">
      <formula>NOT(ISERROR(SEARCH("B",FS33)))</formula>
    </cfRule>
    <cfRule type="containsText" dxfId="500" priority="455" operator="containsText" text="C">
      <formula>NOT(ISERROR(SEARCH("C",FS33)))</formula>
    </cfRule>
  </conditionalFormatting>
  <conditionalFormatting sqref="FS36:FT38">
    <cfRule type="containsText" dxfId="499" priority="445" operator="containsText" text="E">
      <formula>NOT(ISERROR(SEARCH("E",FS36)))</formula>
    </cfRule>
    <cfRule type="containsText" dxfId="498" priority="446" operator="containsText" text="D">
      <formula>NOT(ISERROR(SEARCH("D",FS36)))</formula>
    </cfRule>
    <cfRule type="containsText" dxfId="497" priority="447" operator="containsText" text="A">
      <formula>NOT(ISERROR(SEARCH("A",FS36)))</formula>
    </cfRule>
    <cfRule type="containsText" dxfId="496" priority="448" operator="containsText" text="B">
      <formula>NOT(ISERROR(SEARCH("B",FS36)))</formula>
    </cfRule>
    <cfRule type="containsText" dxfId="495" priority="449" operator="containsText" text="C">
      <formula>NOT(ISERROR(SEARCH("C",FS36)))</formula>
    </cfRule>
  </conditionalFormatting>
  <conditionalFormatting sqref="FS39:FT41">
    <cfRule type="containsText" dxfId="494" priority="439" operator="containsText" text="E">
      <formula>NOT(ISERROR(SEARCH("E",FS39)))</formula>
    </cfRule>
    <cfRule type="containsText" dxfId="493" priority="440" operator="containsText" text="D">
      <formula>NOT(ISERROR(SEARCH("D",FS39)))</formula>
    </cfRule>
    <cfRule type="containsText" dxfId="492" priority="441" operator="containsText" text="A">
      <formula>NOT(ISERROR(SEARCH("A",FS39)))</formula>
    </cfRule>
    <cfRule type="containsText" dxfId="491" priority="442" operator="containsText" text="B">
      <formula>NOT(ISERROR(SEARCH("B",FS39)))</formula>
    </cfRule>
    <cfRule type="containsText" dxfId="490" priority="443" operator="containsText" text="C">
      <formula>NOT(ISERROR(SEARCH("C",FS39)))</formula>
    </cfRule>
  </conditionalFormatting>
  <conditionalFormatting sqref="FS42:FT44">
    <cfRule type="containsText" dxfId="489" priority="433" operator="containsText" text="E">
      <formula>NOT(ISERROR(SEARCH("E",FS42)))</formula>
    </cfRule>
    <cfRule type="containsText" dxfId="488" priority="434" operator="containsText" text="D">
      <formula>NOT(ISERROR(SEARCH("D",FS42)))</formula>
    </cfRule>
    <cfRule type="containsText" dxfId="487" priority="435" operator="containsText" text="A">
      <formula>NOT(ISERROR(SEARCH("A",FS42)))</formula>
    </cfRule>
    <cfRule type="containsText" dxfId="486" priority="436" operator="containsText" text="B">
      <formula>NOT(ISERROR(SEARCH("B",FS42)))</formula>
    </cfRule>
    <cfRule type="containsText" dxfId="485" priority="437" operator="containsText" text="C">
      <formula>NOT(ISERROR(SEARCH("C",FS42)))</formula>
    </cfRule>
  </conditionalFormatting>
  <conditionalFormatting sqref="FS45:FT47">
    <cfRule type="containsText" dxfId="484" priority="427" operator="containsText" text="E">
      <formula>NOT(ISERROR(SEARCH("E",FS45)))</formula>
    </cfRule>
    <cfRule type="containsText" dxfId="483" priority="428" operator="containsText" text="D">
      <formula>NOT(ISERROR(SEARCH("D",FS45)))</formula>
    </cfRule>
    <cfRule type="containsText" dxfId="482" priority="429" operator="containsText" text="A">
      <formula>NOT(ISERROR(SEARCH("A",FS45)))</formula>
    </cfRule>
    <cfRule type="containsText" dxfId="481" priority="430" operator="containsText" text="B">
      <formula>NOT(ISERROR(SEARCH("B",FS45)))</formula>
    </cfRule>
    <cfRule type="containsText" dxfId="480" priority="431" operator="containsText" text="C">
      <formula>NOT(ISERROR(SEARCH("C",FS45)))</formula>
    </cfRule>
  </conditionalFormatting>
  <conditionalFormatting sqref="FS48:FT50">
    <cfRule type="containsText" dxfId="479" priority="421" operator="containsText" text="E">
      <formula>NOT(ISERROR(SEARCH("E",FS48)))</formula>
    </cfRule>
    <cfRule type="containsText" dxfId="478" priority="422" operator="containsText" text="D">
      <formula>NOT(ISERROR(SEARCH("D",FS48)))</formula>
    </cfRule>
    <cfRule type="containsText" dxfId="477" priority="423" operator="containsText" text="A">
      <formula>NOT(ISERROR(SEARCH("A",FS48)))</formula>
    </cfRule>
    <cfRule type="containsText" dxfId="476" priority="424" operator="containsText" text="B">
      <formula>NOT(ISERROR(SEARCH("B",FS48)))</formula>
    </cfRule>
    <cfRule type="containsText" dxfId="475" priority="425" operator="containsText" text="C">
      <formula>NOT(ISERROR(SEARCH("C",FS48)))</formula>
    </cfRule>
  </conditionalFormatting>
  <conditionalFormatting sqref="FS51:FT53">
    <cfRule type="containsText" dxfId="474" priority="415" operator="containsText" text="E">
      <formula>NOT(ISERROR(SEARCH("E",FS51)))</formula>
    </cfRule>
    <cfRule type="containsText" dxfId="473" priority="416" operator="containsText" text="D">
      <formula>NOT(ISERROR(SEARCH("D",FS51)))</formula>
    </cfRule>
    <cfRule type="containsText" dxfId="472" priority="417" operator="containsText" text="A">
      <formula>NOT(ISERROR(SEARCH("A",FS51)))</formula>
    </cfRule>
    <cfRule type="containsText" dxfId="471" priority="418" operator="containsText" text="B">
      <formula>NOT(ISERROR(SEARCH("B",FS51)))</formula>
    </cfRule>
    <cfRule type="containsText" dxfId="470" priority="419" operator="containsText" text="C">
      <formula>NOT(ISERROR(SEARCH("C",FS51)))</formula>
    </cfRule>
  </conditionalFormatting>
  <conditionalFormatting sqref="FS54:FT56">
    <cfRule type="containsText" dxfId="469" priority="409" operator="containsText" text="E">
      <formula>NOT(ISERROR(SEARCH("E",FS54)))</formula>
    </cfRule>
    <cfRule type="containsText" dxfId="468" priority="410" operator="containsText" text="D">
      <formula>NOT(ISERROR(SEARCH("D",FS54)))</formula>
    </cfRule>
    <cfRule type="containsText" dxfId="467" priority="411" operator="containsText" text="A">
      <formula>NOT(ISERROR(SEARCH("A",FS54)))</formula>
    </cfRule>
    <cfRule type="containsText" dxfId="466" priority="412" operator="containsText" text="B">
      <formula>NOT(ISERROR(SEARCH("B",FS54)))</formula>
    </cfRule>
    <cfRule type="containsText" dxfId="465" priority="413" operator="containsText" text="C">
      <formula>NOT(ISERROR(SEARCH("C",FS54)))</formula>
    </cfRule>
  </conditionalFormatting>
  <conditionalFormatting sqref="FS57:FT59">
    <cfRule type="containsText" dxfId="464" priority="403" operator="containsText" text="E">
      <formula>NOT(ISERROR(SEARCH("E",FS57)))</formula>
    </cfRule>
    <cfRule type="containsText" dxfId="463" priority="404" operator="containsText" text="D">
      <formula>NOT(ISERROR(SEARCH("D",FS57)))</formula>
    </cfRule>
    <cfRule type="containsText" dxfId="462" priority="405" operator="containsText" text="A">
      <formula>NOT(ISERROR(SEARCH("A",FS57)))</formula>
    </cfRule>
    <cfRule type="containsText" dxfId="461" priority="406" operator="containsText" text="B">
      <formula>NOT(ISERROR(SEARCH("B",FS57)))</formula>
    </cfRule>
    <cfRule type="containsText" dxfId="460" priority="407" operator="containsText" text="C">
      <formula>NOT(ISERROR(SEARCH("C",FS57)))</formula>
    </cfRule>
  </conditionalFormatting>
  <conditionalFormatting sqref="FS60:FT62">
    <cfRule type="containsText" dxfId="459" priority="397" operator="containsText" text="E">
      <formula>NOT(ISERROR(SEARCH("E",FS60)))</formula>
    </cfRule>
    <cfRule type="containsText" dxfId="458" priority="398" operator="containsText" text="D">
      <formula>NOT(ISERROR(SEARCH("D",FS60)))</formula>
    </cfRule>
    <cfRule type="containsText" dxfId="457" priority="399" operator="containsText" text="A">
      <formula>NOT(ISERROR(SEARCH("A",FS60)))</formula>
    </cfRule>
    <cfRule type="containsText" dxfId="456" priority="400" operator="containsText" text="B">
      <formula>NOT(ISERROR(SEARCH("B",FS60)))</formula>
    </cfRule>
    <cfRule type="containsText" dxfId="455" priority="401" operator="containsText" text="C">
      <formula>NOT(ISERROR(SEARCH("C",FS60)))</formula>
    </cfRule>
  </conditionalFormatting>
  <conditionalFormatting sqref="FS63:FT65">
    <cfRule type="containsText" dxfId="454" priority="391" operator="containsText" text="E">
      <formula>NOT(ISERROR(SEARCH("E",FS63)))</formula>
    </cfRule>
    <cfRule type="containsText" dxfId="453" priority="392" operator="containsText" text="D">
      <formula>NOT(ISERROR(SEARCH("D",FS63)))</formula>
    </cfRule>
    <cfRule type="containsText" dxfId="452" priority="393" operator="containsText" text="A">
      <formula>NOT(ISERROR(SEARCH("A",FS63)))</formula>
    </cfRule>
    <cfRule type="containsText" dxfId="451" priority="394" operator="containsText" text="B">
      <formula>NOT(ISERROR(SEARCH("B",FS63)))</formula>
    </cfRule>
    <cfRule type="containsText" dxfId="450" priority="395" operator="containsText" text="C">
      <formula>NOT(ISERROR(SEARCH("C",FS63)))</formula>
    </cfRule>
  </conditionalFormatting>
  <conditionalFormatting sqref="FX45:FY45">
    <cfRule type="containsText" dxfId="449" priority="385" operator="containsText" text="E">
      <formula>NOT(ISERROR(SEARCH("E",FX45)))</formula>
    </cfRule>
    <cfRule type="containsText" dxfId="448" priority="386" operator="containsText" text="D">
      <formula>NOT(ISERROR(SEARCH("D",FX45)))</formula>
    </cfRule>
    <cfRule type="containsText" dxfId="447" priority="387" operator="containsText" text="A">
      <formula>NOT(ISERROR(SEARCH("A",FX45)))</formula>
    </cfRule>
    <cfRule type="containsText" dxfId="446" priority="388" operator="containsText" text="B">
      <formula>NOT(ISERROR(SEARCH("B",FX45)))</formula>
    </cfRule>
    <cfRule type="containsText" dxfId="445" priority="390" operator="containsText" text="C">
      <formula>NOT(ISERROR(SEARCH("C",FX45)))</formula>
    </cfRule>
  </conditionalFormatting>
  <conditionalFormatting sqref="FX21:FY23">
    <cfRule type="containsText" dxfId="444" priority="379" operator="containsText" text="E">
      <formula>NOT(ISERROR(SEARCH("E",FX21)))</formula>
    </cfRule>
    <cfRule type="containsText" dxfId="443" priority="380" operator="containsText" text="D">
      <formula>NOT(ISERROR(SEARCH("D",FX21)))</formula>
    </cfRule>
    <cfRule type="containsText" dxfId="442" priority="381" operator="containsText" text="A">
      <formula>NOT(ISERROR(SEARCH("A",FX21)))</formula>
    </cfRule>
    <cfRule type="containsText" dxfId="441" priority="382" operator="containsText" text="B">
      <formula>NOT(ISERROR(SEARCH("B",FX21)))</formula>
    </cfRule>
    <cfRule type="containsText" dxfId="440" priority="383" operator="containsText" text="C">
      <formula>NOT(ISERROR(SEARCH("C",FX21)))</formula>
    </cfRule>
  </conditionalFormatting>
  <conditionalFormatting sqref="FX24:FY26">
    <cfRule type="containsText" dxfId="439" priority="373" operator="containsText" text="E">
      <formula>NOT(ISERROR(SEARCH("E",FX24)))</formula>
    </cfRule>
    <cfRule type="containsText" dxfId="438" priority="374" operator="containsText" text="D">
      <formula>NOT(ISERROR(SEARCH("D",FX24)))</formula>
    </cfRule>
    <cfRule type="containsText" dxfId="437" priority="375" operator="containsText" text="A">
      <formula>NOT(ISERROR(SEARCH("A",FX24)))</formula>
    </cfRule>
    <cfRule type="containsText" dxfId="436" priority="376" operator="containsText" text="B">
      <formula>NOT(ISERROR(SEARCH("B",FX24)))</formula>
    </cfRule>
    <cfRule type="containsText" dxfId="435" priority="377" operator="containsText" text="C">
      <formula>NOT(ISERROR(SEARCH("C",FX24)))</formula>
    </cfRule>
  </conditionalFormatting>
  <conditionalFormatting sqref="FX27:FY29">
    <cfRule type="containsText" dxfId="434" priority="367" operator="containsText" text="E">
      <formula>NOT(ISERROR(SEARCH("E",FX27)))</formula>
    </cfRule>
    <cfRule type="containsText" dxfId="433" priority="368" operator="containsText" text="D">
      <formula>NOT(ISERROR(SEARCH("D",FX27)))</formula>
    </cfRule>
    <cfRule type="containsText" dxfId="432" priority="369" operator="containsText" text="A">
      <formula>NOT(ISERROR(SEARCH("A",FX27)))</formula>
    </cfRule>
    <cfRule type="containsText" dxfId="431" priority="370" operator="containsText" text="B">
      <formula>NOT(ISERROR(SEARCH("B",FX27)))</formula>
    </cfRule>
    <cfRule type="containsText" dxfId="430" priority="371" operator="containsText" text="C">
      <formula>NOT(ISERROR(SEARCH("C",FX27)))</formula>
    </cfRule>
  </conditionalFormatting>
  <conditionalFormatting sqref="FX30:FY32">
    <cfRule type="containsText" dxfId="429" priority="361" operator="containsText" text="E">
      <formula>NOT(ISERROR(SEARCH("E",FX30)))</formula>
    </cfRule>
    <cfRule type="containsText" dxfId="428" priority="362" operator="containsText" text="D">
      <formula>NOT(ISERROR(SEARCH("D",FX30)))</formula>
    </cfRule>
    <cfRule type="containsText" dxfId="427" priority="363" operator="containsText" text="A">
      <formula>NOT(ISERROR(SEARCH("A",FX30)))</formula>
    </cfRule>
    <cfRule type="containsText" dxfId="426" priority="364" operator="containsText" text="B">
      <formula>NOT(ISERROR(SEARCH("B",FX30)))</formula>
    </cfRule>
    <cfRule type="containsText" dxfId="425" priority="365" operator="containsText" text="C">
      <formula>NOT(ISERROR(SEARCH("C",FX30)))</formula>
    </cfRule>
  </conditionalFormatting>
  <conditionalFormatting sqref="FX33:FY35">
    <cfRule type="containsText" dxfId="424" priority="355" operator="containsText" text="E">
      <formula>NOT(ISERROR(SEARCH("E",FX33)))</formula>
    </cfRule>
    <cfRule type="containsText" dxfId="423" priority="356" operator="containsText" text="D">
      <formula>NOT(ISERROR(SEARCH("D",FX33)))</formula>
    </cfRule>
    <cfRule type="containsText" dxfId="422" priority="357" operator="containsText" text="A">
      <formula>NOT(ISERROR(SEARCH("A",FX33)))</formula>
    </cfRule>
    <cfRule type="containsText" dxfId="421" priority="358" operator="containsText" text="B">
      <formula>NOT(ISERROR(SEARCH("B",FX33)))</formula>
    </cfRule>
    <cfRule type="containsText" dxfId="420" priority="359" operator="containsText" text="C">
      <formula>NOT(ISERROR(SEARCH("C",FX33)))</formula>
    </cfRule>
  </conditionalFormatting>
  <conditionalFormatting sqref="FX36:FY38">
    <cfRule type="containsText" dxfId="419" priority="349" operator="containsText" text="E">
      <formula>NOT(ISERROR(SEARCH("E",FX36)))</formula>
    </cfRule>
    <cfRule type="containsText" dxfId="418" priority="350" operator="containsText" text="D">
      <formula>NOT(ISERROR(SEARCH("D",FX36)))</formula>
    </cfRule>
    <cfRule type="containsText" dxfId="417" priority="351" operator="containsText" text="A">
      <formula>NOT(ISERROR(SEARCH("A",FX36)))</formula>
    </cfRule>
    <cfRule type="containsText" dxfId="416" priority="352" operator="containsText" text="B">
      <formula>NOT(ISERROR(SEARCH("B",FX36)))</formula>
    </cfRule>
    <cfRule type="containsText" dxfId="415" priority="353" operator="containsText" text="C">
      <formula>NOT(ISERROR(SEARCH("C",FX36)))</formula>
    </cfRule>
  </conditionalFormatting>
  <conditionalFormatting sqref="FX39:FY41">
    <cfRule type="containsText" dxfId="414" priority="343" operator="containsText" text="E">
      <formula>NOT(ISERROR(SEARCH("E",FX39)))</formula>
    </cfRule>
    <cfRule type="containsText" dxfId="413" priority="344" operator="containsText" text="D">
      <formula>NOT(ISERROR(SEARCH("D",FX39)))</formula>
    </cfRule>
    <cfRule type="containsText" dxfId="412" priority="345" operator="containsText" text="A">
      <formula>NOT(ISERROR(SEARCH("A",FX39)))</formula>
    </cfRule>
    <cfRule type="containsText" dxfId="411" priority="346" operator="containsText" text="B">
      <formula>NOT(ISERROR(SEARCH("B",FX39)))</formula>
    </cfRule>
    <cfRule type="containsText" dxfId="410" priority="347" operator="containsText" text="C">
      <formula>NOT(ISERROR(SEARCH("C",FX39)))</formula>
    </cfRule>
  </conditionalFormatting>
  <conditionalFormatting sqref="FX42:FY44">
    <cfRule type="containsText" dxfId="409" priority="337" operator="containsText" text="E">
      <formula>NOT(ISERROR(SEARCH("E",FX42)))</formula>
    </cfRule>
    <cfRule type="containsText" dxfId="408" priority="338" operator="containsText" text="D">
      <formula>NOT(ISERROR(SEARCH("D",FX42)))</formula>
    </cfRule>
    <cfRule type="containsText" dxfId="407" priority="339" operator="containsText" text="A">
      <formula>NOT(ISERROR(SEARCH("A",FX42)))</formula>
    </cfRule>
    <cfRule type="containsText" dxfId="406" priority="340" operator="containsText" text="B">
      <formula>NOT(ISERROR(SEARCH("B",FX42)))</formula>
    </cfRule>
    <cfRule type="containsText" dxfId="405" priority="341" operator="containsText" text="C">
      <formula>NOT(ISERROR(SEARCH("C",FX42)))</formula>
    </cfRule>
  </conditionalFormatting>
  <conditionalFormatting sqref="FX45:FY47">
    <cfRule type="containsText" dxfId="404" priority="331" operator="containsText" text="E">
      <formula>NOT(ISERROR(SEARCH("E",FX45)))</formula>
    </cfRule>
    <cfRule type="containsText" dxfId="403" priority="332" operator="containsText" text="D">
      <formula>NOT(ISERROR(SEARCH("D",FX45)))</formula>
    </cfRule>
    <cfRule type="containsText" dxfId="402" priority="333" operator="containsText" text="A">
      <formula>NOT(ISERROR(SEARCH("A",FX45)))</formula>
    </cfRule>
    <cfRule type="containsText" dxfId="401" priority="334" operator="containsText" text="B">
      <formula>NOT(ISERROR(SEARCH("B",FX45)))</formula>
    </cfRule>
    <cfRule type="containsText" dxfId="400" priority="335" operator="containsText" text="C">
      <formula>NOT(ISERROR(SEARCH("C",FX45)))</formula>
    </cfRule>
  </conditionalFormatting>
  <conditionalFormatting sqref="FX48:FY50">
    <cfRule type="containsText" dxfId="399" priority="325" operator="containsText" text="E">
      <formula>NOT(ISERROR(SEARCH("E",FX48)))</formula>
    </cfRule>
    <cfRule type="containsText" dxfId="398" priority="326" operator="containsText" text="D">
      <formula>NOT(ISERROR(SEARCH("D",FX48)))</formula>
    </cfRule>
    <cfRule type="containsText" dxfId="397" priority="327" operator="containsText" text="A">
      <formula>NOT(ISERROR(SEARCH("A",FX48)))</formula>
    </cfRule>
    <cfRule type="containsText" dxfId="396" priority="328" operator="containsText" text="B">
      <formula>NOT(ISERROR(SEARCH("B",FX48)))</formula>
    </cfRule>
    <cfRule type="containsText" dxfId="395" priority="329" operator="containsText" text="C">
      <formula>NOT(ISERROR(SEARCH("C",FX48)))</formula>
    </cfRule>
  </conditionalFormatting>
  <conditionalFormatting sqref="FX51:FY53">
    <cfRule type="containsText" dxfId="394" priority="319" operator="containsText" text="E">
      <formula>NOT(ISERROR(SEARCH("E",FX51)))</formula>
    </cfRule>
    <cfRule type="containsText" dxfId="393" priority="320" operator="containsText" text="D">
      <formula>NOT(ISERROR(SEARCH("D",FX51)))</formula>
    </cfRule>
    <cfRule type="containsText" dxfId="392" priority="321" operator="containsText" text="A">
      <formula>NOT(ISERROR(SEARCH("A",FX51)))</formula>
    </cfRule>
    <cfRule type="containsText" dxfId="391" priority="322" operator="containsText" text="B">
      <formula>NOT(ISERROR(SEARCH("B",FX51)))</formula>
    </cfRule>
    <cfRule type="containsText" dxfId="390" priority="323" operator="containsText" text="C">
      <formula>NOT(ISERROR(SEARCH("C",FX51)))</formula>
    </cfRule>
  </conditionalFormatting>
  <conditionalFormatting sqref="FX54:FY56">
    <cfRule type="containsText" dxfId="389" priority="313" operator="containsText" text="E">
      <formula>NOT(ISERROR(SEARCH("E",FX54)))</formula>
    </cfRule>
    <cfRule type="containsText" dxfId="388" priority="314" operator="containsText" text="D">
      <formula>NOT(ISERROR(SEARCH("D",FX54)))</formula>
    </cfRule>
    <cfRule type="containsText" dxfId="387" priority="315" operator="containsText" text="A">
      <formula>NOT(ISERROR(SEARCH("A",FX54)))</formula>
    </cfRule>
    <cfRule type="containsText" dxfId="386" priority="316" operator="containsText" text="B">
      <formula>NOT(ISERROR(SEARCH("B",FX54)))</formula>
    </cfRule>
    <cfRule type="containsText" dxfId="385" priority="317" operator="containsText" text="C">
      <formula>NOT(ISERROR(SEARCH("C",FX54)))</formula>
    </cfRule>
  </conditionalFormatting>
  <conditionalFormatting sqref="FX57:FY59">
    <cfRule type="containsText" dxfId="384" priority="307" operator="containsText" text="E">
      <formula>NOT(ISERROR(SEARCH("E",FX57)))</formula>
    </cfRule>
    <cfRule type="containsText" dxfId="383" priority="308" operator="containsText" text="D">
      <formula>NOT(ISERROR(SEARCH("D",FX57)))</formula>
    </cfRule>
    <cfRule type="containsText" dxfId="382" priority="309" operator="containsText" text="A">
      <formula>NOT(ISERROR(SEARCH("A",FX57)))</formula>
    </cfRule>
    <cfRule type="containsText" dxfId="381" priority="310" operator="containsText" text="B">
      <formula>NOT(ISERROR(SEARCH("B",FX57)))</formula>
    </cfRule>
    <cfRule type="containsText" dxfId="380" priority="311" operator="containsText" text="C">
      <formula>NOT(ISERROR(SEARCH("C",FX57)))</formula>
    </cfRule>
  </conditionalFormatting>
  <conditionalFormatting sqref="FX60:FY62">
    <cfRule type="containsText" dxfId="379" priority="301" operator="containsText" text="E">
      <formula>NOT(ISERROR(SEARCH("E",FX60)))</formula>
    </cfRule>
    <cfRule type="containsText" dxfId="378" priority="302" operator="containsText" text="D">
      <formula>NOT(ISERROR(SEARCH("D",FX60)))</formula>
    </cfRule>
    <cfRule type="containsText" dxfId="377" priority="303" operator="containsText" text="A">
      <formula>NOT(ISERROR(SEARCH("A",FX60)))</formula>
    </cfRule>
    <cfRule type="containsText" dxfId="376" priority="304" operator="containsText" text="B">
      <formula>NOT(ISERROR(SEARCH("B",FX60)))</formula>
    </cfRule>
    <cfRule type="containsText" dxfId="375" priority="305" operator="containsText" text="C">
      <formula>NOT(ISERROR(SEARCH("C",FX60)))</formula>
    </cfRule>
  </conditionalFormatting>
  <conditionalFormatting sqref="FX63:FY65">
    <cfRule type="containsText" dxfId="374" priority="295" operator="containsText" text="E">
      <formula>NOT(ISERROR(SEARCH("E",FX63)))</formula>
    </cfRule>
    <cfRule type="containsText" dxfId="373" priority="296" operator="containsText" text="D">
      <formula>NOT(ISERROR(SEARCH("D",FX63)))</formula>
    </cfRule>
    <cfRule type="containsText" dxfId="372" priority="297" operator="containsText" text="A">
      <formula>NOT(ISERROR(SEARCH("A",FX63)))</formula>
    </cfRule>
    <cfRule type="containsText" dxfId="371" priority="298" operator="containsText" text="B">
      <formula>NOT(ISERROR(SEARCH("B",FX63)))</formula>
    </cfRule>
    <cfRule type="containsText" dxfId="370" priority="299" operator="containsText" text="C">
      <formula>NOT(ISERROR(SEARCH("C",FX63)))</formula>
    </cfRule>
  </conditionalFormatting>
  <conditionalFormatting sqref="GC45:GD45">
    <cfRule type="containsText" dxfId="369" priority="289" operator="containsText" text="E">
      <formula>NOT(ISERROR(SEARCH("E",GC45)))</formula>
    </cfRule>
    <cfRule type="containsText" dxfId="368" priority="290" operator="containsText" text="D">
      <formula>NOT(ISERROR(SEARCH("D",GC45)))</formula>
    </cfRule>
    <cfRule type="containsText" dxfId="367" priority="291" operator="containsText" text="A">
      <formula>NOT(ISERROR(SEARCH("A",GC45)))</formula>
    </cfRule>
    <cfRule type="containsText" dxfId="366" priority="292" operator="containsText" text="B">
      <formula>NOT(ISERROR(SEARCH("B",GC45)))</formula>
    </cfRule>
    <cfRule type="containsText" dxfId="365" priority="294" operator="containsText" text="C">
      <formula>NOT(ISERROR(SEARCH("C",GC45)))</formula>
    </cfRule>
  </conditionalFormatting>
  <conditionalFormatting sqref="GC21:GD23">
    <cfRule type="containsText" dxfId="364" priority="283" operator="containsText" text="E">
      <formula>NOT(ISERROR(SEARCH("E",GC21)))</formula>
    </cfRule>
    <cfRule type="containsText" dxfId="363" priority="284" operator="containsText" text="D">
      <formula>NOT(ISERROR(SEARCH("D",GC21)))</formula>
    </cfRule>
    <cfRule type="containsText" dxfId="362" priority="285" operator="containsText" text="A">
      <formula>NOT(ISERROR(SEARCH("A",GC21)))</formula>
    </cfRule>
    <cfRule type="containsText" dxfId="361" priority="286" operator="containsText" text="B">
      <formula>NOT(ISERROR(SEARCH("B",GC21)))</formula>
    </cfRule>
    <cfRule type="containsText" dxfId="360" priority="287" operator="containsText" text="C">
      <formula>NOT(ISERROR(SEARCH("C",GC21)))</formula>
    </cfRule>
  </conditionalFormatting>
  <conditionalFormatting sqref="GC24:GD26">
    <cfRule type="containsText" dxfId="359" priority="277" operator="containsText" text="E">
      <formula>NOT(ISERROR(SEARCH("E",GC24)))</formula>
    </cfRule>
    <cfRule type="containsText" dxfId="358" priority="278" operator="containsText" text="D">
      <formula>NOT(ISERROR(SEARCH("D",GC24)))</formula>
    </cfRule>
    <cfRule type="containsText" dxfId="357" priority="279" operator="containsText" text="A">
      <formula>NOT(ISERROR(SEARCH("A",GC24)))</formula>
    </cfRule>
    <cfRule type="containsText" dxfId="356" priority="280" operator="containsText" text="B">
      <formula>NOT(ISERROR(SEARCH("B",GC24)))</formula>
    </cfRule>
    <cfRule type="containsText" dxfId="355" priority="281" operator="containsText" text="C">
      <formula>NOT(ISERROR(SEARCH("C",GC24)))</formula>
    </cfRule>
  </conditionalFormatting>
  <conditionalFormatting sqref="GC27:GD29">
    <cfRule type="containsText" dxfId="354" priority="271" operator="containsText" text="E">
      <formula>NOT(ISERROR(SEARCH("E",GC27)))</formula>
    </cfRule>
    <cfRule type="containsText" dxfId="353" priority="272" operator="containsText" text="D">
      <formula>NOT(ISERROR(SEARCH("D",GC27)))</formula>
    </cfRule>
    <cfRule type="containsText" dxfId="352" priority="273" operator="containsText" text="A">
      <formula>NOT(ISERROR(SEARCH("A",GC27)))</formula>
    </cfRule>
    <cfRule type="containsText" dxfId="351" priority="274" operator="containsText" text="B">
      <formula>NOT(ISERROR(SEARCH("B",GC27)))</formula>
    </cfRule>
    <cfRule type="containsText" dxfId="350" priority="275" operator="containsText" text="C">
      <formula>NOT(ISERROR(SEARCH("C",GC27)))</formula>
    </cfRule>
  </conditionalFormatting>
  <conditionalFormatting sqref="GC30:GD32">
    <cfRule type="containsText" dxfId="349" priority="265" operator="containsText" text="E">
      <formula>NOT(ISERROR(SEARCH("E",GC30)))</formula>
    </cfRule>
    <cfRule type="containsText" dxfId="348" priority="266" operator="containsText" text="D">
      <formula>NOT(ISERROR(SEARCH("D",GC30)))</formula>
    </cfRule>
    <cfRule type="containsText" dxfId="347" priority="267" operator="containsText" text="A">
      <formula>NOT(ISERROR(SEARCH("A",GC30)))</formula>
    </cfRule>
    <cfRule type="containsText" dxfId="346" priority="268" operator="containsText" text="B">
      <formula>NOT(ISERROR(SEARCH("B",GC30)))</formula>
    </cfRule>
    <cfRule type="containsText" dxfId="345" priority="269" operator="containsText" text="C">
      <formula>NOT(ISERROR(SEARCH("C",GC30)))</formula>
    </cfRule>
  </conditionalFormatting>
  <conditionalFormatting sqref="GC33:GD35">
    <cfRule type="containsText" dxfId="344" priority="259" operator="containsText" text="E">
      <formula>NOT(ISERROR(SEARCH("E",GC33)))</formula>
    </cfRule>
    <cfRule type="containsText" dxfId="343" priority="260" operator="containsText" text="D">
      <formula>NOT(ISERROR(SEARCH("D",GC33)))</formula>
    </cfRule>
    <cfRule type="containsText" dxfId="342" priority="261" operator="containsText" text="A">
      <formula>NOT(ISERROR(SEARCH("A",GC33)))</formula>
    </cfRule>
    <cfRule type="containsText" dxfId="341" priority="262" operator="containsText" text="B">
      <formula>NOT(ISERROR(SEARCH("B",GC33)))</formula>
    </cfRule>
    <cfRule type="containsText" dxfId="340" priority="263" operator="containsText" text="C">
      <formula>NOT(ISERROR(SEARCH("C",GC33)))</formula>
    </cfRule>
  </conditionalFormatting>
  <conditionalFormatting sqref="GC36:GD38">
    <cfRule type="containsText" dxfId="339" priority="253" operator="containsText" text="E">
      <formula>NOT(ISERROR(SEARCH("E",GC36)))</formula>
    </cfRule>
    <cfRule type="containsText" dxfId="338" priority="254" operator="containsText" text="D">
      <formula>NOT(ISERROR(SEARCH("D",GC36)))</formula>
    </cfRule>
    <cfRule type="containsText" dxfId="337" priority="255" operator="containsText" text="A">
      <formula>NOT(ISERROR(SEARCH("A",GC36)))</formula>
    </cfRule>
    <cfRule type="containsText" dxfId="336" priority="256" operator="containsText" text="B">
      <formula>NOT(ISERROR(SEARCH("B",GC36)))</formula>
    </cfRule>
    <cfRule type="containsText" dxfId="335" priority="257" operator="containsText" text="C">
      <formula>NOT(ISERROR(SEARCH("C",GC36)))</formula>
    </cfRule>
  </conditionalFormatting>
  <conditionalFormatting sqref="GC39:GD41">
    <cfRule type="containsText" dxfId="334" priority="247" operator="containsText" text="E">
      <formula>NOT(ISERROR(SEARCH("E",GC39)))</formula>
    </cfRule>
    <cfRule type="containsText" dxfId="333" priority="248" operator="containsText" text="D">
      <formula>NOT(ISERROR(SEARCH("D",GC39)))</formula>
    </cfRule>
    <cfRule type="containsText" dxfId="332" priority="249" operator="containsText" text="A">
      <formula>NOT(ISERROR(SEARCH("A",GC39)))</formula>
    </cfRule>
    <cfRule type="containsText" dxfId="331" priority="250" operator="containsText" text="B">
      <formula>NOT(ISERROR(SEARCH("B",GC39)))</formula>
    </cfRule>
    <cfRule type="containsText" dxfId="330" priority="251" operator="containsText" text="C">
      <formula>NOT(ISERROR(SEARCH("C",GC39)))</formula>
    </cfRule>
  </conditionalFormatting>
  <conditionalFormatting sqref="GC42:GD44">
    <cfRule type="containsText" dxfId="329" priority="241" operator="containsText" text="E">
      <formula>NOT(ISERROR(SEARCH("E",GC42)))</formula>
    </cfRule>
    <cfRule type="containsText" dxfId="328" priority="242" operator="containsText" text="D">
      <formula>NOT(ISERROR(SEARCH("D",GC42)))</formula>
    </cfRule>
    <cfRule type="containsText" dxfId="327" priority="243" operator="containsText" text="A">
      <formula>NOT(ISERROR(SEARCH("A",GC42)))</formula>
    </cfRule>
    <cfRule type="containsText" dxfId="326" priority="244" operator="containsText" text="B">
      <formula>NOT(ISERROR(SEARCH("B",GC42)))</formula>
    </cfRule>
    <cfRule type="containsText" dxfId="325" priority="245" operator="containsText" text="C">
      <formula>NOT(ISERROR(SEARCH("C",GC42)))</formula>
    </cfRule>
  </conditionalFormatting>
  <conditionalFormatting sqref="GC45:GD47">
    <cfRule type="containsText" dxfId="324" priority="235" operator="containsText" text="E">
      <formula>NOT(ISERROR(SEARCH("E",GC45)))</formula>
    </cfRule>
    <cfRule type="containsText" dxfId="323" priority="236" operator="containsText" text="D">
      <formula>NOT(ISERROR(SEARCH("D",GC45)))</formula>
    </cfRule>
    <cfRule type="containsText" dxfId="322" priority="237" operator="containsText" text="A">
      <formula>NOT(ISERROR(SEARCH("A",GC45)))</formula>
    </cfRule>
    <cfRule type="containsText" dxfId="321" priority="238" operator="containsText" text="B">
      <formula>NOT(ISERROR(SEARCH("B",GC45)))</formula>
    </cfRule>
    <cfRule type="containsText" dxfId="320" priority="239" operator="containsText" text="C">
      <formula>NOT(ISERROR(SEARCH("C",GC45)))</formula>
    </cfRule>
  </conditionalFormatting>
  <conditionalFormatting sqref="GC48:GD50">
    <cfRule type="containsText" dxfId="319" priority="229" operator="containsText" text="E">
      <formula>NOT(ISERROR(SEARCH("E",GC48)))</formula>
    </cfRule>
    <cfRule type="containsText" dxfId="318" priority="230" operator="containsText" text="D">
      <formula>NOT(ISERROR(SEARCH("D",GC48)))</formula>
    </cfRule>
    <cfRule type="containsText" dxfId="317" priority="231" operator="containsText" text="A">
      <formula>NOT(ISERROR(SEARCH("A",GC48)))</formula>
    </cfRule>
    <cfRule type="containsText" dxfId="316" priority="232" operator="containsText" text="B">
      <formula>NOT(ISERROR(SEARCH("B",GC48)))</formula>
    </cfRule>
    <cfRule type="containsText" dxfId="315" priority="233" operator="containsText" text="C">
      <formula>NOT(ISERROR(SEARCH("C",GC48)))</formula>
    </cfRule>
  </conditionalFormatting>
  <conditionalFormatting sqref="GC51:GD53">
    <cfRule type="containsText" dxfId="314" priority="223" operator="containsText" text="E">
      <formula>NOT(ISERROR(SEARCH("E",GC51)))</formula>
    </cfRule>
    <cfRule type="containsText" dxfId="313" priority="224" operator="containsText" text="D">
      <formula>NOT(ISERROR(SEARCH("D",GC51)))</formula>
    </cfRule>
    <cfRule type="containsText" dxfId="312" priority="225" operator="containsText" text="A">
      <formula>NOT(ISERROR(SEARCH("A",GC51)))</formula>
    </cfRule>
    <cfRule type="containsText" dxfId="311" priority="226" operator="containsText" text="B">
      <formula>NOT(ISERROR(SEARCH("B",GC51)))</formula>
    </cfRule>
    <cfRule type="containsText" dxfId="310" priority="227" operator="containsText" text="C">
      <formula>NOT(ISERROR(SEARCH("C",GC51)))</formula>
    </cfRule>
  </conditionalFormatting>
  <conditionalFormatting sqref="GC54:GD56">
    <cfRule type="containsText" dxfId="309" priority="217" operator="containsText" text="E">
      <formula>NOT(ISERROR(SEARCH("E",GC54)))</formula>
    </cfRule>
    <cfRule type="containsText" dxfId="308" priority="218" operator="containsText" text="D">
      <formula>NOT(ISERROR(SEARCH("D",GC54)))</formula>
    </cfRule>
    <cfRule type="containsText" dxfId="307" priority="219" operator="containsText" text="A">
      <formula>NOT(ISERROR(SEARCH("A",GC54)))</formula>
    </cfRule>
    <cfRule type="containsText" dxfId="306" priority="220" operator="containsText" text="B">
      <formula>NOT(ISERROR(SEARCH("B",GC54)))</formula>
    </cfRule>
    <cfRule type="containsText" dxfId="305" priority="221" operator="containsText" text="C">
      <formula>NOT(ISERROR(SEARCH("C",GC54)))</formula>
    </cfRule>
  </conditionalFormatting>
  <conditionalFormatting sqref="GC57:GD59">
    <cfRule type="containsText" dxfId="304" priority="211" operator="containsText" text="E">
      <formula>NOT(ISERROR(SEARCH("E",GC57)))</formula>
    </cfRule>
    <cfRule type="containsText" dxfId="303" priority="212" operator="containsText" text="D">
      <formula>NOT(ISERROR(SEARCH("D",GC57)))</formula>
    </cfRule>
    <cfRule type="containsText" dxfId="302" priority="213" operator="containsText" text="A">
      <formula>NOT(ISERROR(SEARCH("A",GC57)))</formula>
    </cfRule>
    <cfRule type="containsText" dxfId="301" priority="214" operator="containsText" text="B">
      <formula>NOT(ISERROR(SEARCH("B",GC57)))</formula>
    </cfRule>
    <cfRule type="containsText" dxfId="300" priority="215" operator="containsText" text="C">
      <formula>NOT(ISERROR(SEARCH("C",GC57)))</formula>
    </cfRule>
  </conditionalFormatting>
  <conditionalFormatting sqref="GC60:GD62">
    <cfRule type="containsText" dxfId="299" priority="205" operator="containsText" text="E">
      <formula>NOT(ISERROR(SEARCH("E",GC60)))</formula>
    </cfRule>
    <cfRule type="containsText" dxfId="298" priority="206" operator="containsText" text="D">
      <formula>NOT(ISERROR(SEARCH("D",GC60)))</formula>
    </cfRule>
    <cfRule type="containsText" dxfId="297" priority="207" operator="containsText" text="A">
      <formula>NOT(ISERROR(SEARCH("A",GC60)))</formula>
    </cfRule>
    <cfRule type="containsText" dxfId="296" priority="208" operator="containsText" text="B">
      <formula>NOT(ISERROR(SEARCH("B",GC60)))</formula>
    </cfRule>
    <cfRule type="containsText" dxfId="295" priority="209" operator="containsText" text="C">
      <formula>NOT(ISERROR(SEARCH("C",GC60)))</formula>
    </cfRule>
  </conditionalFormatting>
  <conditionalFormatting sqref="GC63:GD65">
    <cfRule type="containsText" dxfId="294" priority="199" operator="containsText" text="E">
      <formula>NOT(ISERROR(SEARCH("E",GC63)))</formula>
    </cfRule>
    <cfRule type="containsText" dxfId="293" priority="200" operator="containsText" text="D">
      <formula>NOT(ISERROR(SEARCH("D",GC63)))</formula>
    </cfRule>
    <cfRule type="containsText" dxfId="292" priority="201" operator="containsText" text="A">
      <formula>NOT(ISERROR(SEARCH("A",GC63)))</formula>
    </cfRule>
    <cfRule type="containsText" dxfId="291" priority="202" operator="containsText" text="B">
      <formula>NOT(ISERROR(SEARCH("B",GC63)))</formula>
    </cfRule>
    <cfRule type="containsText" dxfId="290" priority="203" operator="containsText" text="C">
      <formula>NOT(ISERROR(SEARCH("C",GC63)))</formula>
    </cfRule>
  </conditionalFormatting>
  <conditionalFormatting sqref="GH19:GH20">
    <cfRule type="containsText" dxfId="289" priority="97" operator="containsText" text="E">
      <formula>NOT(ISERROR(SEARCH("E",GH19)))</formula>
    </cfRule>
    <cfRule type="containsText" dxfId="288" priority="98" operator="containsText" text="D">
      <formula>NOT(ISERROR(SEARCH("D",GH19)))</formula>
    </cfRule>
    <cfRule type="containsText" dxfId="287" priority="99" operator="containsText" text="A">
      <formula>NOT(ISERROR(SEARCH("A",GH19)))</formula>
    </cfRule>
    <cfRule type="containsText" dxfId="286" priority="100" operator="containsText" text="B">
      <formula>NOT(ISERROR(SEARCH("B",GH19)))</formula>
    </cfRule>
    <cfRule type="containsText" dxfId="285" priority="101" operator="containsText" text="C">
      <formula>NOT(ISERROR(SEARCH("C",GH19)))</formula>
    </cfRule>
  </conditionalFormatting>
  <conditionalFormatting sqref="GH45">
    <cfRule type="containsText" dxfId="284" priority="91" operator="containsText" text="E">
      <formula>NOT(ISERROR(SEARCH("E",GH45)))</formula>
    </cfRule>
    <cfRule type="containsText" dxfId="283" priority="92" operator="containsText" text="D">
      <formula>NOT(ISERROR(SEARCH("D",GH45)))</formula>
    </cfRule>
    <cfRule type="containsText" dxfId="282" priority="93" operator="containsText" text="A">
      <formula>NOT(ISERROR(SEARCH("A",GH45)))</formula>
    </cfRule>
    <cfRule type="containsText" dxfId="281" priority="94" operator="containsText" text="B">
      <formula>NOT(ISERROR(SEARCH("B",GH45)))</formula>
    </cfRule>
    <cfRule type="containsText" dxfId="280" priority="96" operator="containsText" text="C">
      <formula>NOT(ISERROR(SEARCH("C",GH45)))</formula>
    </cfRule>
  </conditionalFormatting>
  <conditionalFormatting sqref="GH21:GH23">
    <cfRule type="containsText" dxfId="279" priority="85" operator="containsText" text="E">
      <formula>NOT(ISERROR(SEARCH("E",GH21)))</formula>
    </cfRule>
    <cfRule type="containsText" dxfId="278" priority="86" operator="containsText" text="D">
      <formula>NOT(ISERROR(SEARCH("D",GH21)))</formula>
    </cfRule>
    <cfRule type="containsText" dxfId="277" priority="87" operator="containsText" text="A">
      <formula>NOT(ISERROR(SEARCH("A",GH21)))</formula>
    </cfRule>
    <cfRule type="containsText" dxfId="276" priority="88" operator="containsText" text="B">
      <formula>NOT(ISERROR(SEARCH("B",GH21)))</formula>
    </cfRule>
    <cfRule type="containsText" dxfId="275" priority="89" operator="containsText" text="C">
      <formula>NOT(ISERROR(SEARCH("C",GH21)))</formula>
    </cfRule>
  </conditionalFormatting>
  <conditionalFormatting sqref="GH24:GH26">
    <cfRule type="containsText" dxfId="274" priority="79" operator="containsText" text="E">
      <formula>NOT(ISERROR(SEARCH("E",GH24)))</formula>
    </cfRule>
    <cfRule type="containsText" dxfId="273" priority="80" operator="containsText" text="D">
      <formula>NOT(ISERROR(SEARCH("D",GH24)))</formula>
    </cfRule>
    <cfRule type="containsText" dxfId="272" priority="81" operator="containsText" text="A">
      <formula>NOT(ISERROR(SEARCH("A",GH24)))</formula>
    </cfRule>
    <cfRule type="containsText" dxfId="271" priority="82" operator="containsText" text="B">
      <formula>NOT(ISERROR(SEARCH("B",GH24)))</formula>
    </cfRule>
    <cfRule type="containsText" dxfId="270" priority="83" operator="containsText" text="C">
      <formula>NOT(ISERROR(SEARCH("C",GH24)))</formula>
    </cfRule>
  </conditionalFormatting>
  <conditionalFormatting sqref="GH27:GH29">
    <cfRule type="containsText" dxfId="269" priority="73" operator="containsText" text="E">
      <formula>NOT(ISERROR(SEARCH("E",GH27)))</formula>
    </cfRule>
    <cfRule type="containsText" dxfId="268" priority="74" operator="containsText" text="D">
      <formula>NOT(ISERROR(SEARCH("D",GH27)))</formula>
    </cfRule>
    <cfRule type="containsText" dxfId="267" priority="75" operator="containsText" text="A">
      <formula>NOT(ISERROR(SEARCH("A",GH27)))</formula>
    </cfRule>
    <cfRule type="containsText" dxfId="266" priority="76" operator="containsText" text="B">
      <formula>NOT(ISERROR(SEARCH("B",GH27)))</formula>
    </cfRule>
    <cfRule type="containsText" dxfId="265" priority="77" operator="containsText" text="C">
      <formula>NOT(ISERROR(SEARCH("C",GH27)))</formula>
    </cfRule>
  </conditionalFormatting>
  <conditionalFormatting sqref="GH30:GH32">
    <cfRule type="containsText" dxfId="264" priority="67" operator="containsText" text="E">
      <formula>NOT(ISERROR(SEARCH("E",GH30)))</formula>
    </cfRule>
    <cfRule type="containsText" dxfId="263" priority="68" operator="containsText" text="D">
      <formula>NOT(ISERROR(SEARCH("D",GH30)))</formula>
    </cfRule>
    <cfRule type="containsText" dxfId="262" priority="69" operator="containsText" text="A">
      <formula>NOT(ISERROR(SEARCH("A",GH30)))</formula>
    </cfRule>
    <cfRule type="containsText" dxfId="261" priority="70" operator="containsText" text="B">
      <formula>NOT(ISERROR(SEARCH("B",GH30)))</formula>
    </cfRule>
    <cfRule type="containsText" dxfId="260" priority="71" operator="containsText" text="C">
      <formula>NOT(ISERROR(SEARCH("C",GH30)))</formula>
    </cfRule>
  </conditionalFormatting>
  <conditionalFormatting sqref="GH33:GH35">
    <cfRule type="containsText" dxfId="259" priority="61" operator="containsText" text="E">
      <formula>NOT(ISERROR(SEARCH("E",GH33)))</formula>
    </cfRule>
    <cfRule type="containsText" dxfId="258" priority="62" operator="containsText" text="D">
      <formula>NOT(ISERROR(SEARCH("D",GH33)))</formula>
    </cfRule>
    <cfRule type="containsText" dxfId="257" priority="63" operator="containsText" text="A">
      <formula>NOT(ISERROR(SEARCH("A",GH33)))</formula>
    </cfRule>
    <cfRule type="containsText" dxfId="256" priority="64" operator="containsText" text="B">
      <formula>NOT(ISERROR(SEARCH("B",GH33)))</formula>
    </cfRule>
    <cfRule type="containsText" dxfId="255" priority="65" operator="containsText" text="C">
      <formula>NOT(ISERROR(SEARCH("C",GH33)))</formula>
    </cfRule>
  </conditionalFormatting>
  <conditionalFormatting sqref="GH36:GH38">
    <cfRule type="containsText" dxfId="254" priority="55" operator="containsText" text="E">
      <formula>NOT(ISERROR(SEARCH("E",GH36)))</formula>
    </cfRule>
    <cfRule type="containsText" dxfId="253" priority="56" operator="containsText" text="D">
      <formula>NOT(ISERROR(SEARCH("D",GH36)))</formula>
    </cfRule>
    <cfRule type="containsText" dxfId="252" priority="57" operator="containsText" text="A">
      <formula>NOT(ISERROR(SEARCH("A",GH36)))</formula>
    </cfRule>
    <cfRule type="containsText" dxfId="251" priority="58" operator="containsText" text="B">
      <formula>NOT(ISERROR(SEARCH("B",GH36)))</formula>
    </cfRule>
    <cfRule type="containsText" dxfId="250" priority="59" operator="containsText" text="C">
      <formula>NOT(ISERROR(SEARCH("C",GH36)))</formula>
    </cfRule>
  </conditionalFormatting>
  <conditionalFormatting sqref="GH39:GH41">
    <cfRule type="containsText" dxfId="249" priority="49" operator="containsText" text="E">
      <formula>NOT(ISERROR(SEARCH("E",GH39)))</formula>
    </cfRule>
    <cfRule type="containsText" dxfId="248" priority="50" operator="containsText" text="D">
      <formula>NOT(ISERROR(SEARCH("D",GH39)))</formula>
    </cfRule>
    <cfRule type="containsText" dxfId="247" priority="51" operator="containsText" text="A">
      <formula>NOT(ISERROR(SEARCH("A",GH39)))</formula>
    </cfRule>
    <cfRule type="containsText" dxfId="246" priority="52" operator="containsText" text="B">
      <formula>NOT(ISERROR(SEARCH("B",GH39)))</formula>
    </cfRule>
    <cfRule type="containsText" dxfId="245" priority="53" operator="containsText" text="C">
      <formula>NOT(ISERROR(SEARCH("C",GH39)))</formula>
    </cfRule>
  </conditionalFormatting>
  <conditionalFormatting sqref="GH42:GH44">
    <cfRule type="containsText" dxfId="244" priority="43" operator="containsText" text="E">
      <formula>NOT(ISERROR(SEARCH("E",GH42)))</formula>
    </cfRule>
    <cfRule type="containsText" dxfId="243" priority="44" operator="containsText" text="D">
      <formula>NOT(ISERROR(SEARCH("D",GH42)))</formula>
    </cfRule>
    <cfRule type="containsText" dxfId="242" priority="45" operator="containsText" text="A">
      <formula>NOT(ISERROR(SEARCH("A",GH42)))</formula>
    </cfRule>
    <cfRule type="containsText" dxfId="241" priority="46" operator="containsText" text="B">
      <formula>NOT(ISERROR(SEARCH("B",GH42)))</formula>
    </cfRule>
    <cfRule type="containsText" dxfId="240" priority="47" operator="containsText" text="C">
      <formula>NOT(ISERROR(SEARCH("C",GH42)))</formula>
    </cfRule>
  </conditionalFormatting>
  <conditionalFormatting sqref="GH45:GH47">
    <cfRule type="containsText" dxfId="239" priority="37" operator="containsText" text="E">
      <formula>NOT(ISERROR(SEARCH("E",GH45)))</formula>
    </cfRule>
    <cfRule type="containsText" dxfId="238" priority="38" operator="containsText" text="D">
      <formula>NOT(ISERROR(SEARCH("D",GH45)))</formula>
    </cfRule>
    <cfRule type="containsText" dxfId="237" priority="39" operator="containsText" text="A">
      <formula>NOT(ISERROR(SEARCH("A",GH45)))</formula>
    </cfRule>
    <cfRule type="containsText" dxfId="236" priority="40" operator="containsText" text="B">
      <formula>NOT(ISERROR(SEARCH("B",GH45)))</formula>
    </cfRule>
    <cfRule type="containsText" dxfId="235" priority="41" operator="containsText" text="C">
      <formula>NOT(ISERROR(SEARCH("C",GH45)))</formula>
    </cfRule>
  </conditionalFormatting>
  <conditionalFormatting sqref="GH48:GH50">
    <cfRule type="containsText" dxfId="234" priority="31" operator="containsText" text="E">
      <formula>NOT(ISERROR(SEARCH("E",GH48)))</formula>
    </cfRule>
    <cfRule type="containsText" dxfId="233" priority="32" operator="containsText" text="D">
      <formula>NOT(ISERROR(SEARCH("D",GH48)))</formula>
    </cfRule>
    <cfRule type="containsText" dxfId="232" priority="33" operator="containsText" text="A">
      <formula>NOT(ISERROR(SEARCH("A",GH48)))</formula>
    </cfRule>
    <cfRule type="containsText" dxfId="231" priority="34" operator="containsText" text="B">
      <formula>NOT(ISERROR(SEARCH("B",GH48)))</formula>
    </cfRule>
    <cfRule type="containsText" dxfId="230" priority="35" operator="containsText" text="C">
      <formula>NOT(ISERROR(SEARCH("C",GH48)))</formula>
    </cfRule>
  </conditionalFormatting>
  <conditionalFormatting sqref="GH51:GH53">
    <cfRule type="containsText" dxfId="229" priority="25" operator="containsText" text="E">
      <formula>NOT(ISERROR(SEARCH("E",GH51)))</formula>
    </cfRule>
    <cfRule type="containsText" dxfId="228" priority="26" operator="containsText" text="D">
      <formula>NOT(ISERROR(SEARCH("D",GH51)))</formula>
    </cfRule>
    <cfRule type="containsText" dxfId="227" priority="27" operator="containsText" text="A">
      <formula>NOT(ISERROR(SEARCH("A",GH51)))</formula>
    </cfRule>
    <cfRule type="containsText" dxfId="226" priority="28" operator="containsText" text="B">
      <formula>NOT(ISERROR(SEARCH("B",GH51)))</formula>
    </cfRule>
    <cfRule type="containsText" dxfId="225" priority="29" operator="containsText" text="C">
      <formula>NOT(ISERROR(SEARCH("C",GH51)))</formula>
    </cfRule>
  </conditionalFormatting>
  <conditionalFormatting sqref="GH54:GH56">
    <cfRule type="containsText" dxfId="224" priority="19" operator="containsText" text="E">
      <formula>NOT(ISERROR(SEARCH("E",GH54)))</formula>
    </cfRule>
    <cfRule type="containsText" dxfId="223" priority="20" operator="containsText" text="D">
      <formula>NOT(ISERROR(SEARCH("D",GH54)))</formula>
    </cfRule>
    <cfRule type="containsText" dxfId="222" priority="21" operator="containsText" text="A">
      <formula>NOT(ISERROR(SEARCH("A",GH54)))</formula>
    </cfRule>
    <cfRule type="containsText" dxfId="221" priority="22" operator="containsText" text="B">
      <formula>NOT(ISERROR(SEARCH("B",GH54)))</formula>
    </cfRule>
    <cfRule type="containsText" dxfId="220" priority="23" operator="containsText" text="C">
      <formula>NOT(ISERROR(SEARCH("C",GH54)))</formula>
    </cfRule>
  </conditionalFormatting>
  <conditionalFormatting sqref="GH57:GH59">
    <cfRule type="containsText" dxfId="219" priority="13" operator="containsText" text="E">
      <formula>NOT(ISERROR(SEARCH("E",GH57)))</formula>
    </cfRule>
    <cfRule type="containsText" dxfId="218" priority="14" operator="containsText" text="D">
      <formula>NOT(ISERROR(SEARCH("D",GH57)))</formula>
    </cfRule>
    <cfRule type="containsText" dxfId="217" priority="15" operator="containsText" text="A">
      <formula>NOT(ISERROR(SEARCH("A",GH57)))</formula>
    </cfRule>
    <cfRule type="containsText" dxfId="216" priority="16" operator="containsText" text="B">
      <formula>NOT(ISERROR(SEARCH("B",GH57)))</formula>
    </cfRule>
    <cfRule type="containsText" dxfId="215" priority="17" operator="containsText" text="C">
      <formula>NOT(ISERROR(SEARCH("C",GH57)))</formula>
    </cfRule>
  </conditionalFormatting>
  <conditionalFormatting sqref="GH60:GH62">
    <cfRule type="containsText" dxfId="214" priority="7" operator="containsText" text="E">
      <formula>NOT(ISERROR(SEARCH("E",GH60)))</formula>
    </cfRule>
    <cfRule type="containsText" dxfId="213" priority="8" operator="containsText" text="D">
      <formula>NOT(ISERROR(SEARCH("D",GH60)))</formula>
    </cfRule>
    <cfRule type="containsText" dxfId="212" priority="9" operator="containsText" text="A">
      <formula>NOT(ISERROR(SEARCH("A",GH60)))</formula>
    </cfRule>
    <cfRule type="containsText" dxfId="211" priority="10" operator="containsText" text="B">
      <formula>NOT(ISERROR(SEARCH("B",GH60)))</formula>
    </cfRule>
    <cfRule type="containsText" dxfId="210" priority="11" operator="containsText" text="C">
      <formula>NOT(ISERROR(SEARCH("C",GH60)))</formula>
    </cfRule>
  </conditionalFormatting>
  <conditionalFormatting sqref="GH63:GH65">
    <cfRule type="containsText" dxfId="209" priority="1" operator="containsText" text="E">
      <formula>NOT(ISERROR(SEARCH("E",GH63)))</formula>
    </cfRule>
    <cfRule type="containsText" dxfId="208" priority="2" operator="containsText" text="D">
      <formula>NOT(ISERROR(SEARCH("D",GH63)))</formula>
    </cfRule>
    <cfRule type="containsText" dxfId="207" priority="3" operator="containsText" text="A">
      <formula>NOT(ISERROR(SEARCH("A",GH63)))</formula>
    </cfRule>
    <cfRule type="containsText" dxfId="206" priority="4" operator="containsText" text="B">
      <formula>NOT(ISERROR(SEARCH("B",GH63)))</formula>
    </cfRule>
    <cfRule type="containsText" dxfId="205" priority="5" operator="containsText" text="C">
      <formula>NOT(ISERROR(SEARCH("C",GH63)))</formula>
    </cfRule>
  </conditionalFormatting>
  <pageMargins left="0" right="0" top="0" bottom="0" header="0" footer="0"/>
  <pageSetup paperSize="9" scale="3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Niveau_1">
                <anchor moveWithCells="1">
                  <from>
                    <xdr:col>86</xdr:col>
                    <xdr:colOff>66675</xdr:colOff>
                    <xdr:row>116</xdr:row>
                    <xdr:rowOff>19050</xdr:rowOff>
                  </from>
                  <to>
                    <xdr:col>92</xdr:col>
                    <xdr:colOff>38100</xdr:colOff>
                    <xdr:row>118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Niveau_2">
                <anchor moveWithCells="1">
                  <from>
                    <xdr:col>86</xdr:col>
                    <xdr:colOff>85725</xdr:colOff>
                    <xdr:row>118</xdr:row>
                    <xdr:rowOff>114300</xdr:rowOff>
                  </from>
                  <to>
                    <xdr:col>92</xdr:col>
                    <xdr:colOff>19050</xdr:colOff>
                    <xdr:row>120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6" name="Button 7">
              <controlPr defaultSize="0" print="0" autoFill="0" autoPict="0" macro="[0]!Niveau_3">
                <anchor moveWithCells="1">
                  <from>
                    <xdr:col>86</xdr:col>
                    <xdr:colOff>85725</xdr:colOff>
                    <xdr:row>121</xdr:row>
                    <xdr:rowOff>47625</xdr:rowOff>
                  </from>
                  <to>
                    <xdr:col>92</xdr:col>
                    <xdr:colOff>38100</xdr:colOff>
                    <xdr:row>122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7" name="Button 8">
              <controlPr defaultSize="0" print="0" autoFill="0" autoPict="0" macro="[0]!Niveau__2">
                <anchor moveWithCells="1">
                  <from>
                    <xdr:col>59</xdr:col>
                    <xdr:colOff>95250</xdr:colOff>
                    <xdr:row>58</xdr:row>
                    <xdr:rowOff>57150</xdr:rowOff>
                  </from>
                  <to>
                    <xdr:col>65</xdr:col>
                    <xdr:colOff>104775</xdr:colOff>
                    <xdr:row>59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8" name="Button 9">
              <controlPr defaultSize="0" print="0" autoFill="0" autoPict="0" macro="[0]!Niveau__1">
                <anchor moveWithCells="1">
                  <from>
                    <xdr:col>59</xdr:col>
                    <xdr:colOff>95250</xdr:colOff>
                    <xdr:row>56</xdr:row>
                    <xdr:rowOff>66675</xdr:rowOff>
                  </from>
                  <to>
                    <xdr:col>65</xdr:col>
                    <xdr:colOff>104775</xdr:colOff>
                    <xdr:row>57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9" name="Button 10">
              <controlPr defaultSize="0" print="0" autoFill="0" autoPict="0" macro="[0]!Niveau__3">
                <anchor moveWithCells="1">
                  <from>
                    <xdr:col>59</xdr:col>
                    <xdr:colOff>95250</xdr:colOff>
                    <xdr:row>60</xdr:row>
                    <xdr:rowOff>47625</xdr:rowOff>
                  </from>
                  <to>
                    <xdr:col>65</xdr:col>
                    <xdr:colOff>85725</xdr:colOff>
                    <xdr:row>61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0" name="Button 11">
              <controlPr defaultSize="0" print="0" autoFill="0" autoPict="0" macro="[0]!Niveau__4">
                <anchor moveWithCells="1">
                  <from>
                    <xdr:col>59</xdr:col>
                    <xdr:colOff>95250</xdr:colOff>
                    <xdr:row>62</xdr:row>
                    <xdr:rowOff>38100</xdr:rowOff>
                  </from>
                  <to>
                    <xdr:col>65</xdr:col>
                    <xdr:colOff>85725</xdr:colOff>
                    <xdr:row>63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486" operator="containsText" id="{CDED4FCF-58C5-4B47-B1D8-7B7D42F28C45}">
            <xm:f>NOT(ISERROR(SEARCH("-",BA18)))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BK71:BK91 BK93:BK115 BR21:EO23 BR19:GG20 GH18 BR26:EO28 BR24:BS25 CR24:EO25 BR31:EO33 BR29:BS30 CL29:EO30 BR36:EO38 BR34:BS35 CR34:EO35 BR41:DE43 BR39:BS40 CL39:EO40 BR46:EO48 BR44:BS45 CR44:EO45 BR51:EO53 BR49:BS50 CL49:EO50 BR54:BY54 CR54:EO54 BA19:BC19 BB20:BC54 BA38:BA39 EQ21:ES54 DH41:EO43 EV21:EX44 EV46:EX54 ET45:EX45 FA21:FC54 FF21:FH54 FK21:FM54 FP21:FR54 FU21:FW54 FZ21:GB54 GE21:GG54</xm:sqref>
        </x14:conditionalFormatting>
        <x14:conditionalFormatting xmlns:xm="http://schemas.microsoft.com/office/excel/2006/main">
          <x14:cfRule type="containsText" priority="1492" operator="containsText" id="{956077FB-C5EC-409F-BFB4-1D47128E32A3}">
            <xm:f>NOT(ISERROR(SEARCH("-",BA18)))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BA18:GH18 BA126:GH126 BA119:EP119 BA120:EO125 BF19:BF54 BI29:BL54 BI19:BL24 BO19:BO54 BA66:GH118 BB55:EO55 BA56:EO65 EQ55:ES65 EV55:EX65 FA55:FC65 FF55:FH65 FK55:FM65 FP55:FR65 FU55:FW65 FZ55:GB65 GE55:GG65</xm:sqref>
        </x14:conditionalFormatting>
        <x14:conditionalFormatting xmlns:xm="http://schemas.microsoft.com/office/excel/2006/main">
          <x14:cfRule type="containsText" priority="1445" operator="containsText" id="{0944428D-F783-4F38-B0EE-65BA7B4061BF}">
            <xm:f>NOT(ISERROR(SEARCH("-",EU71)))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EU71:EU115</xm:sqref>
        </x14:conditionalFormatting>
        <x14:conditionalFormatting xmlns:xm="http://schemas.microsoft.com/office/excel/2006/main">
          <x14:cfRule type="containsText" priority="1444" operator="containsText" id="{C8C8DAB2-72FC-48B1-A130-CFA18CDE720B}">
            <xm:f>NOT(ISERROR(SEARCH("-",EZ71)))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EZ71:EZ115</xm:sqref>
        </x14:conditionalFormatting>
        <x14:conditionalFormatting xmlns:xm="http://schemas.microsoft.com/office/excel/2006/main">
          <x14:cfRule type="containsText" priority="1443" operator="containsText" id="{2E64982A-54C5-4BC9-BC07-33AD6657D47E}">
            <xm:f>NOT(ISERROR(SEARCH("-",FE71)))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FE71:FE115</xm:sqref>
        </x14:conditionalFormatting>
        <x14:conditionalFormatting xmlns:xm="http://schemas.microsoft.com/office/excel/2006/main">
          <x14:cfRule type="containsText" priority="1442" operator="containsText" id="{0DFD0CF3-9418-4E94-97A8-0FB050D7CC18}">
            <xm:f>NOT(ISERROR(SEARCH("-",FJ71)))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FJ71:FJ115</xm:sqref>
        </x14:conditionalFormatting>
        <x14:conditionalFormatting xmlns:xm="http://schemas.microsoft.com/office/excel/2006/main">
          <x14:cfRule type="containsText" priority="1441" operator="containsText" id="{61E36263-BCEA-4F62-9D56-5A42252C6F29}">
            <xm:f>NOT(ISERROR(SEARCH("-",FO71)))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FO71:FO115</xm:sqref>
        </x14:conditionalFormatting>
        <x14:conditionalFormatting xmlns:xm="http://schemas.microsoft.com/office/excel/2006/main">
          <x14:cfRule type="containsText" priority="1440" operator="containsText" id="{9DAECB43-745D-4430-8419-776C0310B6F6}">
            <xm:f>NOT(ISERROR(SEARCH("-",FT71)))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FT71:FT115</xm:sqref>
        </x14:conditionalFormatting>
        <x14:conditionalFormatting xmlns:xm="http://schemas.microsoft.com/office/excel/2006/main">
          <x14:cfRule type="containsText" priority="1439" operator="containsText" id="{9DF2A5AD-6C81-4A44-930E-22B837D66BB8}">
            <xm:f>NOT(ISERROR(SEARCH("-",BD19)))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BD19:BE54</xm:sqref>
        </x14:conditionalFormatting>
        <x14:conditionalFormatting xmlns:xm="http://schemas.microsoft.com/office/excel/2006/main">
          <x14:cfRule type="containsText" priority="1419" operator="containsText" id="{038224E2-C541-4898-9E64-9B0C20998ED4}">
            <xm:f>NOT(ISERROR(SEARCH("-",BG19)))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BG19:BH54</xm:sqref>
        </x14:conditionalFormatting>
        <x14:conditionalFormatting xmlns:xm="http://schemas.microsoft.com/office/excel/2006/main">
          <x14:cfRule type="containsText" priority="1413" operator="containsText" id="{29FEBEE9-95BD-4AA5-8791-1FDE3E8F81CA}">
            <xm:f>NOT(ISERROR(SEARCH("-",BM19)))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BM19:BN54</xm:sqref>
        </x14:conditionalFormatting>
        <x14:conditionalFormatting xmlns:xm="http://schemas.microsoft.com/office/excel/2006/main">
          <x14:cfRule type="containsText" priority="1407" operator="containsText" id="{C63DFB74-8D94-45A3-8BE1-22E7F1B20EDA}">
            <xm:f>NOT(ISERROR(SEARCH("-",BP19)))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BP19:BQ54</xm:sqref>
        </x14:conditionalFormatting>
        <x14:conditionalFormatting xmlns:xm="http://schemas.microsoft.com/office/excel/2006/main">
          <x14:cfRule type="containsText" priority="1401" operator="containsText" id="{2E817F06-6EC2-4677-A4B5-BCF805E451F0}">
            <xm:f>NOT(ISERROR(SEARCH("-",BT24)))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BT24 BW24 BZ24 CC24 CF24 CI24 CL24 CO24</xm:sqref>
        </x14:conditionalFormatting>
        <x14:conditionalFormatting xmlns:xm="http://schemas.microsoft.com/office/excel/2006/main">
          <x14:cfRule type="containsText" priority="1395" operator="containsText" id="{03786115-32B9-41DB-B326-6F6150F1B601}">
            <xm:f>NOT(ISERROR(SEARCH("-",BU24)))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BU24 BX24 CA24 CD24 CG24 CJ24 CM24 CP24</xm:sqref>
        </x14:conditionalFormatting>
        <x14:conditionalFormatting xmlns:xm="http://schemas.microsoft.com/office/excel/2006/main">
          <x14:cfRule type="containsText" priority="1389" operator="containsText" id="{C37541CE-6CAE-4494-8CAC-43C6ADC14D73}">
            <xm:f>NOT(ISERROR(SEARCH("-",BV24)))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BV24 BY24 CB24 CE24 CH24 CK24 CN24 CQ24</xm:sqref>
        </x14:conditionalFormatting>
        <x14:conditionalFormatting xmlns:xm="http://schemas.microsoft.com/office/excel/2006/main">
          <x14:cfRule type="containsText" priority="1377" operator="containsText" id="{C11D8B63-D1D8-4496-B55E-5FCD6EB09FAC}">
            <xm:f>NOT(ISERROR(SEARCH("-",BT25)))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BT25 BW25 BZ25 CC25 CF25 CI25 CL25 CO25</xm:sqref>
        </x14:conditionalFormatting>
        <x14:conditionalFormatting xmlns:xm="http://schemas.microsoft.com/office/excel/2006/main">
          <x14:cfRule type="containsText" priority="1371" operator="containsText" id="{8F0257CB-34FF-4317-AA77-10BE681A7137}">
            <xm:f>NOT(ISERROR(SEARCH("-",BU25)))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BU25 BX25 CA25 CD25 CG25 CJ25 CM25 CP25</xm:sqref>
        </x14:conditionalFormatting>
        <x14:conditionalFormatting xmlns:xm="http://schemas.microsoft.com/office/excel/2006/main">
          <x14:cfRule type="containsText" priority="1365" operator="containsText" id="{36B208C1-94DA-476F-8CCC-522376D9CC04}">
            <xm:f>NOT(ISERROR(SEARCH("-",BV25)))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BV25 BY25 CB25 CE25 CH25 CK25 CN25 CQ25</xm:sqref>
        </x14:conditionalFormatting>
        <x14:conditionalFormatting xmlns:xm="http://schemas.microsoft.com/office/excel/2006/main">
          <x14:cfRule type="containsText" priority="1359" operator="containsText" id="{0281228A-8BC3-4F0F-AFE9-E01E045853C2}">
            <xm:f>NOT(ISERROR(SEARCH("-",BT29)))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BT29 BW29 BZ29 CC29 CF29 CI29</xm:sqref>
        </x14:conditionalFormatting>
        <x14:conditionalFormatting xmlns:xm="http://schemas.microsoft.com/office/excel/2006/main">
          <x14:cfRule type="containsText" priority="1353" operator="containsText" id="{6C14FDF5-3DE9-4297-AD29-F577AB822646}">
            <xm:f>NOT(ISERROR(SEARCH("-",BU29)))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BU29 BX29 CA29 CD29 CG29 CJ29</xm:sqref>
        </x14:conditionalFormatting>
        <x14:conditionalFormatting xmlns:xm="http://schemas.microsoft.com/office/excel/2006/main">
          <x14:cfRule type="containsText" priority="1347" operator="containsText" id="{46B60151-2039-48B2-8536-73B4F54A9A9F}">
            <xm:f>NOT(ISERROR(SEARCH("-",BV29)))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BV29 BY29 CB29 CE29 CH29 CK29</xm:sqref>
        </x14:conditionalFormatting>
        <x14:conditionalFormatting xmlns:xm="http://schemas.microsoft.com/office/excel/2006/main">
          <x14:cfRule type="containsText" priority="1341" operator="containsText" id="{7D4CD94D-F959-41D3-AA71-402F35FA6B29}">
            <xm:f>NOT(ISERROR(SEARCH("-",BT30)))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BT30 BW30 BZ30 CC30 CF30 CI30</xm:sqref>
        </x14:conditionalFormatting>
        <x14:conditionalFormatting xmlns:xm="http://schemas.microsoft.com/office/excel/2006/main">
          <x14:cfRule type="containsText" priority="1335" operator="containsText" id="{35A1E874-738B-4256-8723-6E9EF2F1FC8D}">
            <xm:f>NOT(ISERROR(SEARCH("-",BU30)))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BU30 BX30 CA30 CD30 CG30 CJ30</xm:sqref>
        </x14:conditionalFormatting>
        <x14:conditionalFormatting xmlns:xm="http://schemas.microsoft.com/office/excel/2006/main">
          <x14:cfRule type="containsText" priority="1329" operator="containsText" id="{8ACC742E-4EBF-4036-838C-7E4F60E66D38}">
            <xm:f>NOT(ISERROR(SEARCH("-",BV30)))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BV30 BY30 CB30 CE30 CH30 CK30</xm:sqref>
        </x14:conditionalFormatting>
        <x14:conditionalFormatting xmlns:xm="http://schemas.microsoft.com/office/excel/2006/main">
          <x14:cfRule type="containsText" priority="1323" operator="containsText" id="{E30AE495-88D4-4A66-941B-C5BC0966E23D}">
            <xm:f>NOT(ISERROR(SEARCH("-",BT34)))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BT34 BW34 BZ34 CC34 CF34 CI34 CL34 CO34</xm:sqref>
        </x14:conditionalFormatting>
        <x14:conditionalFormatting xmlns:xm="http://schemas.microsoft.com/office/excel/2006/main">
          <x14:cfRule type="containsText" priority="1317" operator="containsText" id="{4828AA76-AD88-4EF6-A078-80F8374CB2BA}">
            <xm:f>NOT(ISERROR(SEARCH("-",BU34)))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BU34 BX34 CA34 CD34 CG34 CJ34 CM34 CP34</xm:sqref>
        </x14:conditionalFormatting>
        <x14:conditionalFormatting xmlns:xm="http://schemas.microsoft.com/office/excel/2006/main">
          <x14:cfRule type="containsText" priority="1311" operator="containsText" id="{A6C821D7-728C-4B63-B601-0352A5895EB9}">
            <xm:f>NOT(ISERROR(SEARCH("-",BV34)))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BV34 BY34 CB34 CE34 CH34 CK34 CN34 CQ34</xm:sqref>
        </x14:conditionalFormatting>
        <x14:conditionalFormatting xmlns:xm="http://schemas.microsoft.com/office/excel/2006/main">
          <x14:cfRule type="containsText" priority="1305" operator="containsText" id="{C9C9C9BF-920A-4B81-86D5-8D7487E4120A}">
            <xm:f>NOT(ISERROR(SEARCH("-",BT35)))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BT35 BW35 BZ35 CC35 CF35 CI35 CL35 CO35</xm:sqref>
        </x14:conditionalFormatting>
        <x14:conditionalFormatting xmlns:xm="http://schemas.microsoft.com/office/excel/2006/main">
          <x14:cfRule type="containsText" priority="1299" operator="containsText" id="{3FE6589F-0BC1-41E8-8EA3-803545A8BF2B}">
            <xm:f>NOT(ISERROR(SEARCH("-",BU35)))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BU35 BX35 CA35 CD35 CG35 CJ35 CM35 CP35</xm:sqref>
        </x14:conditionalFormatting>
        <x14:conditionalFormatting xmlns:xm="http://schemas.microsoft.com/office/excel/2006/main">
          <x14:cfRule type="containsText" priority="1293" operator="containsText" id="{3FEAACE8-885E-45EF-8E5B-42E8B8F75091}">
            <xm:f>NOT(ISERROR(SEARCH("-",BV35)))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BV35 BY35 CB35 CE35 CH35 CK35 CN35 CQ35</xm:sqref>
        </x14:conditionalFormatting>
        <x14:conditionalFormatting xmlns:xm="http://schemas.microsoft.com/office/excel/2006/main">
          <x14:cfRule type="containsText" priority="1287" operator="containsText" id="{C4268693-8011-4DC9-A65A-0779965B4A2D}">
            <xm:f>NOT(ISERROR(SEARCH("-",BT39)))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BT39 BW39 BZ39 CC39 CF39 CI39</xm:sqref>
        </x14:conditionalFormatting>
        <x14:conditionalFormatting xmlns:xm="http://schemas.microsoft.com/office/excel/2006/main">
          <x14:cfRule type="containsText" priority="1281" operator="containsText" id="{5F06B806-EC17-475E-8198-733E8B78DA2D}">
            <xm:f>NOT(ISERROR(SEARCH("-",BU39)))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BU39 BX39 CA39 CD39 CG39 CJ39</xm:sqref>
        </x14:conditionalFormatting>
        <x14:conditionalFormatting xmlns:xm="http://schemas.microsoft.com/office/excel/2006/main">
          <x14:cfRule type="containsText" priority="1275" operator="containsText" id="{3576B94C-B2E7-4CE2-94D7-A27542F36F91}">
            <xm:f>NOT(ISERROR(SEARCH("-",BV39)))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BV39 BY39 CB39 CE39 CH39 CK39</xm:sqref>
        </x14:conditionalFormatting>
        <x14:conditionalFormatting xmlns:xm="http://schemas.microsoft.com/office/excel/2006/main">
          <x14:cfRule type="containsText" priority="1269" operator="containsText" id="{D1C74149-9C69-425B-861F-63D612070854}">
            <xm:f>NOT(ISERROR(SEARCH("-",BT40)))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BT40 BW40 BZ40 CC40 CF40 CI40</xm:sqref>
        </x14:conditionalFormatting>
        <x14:conditionalFormatting xmlns:xm="http://schemas.microsoft.com/office/excel/2006/main">
          <x14:cfRule type="containsText" priority="1263" operator="containsText" id="{602ED993-FD6C-4931-A777-875768614924}">
            <xm:f>NOT(ISERROR(SEARCH("-",BU40)))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BU40 BX40 CA40 CD40 CG40 CJ40</xm:sqref>
        </x14:conditionalFormatting>
        <x14:conditionalFormatting xmlns:xm="http://schemas.microsoft.com/office/excel/2006/main">
          <x14:cfRule type="containsText" priority="1257" operator="containsText" id="{EC7A1304-81D3-4805-A08F-7EE886121202}">
            <xm:f>NOT(ISERROR(SEARCH("-",BV40)))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BV40 BY40 CB40 CE40 CH40 CK40</xm:sqref>
        </x14:conditionalFormatting>
        <x14:conditionalFormatting xmlns:xm="http://schemas.microsoft.com/office/excel/2006/main">
          <x14:cfRule type="containsText" priority="1160" operator="containsText" id="{D7A84FB7-DE8A-458D-959D-34F07397B08B}">
            <xm:f>NOT(ISERROR(SEARCH("-",GD71)))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GD71:GD115</xm:sqref>
        </x14:conditionalFormatting>
        <x14:conditionalFormatting xmlns:xm="http://schemas.microsoft.com/office/excel/2006/main">
          <x14:cfRule type="containsText" priority="1251" operator="containsText" id="{06A47392-186C-446B-9D2D-D349217C4B1B}">
            <xm:f>NOT(ISERROR(SEARCH("-",BT44)))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BT44 BW44 BZ44 CC44 CF44 CI44 CL44 CO44</xm:sqref>
        </x14:conditionalFormatting>
        <x14:conditionalFormatting xmlns:xm="http://schemas.microsoft.com/office/excel/2006/main">
          <x14:cfRule type="containsText" priority="1245" operator="containsText" id="{5CC09CB2-DF96-4412-8EE8-508450EF27F9}">
            <xm:f>NOT(ISERROR(SEARCH("-",BU44)))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BU44 BX44 CA44 CD44 CG44 CJ44 CM44 CP44</xm:sqref>
        </x14:conditionalFormatting>
        <x14:conditionalFormatting xmlns:xm="http://schemas.microsoft.com/office/excel/2006/main">
          <x14:cfRule type="containsText" priority="1239" operator="containsText" id="{B56F1631-3451-499B-8A0B-2414C949E571}">
            <xm:f>NOT(ISERROR(SEARCH("-",BV44)))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BV44 BY44 CB44 CE44 CH44 CK44 CN44 CQ44</xm:sqref>
        </x14:conditionalFormatting>
        <x14:conditionalFormatting xmlns:xm="http://schemas.microsoft.com/office/excel/2006/main">
          <x14:cfRule type="containsText" priority="1233" operator="containsText" id="{0E57DC1E-DA33-48FB-9FFA-1C1E9EBDDC39}">
            <xm:f>NOT(ISERROR(SEARCH("-",BT45)))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BT45 BW45 BZ45 CC45 CF45 CI45 CL45 CO45</xm:sqref>
        </x14:conditionalFormatting>
        <x14:conditionalFormatting xmlns:xm="http://schemas.microsoft.com/office/excel/2006/main">
          <x14:cfRule type="containsText" priority="1227" operator="containsText" id="{640E869E-28C4-4B89-AAA7-345A54DD27B0}">
            <xm:f>NOT(ISERROR(SEARCH("-",BU45)))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BU45 BX45 CA45 CD45 CG45 CJ45 CM45 CP45</xm:sqref>
        </x14:conditionalFormatting>
        <x14:conditionalFormatting xmlns:xm="http://schemas.microsoft.com/office/excel/2006/main">
          <x14:cfRule type="containsText" priority="1221" operator="containsText" id="{C37B141B-96AF-4E53-B634-2EE73DB7F923}">
            <xm:f>NOT(ISERROR(SEARCH("-",BV45)))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BV45 BY45 CB45 CE45 CH45 CK45 CN45 CQ45</xm:sqref>
        </x14:conditionalFormatting>
        <x14:conditionalFormatting xmlns:xm="http://schemas.microsoft.com/office/excel/2006/main">
          <x14:cfRule type="containsText" priority="1215" operator="containsText" id="{EB8C1959-040C-4424-BDCC-40B349277988}">
            <xm:f>NOT(ISERROR(SEARCH("-",BT49)))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BT49 BW49 BZ49 CC49 CF49 CI49</xm:sqref>
        </x14:conditionalFormatting>
        <x14:conditionalFormatting xmlns:xm="http://schemas.microsoft.com/office/excel/2006/main">
          <x14:cfRule type="containsText" priority="1209" operator="containsText" id="{0E5E2FE4-2A97-4826-B3FD-D01267B6F81E}">
            <xm:f>NOT(ISERROR(SEARCH("-",BU49)))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BU49 BX49 CA49 CD49 CG49 CJ49</xm:sqref>
        </x14:conditionalFormatting>
        <x14:conditionalFormatting xmlns:xm="http://schemas.microsoft.com/office/excel/2006/main">
          <x14:cfRule type="containsText" priority="1203" operator="containsText" id="{94EF294B-47A2-4E99-A284-28C857130A79}">
            <xm:f>NOT(ISERROR(SEARCH("-",BV49)))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BV49 BY49 CB49 CE49 CH49 CK49</xm:sqref>
        </x14:conditionalFormatting>
        <x14:conditionalFormatting xmlns:xm="http://schemas.microsoft.com/office/excel/2006/main">
          <x14:cfRule type="containsText" priority="1197" operator="containsText" id="{BBA63AC6-C87E-40CE-89A5-8EA5B2B467FC}">
            <xm:f>NOT(ISERROR(SEARCH("-",BT50)))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BT50 BW50 BZ50 CC50 CF50 CI50</xm:sqref>
        </x14:conditionalFormatting>
        <x14:conditionalFormatting xmlns:xm="http://schemas.microsoft.com/office/excel/2006/main">
          <x14:cfRule type="containsText" priority="1191" operator="containsText" id="{98468521-C1BC-44AE-9FDE-CB655A252A83}">
            <xm:f>NOT(ISERROR(SEARCH("-",BU50)))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BU50 BX50 CA50 CD50 CG50 CJ50</xm:sqref>
        </x14:conditionalFormatting>
        <x14:conditionalFormatting xmlns:xm="http://schemas.microsoft.com/office/excel/2006/main">
          <x14:cfRule type="containsText" priority="1185" operator="containsText" id="{77CE0F2B-A774-440B-B2D3-0413B37122C4}">
            <xm:f>NOT(ISERROR(SEARCH("-",BV50)))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BV50 BY50 CB50 CE50 CH50 CK50</xm:sqref>
        </x14:conditionalFormatting>
        <x14:conditionalFormatting xmlns:xm="http://schemas.microsoft.com/office/excel/2006/main">
          <x14:cfRule type="containsText" priority="1179" operator="containsText" id="{318AE0E0-B52D-4EE1-AA60-54169457DD9E}">
            <xm:f>NOT(ISERROR(SEARCH("-",BZ54)))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BZ54 CC54 CF54 CI54 CL54 CO54</xm:sqref>
        </x14:conditionalFormatting>
        <x14:conditionalFormatting xmlns:xm="http://schemas.microsoft.com/office/excel/2006/main">
          <x14:cfRule type="containsText" priority="1173" operator="containsText" id="{414C747D-D7A7-45C1-92A8-0DA9F3433EFF}">
            <xm:f>NOT(ISERROR(SEARCH("-",CA54)))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CA54 CD54 CG54 CJ54 CM54 CP54</xm:sqref>
        </x14:conditionalFormatting>
        <x14:conditionalFormatting xmlns:xm="http://schemas.microsoft.com/office/excel/2006/main">
          <x14:cfRule type="containsText" priority="1167" operator="containsText" id="{2F649AA7-217F-4769-BAD9-9265AD6599FD}">
            <xm:f>NOT(ISERROR(SEARCH("-",CB54)))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CB54 CE54 CH54 CK54 CN54 CQ54</xm:sqref>
        </x14:conditionalFormatting>
        <x14:conditionalFormatting xmlns:xm="http://schemas.microsoft.com/office/excel/2006/main">
          <x14:cfRule type="containsText" priority="1161" operator="containsText" id="{2B32DB9A-B868-49F3-AE6A-E79DE041AD2C}">
            <xm:f>NOT(ISERROR(SEARCH("-",FY71)))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FY71:FY115</xm:sqref>
        </x14:conditionalFormatting>
        <x14:conditionalFormatting xmlns:xm="http://schemas.microsoft.com/office/excel/2006/main">
          <x14:cfRule type="containsText" priority="1153" operator="containsText" id="{F940F730-A6B8-4F40-AF38-3A29F91F0ECB}">
            <xm:f>NOT(ISERROR(SEARCH("-",BA20)))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BA20:BA37 BA40:BA55</xm:sqref>
        </x14:conditionalFormatting>
        <x14:conditionalFormatting xmlns:xm="http://schemas.microsoft.com/office/excel/2006/main">
          <x14:cfRule type="containsText" priority="1146" operator="containsText" id="{5F784400-12B2-414D-B898-241DA523C015}">
            <xm:f>NOT(ISERROR(SEARCH("-",BB4)))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BB4</xm:sqref>
        </x14:conditionalFormatting>
        <x14:conditionalFormatting xmlns:xm="http://schemas.microsoft.com/office/excel/2006/main">
          <x14:cfRule type="containsText" priority="1140" operator="containsText" id="{4173C2B1-F7E3-44FC-B139-5C49B6E9F47C}">
            <xm:f>NOT(ISERROR(SEARCH("-",EP21)))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EP21:EP65</xm:sqref>
        </x14:conditionalFormatting>
        <x14:conditionalFormatting xmlns:xm="http://schemas.microsoft.com/office/excel/2006/main">
          <x14:cfRule type="containsText" priority="1134" operator="containsText" id="{D3EB1D15-D52C-4B67-8686-16951C529D6E}">
            <xm:f>NOT(ISERROR(SEARCH("-",ET21)))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ET21:EU23</xm:sqref>
        </x14:conditionalFormatting>
        <x14:conditionalFormatting xmlns:xm="http://schemas.microsoft.com/office/excel/2006/main">
          <x14:cfRule type="containsText" priority="954" operator="containsText" id="{A5845421-50FC-434B-A8A7-537902912310}">
            <xm:f>NOT(ISERROR(SEARCH("-",ET24)))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ET24:EU26</xm:sqref>
        </x14:conditionalFormatting>
        <x14:conditionalFormatting xmlns:xm="http://schemas.microsoft.com/office/excel/2006/main">
          <x14:cfRule type="containsText" priority="948" operator="containsText" id="{4F67BCA8-A602-47AB-AAEF-782CADD6CC7F}">
            <xm:f>NOT(ISERROR(SEARCH("-",ET27)))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ET27:EU29</xm:sqref>
        </x14:conditionalFormatting>
        <x14:conditionalFormatting xmlns:xm="http://schemas.microsoft.com/office/excel/2006/main">
          <x14:cfRule type="containsText" priority="942" operator="containsText" id="{98A575AD-0CF1-46E2-A3EA-2A0A664F36E7}">
            <xm:f>NOT(ISERROR(SEARCH("-",ET30)))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ET30:EU32</xm:sqref>
        </x14:conditionalFormatting>
        <x14:conditionalFormatting xmlns:xm="http://schemas.microsoft.com/office/excel/2006/main">
          <x14:cfRule type="containsText" priority="936" operator="containsText" id="{F6DDBA9F-6493-4D8B-B7D4-A21A47FCB8AD}">
            <xm:f>NOT(ISERROR(SEARCH("-",ET33)))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ET33:EU35</xm:sqref>
        </x14:conditionalFormatting>
        <x14:conditionalFormatting xmlns:xm="http://schemas.microsoft.com/office/excel/2006/main">
          <x14:cfRule type="containsText" priority="930" operator="containsText" id="{1508DE95-6E06-4DA2-A3AE-04D1EB5880A7}">
            <xm:f>NOT(ISERROR(SEARCH("-",ET36)))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ET36:EU38</xm:sqref>
        </x14:conditionalFormatting>
        <x14:conditionalFormatting xmlns:xm="http://schemas.microsoft.com/office/excel/2006/main">
          <x14:cfRule type="containsText" priority="924" operator="containsText" id="{CEC64CFE-410C-4A1C-81C3-B5720AF6CFC0}">
            <xm:f>NOT(ISERROR(SEARCH("-",ET39)))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ET39:EU41</xm:sqref>
        </x14:conditionalFormatting>
        <x14:conditionalFormatting xmlns:xm="http://schemas.microsoft.com/office/excel/2006/main">
          <x14:cfRule type="containsText" priority="918" operator="containsText" id="{E70D2E0F-ECC7-4F06-A381-73C4BFF30BCA}">
            <xm:f>NOT(ISERROR(SEARCH("-",ET42)))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ET42:EU44</xm:sqref>
        </x14:conditionalFormatting>
        <x14:conditionalFormatting xmlns:xm="http://schemas.microsoft.com/office/excel/2006/main">
          <x14:cfRule type="containsText" priority="912" operator="containsText" id="{21D7C45E-7F3F-42F2-A8A0-6BB9E5F3FDCD}">
            <xm:f>NOT(ISERROR(SEARCH("-",ET45)))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ET45:EU47</xm:sqref>
        </x14:conditionalFormatting>
        <x14:conditionalFormatting xmlns:xm="http://schemas.microsoft.com/office/excel/2006/main">
          <x14:cfRule type="containsText" priority="906" operator="containsText" id="{AA768AF8-0F69-4F10-BA38-3224FDB444B5}">
            <xm:f>NOT(ISERROR(SEARCH("-",ET48)))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ET48:EU50</xm:sqref>
        </x14:conditionalFormatting>
        <x14:conditionalFormatting xmlns:xm="http://schemas.microsoft.com/office/excel/2006/main">
          <x14:cfRule type="containsText" priority="900" operator="containsText" id="{1C2C1696-BEA5-43DF-9E19-73DAD3BE62AB}">
            <xm:f>NOT(ISERROR(SEARCH("-",ET51)))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ET51:EU53</xm:sqref>
        </x14:conditionalFormatting>
        <x14:conditionalFormatting xmlns:xm="http://schemas.microsoft.com/office/excel/2006/main">
          <x14:cfRule type="containsText" priority="894" operator="containsText" id="{9CC7B6F5-E302-4D5B-8A22-BAD2F5A4C0F0}">
            <xm:f>NOT(ISERROR(SEARCH("-",ET54)))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ET54:EU56</xm:sqref>
        </x14:conditionalFormatting>
        <x14:conditionalFormatting xmlns:xm="http://schemas.microsoft.com/office/excel/2006/main">
          <x14:cfRule type="containsText" priority="888" operator="containsText" id="{32935258-1EE5-4DEB-982F-7E4AD00AE861}">
            <xm:f>NOT(ISERROR(SEARCH("-",ET57)))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ET57:EU59</xm:sqref>
        </x14:conditionalFormatting>
        <x14:conditionalFormatting xmlns:xm="http://schemas.microsoft.com/office/excel/2006/main">
          <x14:cfRule type="containsText" priority="882" operator="containsText" id="{F796603B-8BFB-49BC-9CC6-4F5E81150973}">
            <xm:f>NOT(ISERROR(SEARCH("-",ET60)))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ET60:EU62</xm:sqref>
        </x14:conditionalFormatting>
        <x14:conditionalFormatting xmlns:xm="http://schemas.microsoft.com/office/excel/2006/main">
          <x14:cfRule type="containsText" priority="876" operator="containsText" id="{292FC3BF-DC31-4E29-83AC-24CD3C4E7C0F}">
            <xm:f>NOT(ISERROR(SEARCH("-",ET63)))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ET63:EU65</xm:sqref>
        </x14:conditionalFormatting>
        <x14:conditionalFormatting xmlns:xm="http://schemas.microsoft.com/office/excel/2006/main">
          <x14:cfRule type="containsText" priority="869" operator="containsText" id="{64C825EB-93F9-4630-AFFF-D21BBAD2A9BC}">
            <xm:f>NOT(ISERROR(SEARCH("-",EY45)))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EY45:EZ45</xm:sqref>
        </x14:conditionalFormatting>
        <x14:conditionalFormatting xmlns:xm="http://schemas.microsoft.com/office/excel/2006/main">
          <x14:cfRule type="containsText" priority="864" operator="containsText" id="{8159F002-C28A-47DB-AB8C-E273BD481397}">
            <xm:f>NOT(ISERROR(SEARCH("-",EY21)))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EY21:EZ23</xm:sqref>
        </x14:conditionalFormatting>
        <x14:conditionalFormatting xmlns:xm="http://schemas.microsoft.com/office/excel/2006/main">
          <x14:cfRule type="containsText" priority="858" operator="containsText" id="{7BDF0B8D-B7CF-4BFB-A87B-EC1F3881880A}">
            <xm:f>NOT(ISERROR(SEARCH("-",EY24)))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EY24:EZ26</xm:sqref>
        </x14:conditionalFormatting>
        <x14:conditionalFormatting xmlns:xm="http://schemas.microsoft.com/office/excel/2006/main">
          <x14:cfRule type="containsText" priority="852" operator="containsText" id="{56104EB8-58DB-40AD-B8C2-31AB243348EE}">
            <xm:f>NOT(ISERROR(SEARCH("-",EY27)))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EY27:EZ29</xm:sqref>
        </x14:conditionalFormatting>
        <x14:conditionalFormatting xmlns:xm="http://schemas.microsoft.com/office/excel/2006/main">
          <x14:cfRule type="containsText" priority="846" operator="containsText" id="{9D938668-0C99-44D7-BFF9-CEE56F35B13D}">
            <xm:f>NOT(ISERROR(SEARCH("-",EY30)))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EY30:EZ32</xm:sqref>
        </x14:conditionalFormatting>
        <x14:conditionalFormatting xmlns:xm="http://schemas.microsoft.com/office/excel/2006/main">
          <x14:cfRule type="containsText" priority="840" operator="containsText" id="{C3372EEC-2E6A-41E5-A239-093073B03366}">
            <xm:f>NOT(ISERROR(SEARCH("-",EY33)))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EY33:EZ35</xm:sqref>
        </x14:conditionalFormatting>
        <x14:conditionalFormatting xmlns:xm="http://schemas.microsoft.com/office/excel/2006/main">
          <x14:cfRule type="containsText" priority="834" operator="containsText" id="{35A9DC72-A945-4747-974B-81DE3D4C6DEE}">
            <xm:f>NOT(ISERROR(SEARCH("-",EY36)))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EY36:EZ38</xm:sqref>
        </x14:conditionalFormatting>
        <x14:conditionalFormatting xmlns:xm="http://schemas.microsoft.com/office/excel/2006/main">
          <x14:cfRule type="containsText" priority="828" operator="containsText" id="{07451EA7-2F87-4B1F-A080-1CB8B50E2606}">
            <xm:f>NOT(ISERROR(SEARCH("-",EY39)))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EY39:EZ41</xm:sqref>
        </x14:conditionalFormatting>
        <x14:conditionalFormatting xmlns:xm="http://schemas.microsoft.com/office/excel/2006/main">
          <x14:cfRule type="containsText" priority="822" operator="containsText" id="{64594055-0F57-4F69-928C-8C746421C4CC}">
            <xm:f>NOT(ISERROR(SEARCH("-",EY42)))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EY42:EZ44</xm:sqref>
        </x14:conditionalFormatting>
        <x14:conditionalFormatting xmlns:xm="http://schemas.microsoft.com/office/excel/2006/main">
          <x14:cfRule type="containsText" priority="816" operator="containsText" id="{490C178C-21D3-4C86-A352-6A34EE22F912}">
            <xm:f>NOT(ISERROR(SEARCH("-",EY45)))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EY45:EZ47</xm:sqref>
        </x14:conditionalFormatting>
        <x14:conditionalFormatting xmlns:xm="http://schemas.microsoft.com/office/excel/2006/main">
          <x14:cfRule type="containsText" priority="810" operator="containsText" id="{07C18F88-5EB0-499C-95A2-5ACA01E1420A}">
            <xm:f>NOT(ISERROR(SEARCH("-",EY48)))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EY48:EZ50</xm:sqref>
        </x14:conditionalFormatting>
        <x14:conditionalFormatting xmlns:xm="http://schemas.microsoft.com/office/excel/2006/main">
          <x14:cfRule type="containsText" priority="804" operator="containsText" id="{43F06F72-A2A3-4407-82DA-DDB6AC8E243D}">
            <xm:f>NOT(ISERROR(SEARCH("-",EY51)))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EY51:EZ53</xm:sqref>
        </x14:conditionalFormatting>
        <x14:conditionalFormatting xmlns:xm="http://schemas.microsoft.com/office/excel/2006/main">
          <x14:cfRule type="containsText" priority="798" operator="containsText" id="{2D17C52B-9B6B-4592-8EC4-A2A0B4ED6989}">
            <xm:f>NOT(ISERROR(SEARCH("-",EY54)))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EY54:EZ56</xm:sqref>
        </x14:conditionalFormatting>
        <x14:conditionalFormatting xmlns:xm="http://schemas.microsoft.com/office/excel/2006/main">
          <x14:cfRule type="containsText" priority="792" operator="containsText" id="{09FB8FFE-3A59-4590-B2EA-8D14D601E58E}">
            <xm:f>NOT(ISERROR(SEARCH("-",EY57)))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EY57:EZ59</xm:sqref>
        </x14:conditionalFormatting>
        <x14:conditionalFormatting xmlns:xm="http://schemas.microsoft.com/office/excel/2006/main">
          <x14:cfRule type="containsText" priority="786" operator="containsText" id="{18F22A7A-9E65-4D8B-BF90-E4E8DC5FA118}">
            <xm:f>NOT(ISERROR(SEARCH("-",EY60)))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EY60:EZ62</xm:sqref>
        </x14:conditionalFormatting>
        <x14:conditionalFormatting xmlns:xm="http://schemas.microsoft.com/office/excel/2006/main">
          <x14:cfRule type="containsText" priority="780" operator="containsText" id="{463FBBFE-B9AD-457B-B18F-D3CB89FE8979}">
            <xm:f>NOT(ISERROR(SEARCH("-",EY63)))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EY63:EZ65</xm:sqref>
        </x14:conditionalFormatting>
        <x14:conditionalFormatting xmlns:xm="http://schemas.microsoft.com/office/excel/2006/main">
          <x14:cfRule type="containsText" priority="773" operator="containsText" id="{BB307414-F143-42EA-AB11-CB709E4F1DE5}">
            <xm:f>NOT(ISERROR(SEARCH("-",FD45)))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FD45:FE45</xm:sqref>
        </x14:conditionalFormatting>
        <x14:conditionalFormatting xmlns:xm="http://schemas.microsoft.com/office/excel/2006/main">
          <x14:cfRule type="containsText" priority="768" operator="containsText" id="{B00B14E1-B234-45C6-BD82-FCFF976BC36E}">
            <xm:f>NOT(ISERROR(SEARCH("-",FD21)))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FD21:FE23</xm:sqref>
        </x14:conditionalFormatting>
        <x14:conditionalFormatting xmlns:xm="http://schemas.microsoft.com/office/excel/2006/main">
          <x14:cfRule type="containsText" priority="762" operator="containsText" id="{62330D6F-B4CB-4840-8F33-3518E07233A4}">
            <xm:f>NOT(ISERROR(SEARCH("-",FD24)))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FD24:FE26</xm:sqref>
        </x14:conditionalFormatting>
        <x14:conditionalFormatting xmlns:xm="http://schemas.microsoft.com/office/excel/2006/main">
          <x14:cfRule type="containsText" priority="756" operator="containsText" id="{AEBF923D-34CB-4A61-9033-6497982553AC}">
            <xm:f>NOT(ISERROR(SEARCH("-",FD27)))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FD27:FE29</xm:sqref>
        </x14:conditionalFormatting>
        <x14:conditionalFormatting xmlns:xm="http://schemas.microsoft.com/office/excel/2006/main">
          <x14:cfRule type="containsText" priority="750" operator="containsText" id="{F218247A-3C06-4B87-A9CD-6FB152536C1A}">
            <xm:f>NOT(ISERROR(SEARCH("-",FD30)))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FD30:FE32</xm:sqref>
        </x14:conditionalFormatting>
        <x14:conditionalFormatting xmlns:xm="http://schemas.microsoft.com/office/excel/2006/main">
          <x14:cfRule type="containsText" priority="744" operator="containsText" id="{49CEE618-30A0-4E40-858C-A1FBDDEB6E9B}">
            <xm:f>NOT(ISERROR(SEARCH("-",FD33)))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FD33:FE35</xm:sqref>
        </x14:conditionalFormatting>
        <x14:conditionalFormatting xmlns:xm="http://schemas.microsoft.com/office/excel/2006/main">
          <x14:cfRule type="containsText" priority="738" operator="containsText" id="{35518254-50A2-443E-8C72-981DBE5B9CF7}">
            <xm:f>NOT(ISERROR(SEARCH("-",FD36)))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FD36:FE38</xm:sqref>
        </x14:conditionalFormatting>
        <x14:conditionalFormatting xmlns:xm="http://schemas.microsoft.com/office/excel/2006/main">
          <x14:cfRule type="containsText" priority="732" operator="containsText" id="{DF6F467B-6BE3-4D1A-9D8D-9D60E3163F07}">
            <xm:f>NOT(ISERROR(SEARCH("-",FD39)))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FD39:FE41</xm:sqref>
        </x14:conditionalFormatting>
        <x14:conditionalFormatting xmlns:xm="http://schemas.microsoft.com/office/excel/2006/main">
          <x14:cfRule type="containsText" priority="726" operator="containsText" id="{AAA9138C-F162-4212-B027-5B9566C8B071}">
            <xm:f>NOT(ISERROR(SEARCH("-",FD42)))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FD42:FE44</xm:sqref>
        </x14:conditionalFormatting>
        <x14:conditionalFormatting xmlns:xm="http://schemas.microsoft.com/office/excel/2006/main">
          <x14:cfRule type="containsText" priority="720" operator="containsText" id="{8DFFF0FD-A413-40C3-878E-4AD42FC77E9D}">
            <xm:f>NOT(ISERROR(SEARCH("-",FD45)))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FD45:FE47</xm:sqref>
        </x14:conditionalFormatting>
        <x14:conditionalFormatting xmlns:xm="http://schemas.microsoft.com/office/excel/2006/main">
          <x14:cfRule type="containsText" priority="714" operator="containsText" id="{3C61DD08-E21D-4F89-91C2-FD76BBE59272}">
            <xm:f>NOT(ISERROR(SEARCH("-",FD48)))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FD48:FE50</xm:sqref>
        </x14:conditionalFormatting>
        <x14:conditionalFormatting xmlns:xm="http://schemas.microsoft.com/office/excel/2006/main">
          <x14:cfRule type="containsText" priority="708" operator="containsText" id="{4A7BE26A-34C4-48D9-A678-B3FCDD5E1236}">
            <xm:f>NOT(ISERROR(SEARCH("-",FD51)))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FD51:FE53</xm:sqref>
        </x14:conditionalFormatting>
        <x14:conditionalFormatting xmlns:xm="http://schemas.microsoft.com/office/excel/2006/main">
          <x14:cfRule type="containsText" priority="702" operator="containsText" id="{41910693-5003-4559-A941-B32156F87D00}">
            <xm:f>NOT(ISERROR(SEARCH("-",FD54)))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FD54:FE56</xm:sqref>
        </x14:conditionalFormatting>
        <x14:conditionalFormatting xmlns:xm="http://schemas.microsoft.com/office/excel/2006/main">
          <x14:cfRule type="containsText" priority="696" operator="containsText" id="{0AF47FBC-C82A-4947-B0A0-1976FEFC10CA}">
            <xm:f>NOT(ISERROR(SEARCH("-",FD57)))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FD57:FE59</xm:sqref>
        </x14:conditionalFormatting>
        <x14:conditionalFormatting xmlns:xm="http://schemas.microsoft.com/office/excel/2006/main">
          <x14:cfRule type="containsText" priority="690" operator="containsText" id="{C0E9B071-205E-49F2-AECC-D7A7B24B3715}">
            <xm:f>NOT(ISERROR(SEARCH("-",FD60)))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FD60:FE62</xm:sqref>
        </x14:conditionalFormatting>
        <x14:conditionalFormatting xmlns:xm="http://schemas.microsoft.com/office/excel/2006/main">
          <x14:cfRule type="containsText" priority="684" operator="containsText" id="{26909E80-5BB4-4CA9-8194-1E9391FD90B7}">
            <xm:f>NOT(ISERROR(SEARCH("-",FD63)))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FD63:FE65</xm:sqref>
        </x14:conditionalFormatting>
        <x14:conditionalFormatting xmlns:xm="http://schemas.microsoft.com/office/excel/2006/main">
          <x14:cfRule type="containsText" priority="677" operator="containsText" id="{874C1F68-FA50-488A-BC8A-554E0FEA6E5C}">
            <xm:f>NOT(ISERROR(SEARCH("-",FI45)))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FI45:FJ45</xm:sqref>
        </x14:conditionalFormatting>
        <x14:conditionalFormatting xmlns:xm="http://schemas.microsoft.com/office/excel/2006/main">
          <x14:cfRule type="containsText" priority="672" operator="containsText" id="{988243D3-A0B3-42A4-B373-0ED0C811D1C5}">
            <xm:f>NOT(ISERROR(SEARCH("-",FI21)))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FI21:FJ23</xm:sqref>
        </x14:conditionalFormatting>
        <x14:conditionalFormatting xmlns:xm="http://schemas.microsoft.com/office/excel/2006/main">
          <x14:cfRule type="containsText" priority="666" operator="containsText" id="{C44783BD-7A38-4742-A1C0-2966C99AB47A}">
            <xm:f>NOT(ISERROR(SEARCH("-",FI24)))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FI24:FJ26</xm:sqref>
        </x14:conditionalFormatting>
        <x14:conditionalFormatting xmlns:xm="http://schemas.microsoft.com/office/excel/2006/main">
          <x14:cfRule type="containsText" priority="660" operator="containsText" id="{BD5552A7-3438-45AA-BFC1-AF39A5F28DFC}">
            <xm:f>NOT(ISERROR(SEARCH("-",FI27)))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FI27:FJ29</xm:sqref>
        </x14:conditionalFormatting>
        <x14:conditionalFormatting xmlns:xm="http://schemas.microsoft.com/office/excel/2006/main">
          <x14:cfRule type="containsText" priority="654" operator="containsText" id="{DA221EB7-FBB6-441A-A7B8-33E4329481C9}">
            <xm:f>NOT(ISERROR(SEARCH("-",FI30)))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FI30:FJ32</xm:sqref>
        </x14:conditionalFormatting>
        <x14:conditionalFormatting xmlns:xm="http://schemas.microsoft.com/office/excel/2006/main">
          <x14:cfRule type="containsText" priority="648" operator="containsText" id="{67F0A675-A12B-489E-9E54-ADA387C53C35}">
            <xm:f>NOT(ISERROR(SEARCH("-",FI33)))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FI33:FJ35</xm:sqref>
        </x14:conditionalFormatting>
        <x14:conditionalFormatting xmlns:xm="http://schemas.microsoft.com/office/excel/2006/main">
          <x14:cfRule type="containsText" priority="642" operator="containsText" id="{6EB009A3-B31A-4AD7-B43B-F9D922464513}">
            <xm:f>NOT(ISERROR(SEARCH("-",FI36)))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FI36:FJ38</xm:sqref>
        </x14:conditionalFormatting>
        <x14:conditionalFormatting xmlns:xm="http://schemas.microsoft.com/office/excel/2006/main">
          <x14:cfRule type="containsText" priority="636" operator="containsText" id="{650D415F-B953-41CB-8C0F-2127A5AB0090}">
            <xm:f>NOT(ISERROR(SEARCH("-",FI39)))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FI39:FJ41</xm:sqref>
        </x14:conditionalFormatting>
        <x14:conditionalFormatting xmlns:xm="http://schemas.microsoft.com/office/excel/2006/main">
          <x14:cfRule type="containsText" priority="630" operator="containsText" id="{734BCD15-4CBA-4293-A596-49EDD285556C}">
            <xm:f>NOT(ISERROR(SEARCH("-",FI42)))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FI42:FJ44</xm:sqref>
        </x14:conditionalFormatting>
        <x14:conditionalFormatting xmlns:xm="http://schemas.microsoft.com/office/excel/2006/main">
          <x14:cfRule type="containsText" priority="624" operator="containsText" id="{91D34210-614B-4821-A1B0-405D9935DC9F}">
            <xm:f>NOT(ISERROR(SEARCH("-",FI45)))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FI45:FJ47</xm:sqref>
        </x14:conditionalFormatting>
        <x14:conditionalFormatting xmlns:xm="http://schemas.microsoft.com/office/excel/2006/main">
          <x14:cfRule type="containsText" priority="618" operator="containsText" id="{B790ABB4-CF9C-429A-A941-4A32403F60B6}">
            <xm:f>NOT(ISERROR(SEARCH("-",FI48)))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FI48:FJ50</xm:sqref>
        </x14:conditionalFormatting>
        <x14:conditionalFormatting xmlns:xm="http://schemas.microsoft.com/office/excel/2006/main">
          <x14:cfRule type="containsText" priority="612" operator="containsText" id="{A8653163-054E-4967-83B1-527C03BEA3DB}">
            <xm:f>NOT(ISERROR(SEARCH("-",FI51)))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FI51:FJ53</xm:sqref>
        </x14:conditionalFormatting>
        <x14:conditionalFormatting xmlns:xm="http://schemas.microsoft.com/office/excel/2006/main">
          <x14:cfRule type="containsText" priority="606" operator="containsText" id="{35FBF0EA-F294-4054-A760-8690CC292DDB}">
            <xm:f>NOT(ISERROR(SEARCH("-",FI54)))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FI54:FJ56</xm:sqref>
        </x14:conditionalFormatting>
        <x14:conditionalFormatting xmlns:xm="http://schemas.microsoft.com/office/excel/2006/main">
          <x14:cfRule type="containsText" priority="600" operator="containsText" id="{C3A8B8F2-C43B-46FC-9C34-FCA055BC532D}">
            <xm:f>NOT(ISERROR(SEARCH("-",FI57)))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FI57:FJ59</xm:sqref>
        </x14:conditionalFormatting>
        <x14:conditionalFormatting xmlns:xm="http://schemas.microsoft.com/office/excel/2006/main">
          <x14:cfRule type="containsText" priority="594" operator="containsText" id="{CB6DF822-AD72-4AD6-A1EF-946EDC7C0ECF}">
            <xm:f>NOT(ISERROR(SEARCH("-",FI60)))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FI60:FJ62</xm:sqref>
        </x14:conditionalFormatting>
        <x14:conditionalFormatting xmlns:xm="http://schemas.microsoft.com/office/excel/2006/main">
          <x14:cfRule type="containsText" priority="588" operator="containsText" id="{3C1B890A-9DBE-4F8E-A8BB-DCD06422AF3D}">
            <xm:f>NOT(ISERROR(SEARCH("-",FI63)))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FI63:FJ65</xm:sqref>
        </x14:conditionalFormatting>
        <x14:conditionalFormatting xmlns:xm="http://schemas.microsoft.com/office/excel/2006/main">
          <x14:cfRule type="containsText" priority="581" operator="containsText" id="{28B79BE3-13E1-4E4B-B0DE-77BD0240E856}">
            <xm:f>NOT(ISERROR(SEARCH("-",FN45)))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FN45:FO45</xm:sqref>
        </x14:conditionalFormatting>
        <x14:conditionalFormatting xmlns:xm="http://schemas.microsoft.com/office/excel/2006/main">
          <x14:cfRule type="containsText" priority="576" operator="containsText" id="{AAFCC22C-B46D-4AD6-AE73-799909889A5C}">
            <xm:f>NOT(ISERROR(SEARCH("-",FN21)))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FN21:FO23</xm:sqref>
        </x14:conditionalFormatting>
        <x14:conditionalFormatting xmlns:xm="http://schemas.microsoft.com/office/excel/2006/main">
          <x14:cfRule type="containsText" priority="570" operator="containsText" id="{E6F96387-D261-4DFB-AB45-AA1B38AF38F8}">
            <xm:f>NOT(ISERROR(SEARCH("-",FN24)))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FN24:FO26</xm:sqref>
        </x14:conditionalFormatting>
        <x14:conditionalFormatting xmlns:xm="http://schemas.microsoft.com/office/excel/2006/main">
          <x14:cfRule type="containsText" priority="564" operator="containsText" id="{CC38C42D-0B5A-4B22-9248-A889ADCD07CD}">
            <xm:f>NOT(ISERROR(SEARCH("-",FN27)))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FN27:FO29</xm:sqref>
        </x14:conditionalFormatting>
        <x14:conditionalFormatting xmlns:xm="http://schemas.microsoft.com/office/excel/2006/main">
          <x14:cfRule type="containsText" priority="558" operator="containsText" id="{212B365E-584A-48DC-90C0-BE12CC9D757E}">
            <xm:f>NOT(ISERROR(SEARCH("-",FN30)))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FN30:FO32</xm:sqref>
        </x14:conditionalFormatting>
        <x14:conditionalFormatting xmlns:xm="http://schemas.microsoft.com/office/excel/2006/main">
          <x14:cfRule type="containsText" priority="552" operator="containsText" id="{8FDB2BB6-164D-422E-AB37-8346B4FBE12C}">
            <xm:f>NOT(ISERROR(SEARCH("-",FN33)))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FN33:FO35</xm:sqref>
        </x14:conditionalFormatting>
        <x14:conditionalFormatting xmlns:xm="http://schemas.microsoft.com/office/excel/2006/main">
          <x14:cfRule type="containsText" priority="546" operator="containsText" id="{72F37782-2ED9-4B62-BDE0-78319D79EABD}">
            <xm:f>NOT(ISERROR(SEARCH("-",FN36)))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FN36:FO38</xm:sqref>
        </x14:conditionalFormatting>
        <x14:conditionalFormatting xmlns:xm="http://schemas.microsoft.com/office/excel/2006/main">
          <x14:cfRule type="containsText" priority="540" operator="containsText" id="{7C28823D-0F82-4CD9-B4BA-87E8FDCCC2A2}">
            <xm:f>NOT(ISERROR(SEARCH("-",FN39)))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FN39:FO41</xm:sqref>
        </x14:conditionalFormatting>
        <x14:conditionalFormatting xmlns:xm="http://schemas.microsoft.com/office/excel/2006/main">
          <x14:cfRule type="containsText" priority="534" operator="containsText" id="{DC939762-310F-4217-ADF1-992519683A8B}">
            <xm:f>NOT(ISERROR(SEARCH("-",FN42)))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FN42:FO44</xm:sqref>
        </x14:conditionalFormatting>
        <x14:conditionalFormatting xmlns:xm="http://schemas.microsoft.com/office/excel/2006/main">
          <x14:cfRule type="containsText" priority="528" operator="containsText" id="{8B646D50-B2F3-4509-B172-7AE3CE24D288}">
            <xm:f>NOT(ISERROR(SEARCH("-",FN45)))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FN45:FO47</xm:sqref>
        </x14:conditionalFormatting>
        <x14:conditionalFormatting xmlns:xm="http://schemas.microsoft.com/office/excel/2006/main">
          <x14:cfRule type="containsText" priority="522" operator="containsText" id="{1BE79D47-DADB-47C0-BBC3-B0AC916A394D}">
            <xm:f>NOT(ISERROR(SEARCH("-",FN48)))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FN48:FO50</xm:sqref>
        </x14:conditionalFormatting>
        <x14:conditionalFormatting xmlns:xm="http://schemas.microsoft.com/office/excel/2006/main">
          <x14:cfRule type="containsText" priority="516" operator="containsText" id="{8BC1DDEB-4490-4327-AAF7-8745C5CCDD63}">
            <xm:f>NOT(ISERROR(SEARCH("-",FN51)))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FN51:FO53</xm:sqref>
        </x14:conditionalFormatting>
        <x14:conditionalFormatting xmlns:xm="http://schemas.microsoft.com/office/excel/2006/main">
          <x14:cfRule type="containsText" priority="510" operator="containsText" id="{2B83D33C-FCDC-43E7-90D0-006119B1DA36}">
            <xm:f>NOT(ISERROR(SEARCH("-",FN54)))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FN54:FO56</xm:sqref>
        </x14:conditionalFormatting>
        <x14:conditionalFormatting xmlns:xm="http://schemas.microsoft.com/office/excel/2006/main">
          <x14:cfRule type="containsText" priority="504" operator="containsText" id="{9F929555-AA3A-4D87-BE3E-71080077C52D}">
            <xm:f>NOT(ISERROR(SEARCH("-",FN57)))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FN57:FO59</xm:sqref>
        </x14:conditionalFormatting>
        <x14:conditionalFormatting xmlns:xm="http://schemas.microsoft.com/office/excel/2006/main">
          <x14:cfRule type="containsText" priority="498" operator="containsText" id="{9331DB97-B1B5-4FDC-B0B8-02C2F8FDA26B}">
            <xm:f>NOT(ISERROR(SEARCH("-",FN60)))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FN60:FO62</xm:sqref>
        </x14:conditionalFormatting>
        <x14:conditionalFormatting xmlns:xm="http://schemas.microsoft.com/office/excel/2006/main">
          <x14:cfRule type="containsText" priority="492" operator="containsText" id="{326B06ED-33E9-449C-91A6-0288E53DB70B}">
            <xm:f>NOT(ISERROR(SEARCH("-",FN63)))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FN63:FO65</xm:sqref>
        </x14:conditionalFormatting>
        <x14:conditionalFormatting xmlns:xm="http://schemas.microsoft.com/office/excel/2006/main">
          <x14:cfRule type="containsText" priority="485" operator="containsText" id="{E3A078B1-8B2E-4F3A-A817-8741EC72D0A4}">
            <xm:f>NOT(ISERROR(SEARCH("-",FS45)))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FS45:FT45</xm:sqref>
        </x14:conditionalFormatting>
        <x14:conditionalFormatting xmlns:xm="http://schemas.microsoft.com/office/excel/2006/main">
          <x14:cfRule type="containsText" priority="480" operator="containsText" id="{76BBC6A9-86E4-4FC9-9510-5CCC8601504B}">
            <xm:f>NOT(ISERROR(SEARCH("-",FS21)))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FS21:FT23</xm:sqref>
        </x14:conditionalFormatting>
        <x14:conditionalFormatting xmlns:xm="http://schemas.microsoft.com/office/excel/2006/main">
          <x14:cfRule type="containsText" priority="474" operator="containsText" id="{176B4039-9C20-48E4-9D31-5225869580E3}">
            <xm:f>NOT(ISERROR(SEARCH("-",FS24)))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FS24:FT26</xm:sqref>
        </x14:conditionalFormatting>
        <x14:conditionalFormatting xmlns:xm="http://schemas.microsoft.com/office/excel/2006/main">
          <x14:cfRule type="containsText" priority="468" operator="containsText" id="{2F0F1FE6-2BF5-4BA1-A3E9-3A64E355E3E6}">
            <xm:f>NOT(ISERROR(SEARCH("-",FS27)))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FS27:FT29</xm:sqref>
        </x14:conditionalFormatting>
        <x14:conditionalFormatting xmlns:xm="http://schemas.microsoft.com/office/excel/2006/main">
          <x14:cfRule type="containsText" priority="462" operator="containsText" id="{33D32414-4F9D-4D2B-8652-4EFCCE8F84A6}">
            <xm:f>NOT(ISERROR(SEARCH("-",FS30)))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FS30:FT32</xm:sqref>
        </x14:conditionalFormatting>
        <x14:conditionalFormatting xmlns:xm="http://schemas.microsoft.com/office/excel/2006/main">
          <x14:cfRule type="containsText" priority="456" operator="containsText" id="{A8F471BA-4245-4585-9F5E-9A00AAA6AD54}">
            <xm:f>NOT(ISERROR(SEARCH("-",FS33)))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FS33:FT35</xm:sqref>
        </x14:conditionalFormatting>
        <x14:conditionalFormatting xmlns:xm="http://schemas.microsoft.com/office/excel/2006/main">
          <x14:cfRule type="containsText" priority="450" operator="containsText" id="{8126EA1A-2B0D-4B70-BC4D-12EC3EE518B4}">
            <xm:f>NOT(ISERROR(SEARCH("-",FS36)))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FS36:FT38</xm:sqref>
        </x14:conditionalFormatting>
        <x14:conditionalFormatting xmlns:xm="http://schemas.microsoft.com/office/excel/2006/main">
          <x14:cfRule type="containsText" priority="444" operator="containsText" id="{541CBE76-CDEC-481C-9907-A09EF4221CFB}">
            <xm:f>NOT(ISERROR(SEARCH("-",FS39)))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FS39:FT41</xm:sqref>
        </x14:conditionalFormatting>
        <x14:conditionalFormatting xmlns:xm="http://schemas.microsoft.com/office/excel/2006/main">
          <x14:cfRule type="containsText" priority="438" operator="containsText" id="{9E217BEC-C1C1-4A2A-A56F-FB27C4635DDE}">
            <xm:f>NOT(ISERROR(SEARCH("-",FS42)))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FS42:FT44</xm:sqref>
        </x14:conditionalFormatting>
        <x14:conditionalFormatting xmlns:xm="http://schemas.microsoft.com/office/excel/2006/main">
          <x14:cfRule type="containsText" priority="432" operator="containsText" id="{98428E7D-F4D4-41EA-9E9D-21AC44154A74}">
            <xm:f>NOT(ISERROR(SEARCH("-",FS45)))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FS45:FT47</xm:sqref>
        </x14:conditionalFormatting>
        <x14:conditionalFormatting xmlns:xm="http://schemas.microsoft.com/office/excel/2006/main">
          <x14:cfRule type="containsText" priority="426" operator="containsText" id="{6D49FC8E-18B4-4E4B-8C06-4E99C423D3B3}">
            <xm:f>NOT(ISERROR(SEARCH("-",FS48)))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FS48:FT50</xm:sqref>
        </x14:conditionalFormatting>
        <x14:conditionalFormatting xmlns:xm="http://schemas.microsoft.com/office/excel/2006/main">
          <x14:cfRule type="containsText" priority="420" operator="containsText" id="{19A76C24-0CB2-4E24-B026-28D72707868A}">
            <xm:f>NOT(ISERROR(SEARCH("-",FS51)))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FS51:FT53</xm:sqref>
        </x14:conditionalFormatting>
        <x14:conditionalFormatting xmlns:xm="http://schemas.microsoft.com/office/excel/2006/main">
          <x14:cfRule type="containsText" priority="414" operator="containsText" id="{4677E9DF-0EAF-4358-B778-D753EA9FC52C}">
            <xm:f>NOT(ISERROR(SEARCH("-",FS54)))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FS54:FT56</xm:sqref>
        </x14:conditionalFormatting>
        <x14:conditionalFormatting xmlns:xm="http://schemas.microsoft.com/office/excel/2006/main">
          <x14:cfRule type="containsText" priority="408" operator="containsText" id="{C7848F3B-BE73-4F18-A9F3-9B6F268C4C8B}">
            <xm:f>NOT(ISERROR(SEARCH("-",FS57)))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FS57:FT59</xm:sqref>
        </x14:conditionalFormatting>
        <x14:conditionalFormatting xmlns:xm="http://schemas.microsoft.com/office/excel/2006/main">
          <x14:cfRule type="containsText" priority="402" operator="containsText" id="{5470A4A1-8B3E-4ED8-806A-57A9ED3D581E}">
            <xm:f>NOT(ISERROR(SEARCH("-",FS60)))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FS60:FT62</xm:sqref>
        </x14:conditionalFormatting>
        <x14:conditionalFormatting xmlns:xm="http://schemas.microsoft.com/office/excel/2006/main">
          <x14:cfRule type="containsText" priority="396" operator="containsText" id="{7DD80650-7231-45C3-A1E8-F7221DD8D5BC}">
            <xm:f>NOT(ISERROR(SEARCH("-",FS63)))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FS63:FT65</xm:sqref>
        </x14:conditionalFormatting>
        <x14:conditionalFormatting xmlns:xm="http://schemas.microsoft.com/office/excel/2006/main">
          <x14:cfRule type="containsText" priority="389" operator="containsText" id="{DE3B0639-285F-472D-BEA3-21E44F55A4D2}">
            <xm:f>NOT(ISERROR(SEARCH("-",FX45)))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FX45:FY45</xm:sqref>
        </x14:conditionalFormatting>
        <x14:conditionalFormatting xmlns:xm="http://schemas.microsoft.com/office/excel/2006/main">
          <x14:cfRule type="containsText" priority="384" operator="containsText" id="{0F110FEF-B44F-4468-8FDB-C78AD324EF68}">
            <xm:f>NOT(ISERROR(SEARCH("-",FX21)))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FX21:FY23</xm:sqref>
        </x14:conditionalFormatting>
        <x14:conditionalFormatting xmlns:xm="http://schemas.microsoft.com/office/excel/2006/main">
          <x14:cfRule type="containsText" priority="378" operator="containsText" id="{092DD0EC-744E-4E9A-8D46-122275748D6F}">
            <xm:f>NOT(ISERROR(SEARCH("-",FX24)))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FX24:FY26</xm:sqref>
        </x14:conditionalFormatting>
        <x14:conditionalFormatting xmlns:xm="http://schemas.microsoft.com/office/excel/2006/main">
          <x14:cfRule type="containsText" priority="372" operator="containsText" id="{9E6B1793-86E0-4C3E-8D3B-1546BF48FCBF}">
            <xm:f>NOT(ISERROR(SEARCH("-",FX27)))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FX27:FY29</xm:sqref>
        </x14:conditionalFormatting>
        <x14:conditionalFormatting xmlns:xm="http://schemas.microsoft.com/office/excel/2006/main">
          <x14:cfRule type="containsText" priority="366" operator="containsText" id="{DCDD2C4B-0559-42C7-A710-9CFE6A61E7E1}">
            <xm:f>NOT(ISERROR(SEARCH("-",FX30)))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FX30:FY32</xm:sqref>
        </x14:conditionalFormatting>
        <x14:conditionalFormatting xmlns:xm="http://schemas.microsoft.com/office/excel/2006/main">
          <x14:cfRule type="containsText" priority="360" operator="containsText" id="{362F10B5-4172-4B0B-9DE3-DFA26E89D93F}">
            <xm:f>NOT(ISERROR(SEARCH("-",FX33)))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FX33:FY35</xm:sqref>
        </x14:conditionalFormatting>
        <x14:conditionalFormatting xmlns:xm="http://schemas.microsoft.com/office/excel/2006/main">
          <x14:cfRule type="containsText" priority="354" operator="containsText" id="{BB822355-C320-440A-9ACF-27703B7E6E33}">
            <xm:f>NOT(ISERROR(SEARCH("-",FX36)))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FX36:FY38</xm:sqref>
        </x14:conditionalFormatting>
        <x14:conditionalFormatting xmlns:xm="http://schemas.microsoft.com/office/excel/2006/main">
          <x14:cfRule type="containsText" priority="348" operator="containsText" id="{604568EF-075E-481E-9EC5-435EDA822333}">
            <xm:f>NOT(ISERROR(SEARCH("-",FX39)))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FX39:FY41</xm:sqref>
        </x14:conditionalFormatting>
        <x14:conditionalFormatting xmlns:xm="http://schemas.microsoft.com/office/excel/2006/main">
          <x14:cfRule type="containsText" priority="342" operator="containsText" id="{EFA5722B-F138-48B0-8E41-7B77FCC01DA6}">
            <xm:f>NOT(ISERROR(SEARCH("-",FX42)))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FX42:FY44</xm:sqref>
        </x14:conditionalFormatting>
        <x14:conditionalFormatting xmlns:xm="http://schemas.microsoft.com/office/excel/2006/main">
          <x14:cfRule type="containsText" priority="336" operator="containsText" id="{ACE8EE62-6AA1-4508-B20A-B9784518A262}">
            <xm:f>NOT(ISERROR(SEARCH("-",FX45)))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FX45:FY47</xm:sqref>
        </x14:conditionalFormatting>
        <x14:conditionalFormatting xmlns:xm="http://schemas.microsoft.com/office/excel/2006/main">
          <x14:cfRule type="containsText" priority="330" operator="containsText" id="{AA6AB8D3-6429-4CCE-88A6-CE09365331EC}">
            <xm:f>NOT(ISERROR(SEARCH("-",FX48)))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FX48:FY50</xm:sqref>
        </x14:conditionalFormatting>
        <x14:conditionalFormatting xmlns:xm="http://schemas.microsoft.com/office/excel/2006/main">
          <x14:cfRule type="containsText" priority="324" operator="containsText" id="{F9D54AB4-9339-43BE-AC69-6C307D6D11B3}">
            <xm:f>NOT(ISERROR(SEARCH("-",FX51)))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FX51:FY53</xm:sqref>
        </x14:conditionalFormatting>
        <x14:conditionalFormatting xmlns:xm="http://schemas.microsoft.com/office/excel/2006/main">
          <x14:cfRule type="containsText" priority="318" operator="containsText" id="{FB70323F-F1C4-4E29-B3F9-C89AB5D25B5D}">
            <xm:f>NOT(ISERROR(SEARCH("-",FX54)))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FX54:FY56</xm:sqref>
        </x14:conditionalFormatting>
        <x14:conditionalFormatting xmlns:xm="http://schemas.microsoft.com/office/excel/2006/main">
          <x14:cfRule type="containsText" priority="312" operator="containsText" id="{3A2A86DE-D160-4F4B-898C-E2C90BC179BE}">
            <xm:f>NOT(ISERROR(SEARCH("-",FX57)))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FX57:FY59</xm:sqref>
        </x14:conditionalFormatting>
        <x14:conditionalFormatting xmlns:xm="http://schemas.microsoft.com/office/excel/2006/main">
          <x14:cfRule type="containsText" priority="306" operator="containsText" id="{79ED7BC0-2F31-433D-B7BA-D84388F21DE7}">
            <xm:f>NOT(ISERROR(SEARCH("-",FX60)))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FX60:FY62</xm:sqref>
        </x14:conditionalFormatting>
        <x14:conditionalFormatting xmlns:xm="http://schemas.microsoft.com/office/excel/2006/main">
          <x14:cfRule type="containsText" priority="300" operator="containsText" id="{E6CE150D-A92D-4DE4-A5AA-8035F42CA391}">
            <xm:f>NOT(ISERROR(SEARCH("-",FX63)))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FX63:FY65</xm:sqref>
        </x14:conditionalFormatting>
        <x14:conditionalFormatting xmlns:xm="http://schemas.microsoft.com/office/excel/2006/main">
          <x14:cfRule type="containsText" priority="293" operator="containsText" id="{17BBE290-50E8-4453-8A95-8F193F8527AE}">
            <xm:f>NOT(ISERROR(SEARCH("-",GC45)))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GC45:GD45</xm:sqref>
        </x14:conditionalFormatting>
        <x14:conditionalFormatting xmlns:xm="http://schemas.microsoft.com/office/excel/2006/main">
          <x14:cfRule type="containsText" priority="288" operator="containsText" id="{C10ADF9E-CF2B-4799-B904-D05C1877E6B6}">
            <xm:f>NOT(ISERROR(SEARCH("-",GC21)))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GC21:GD23</xm:sqref>
        </x14:conditionalFormatting>
        <x14:conditionalFormatting xmlns:xm="http://schemas.microsoft.com/office/excel/2006/main">
          <x14:cfRule type="containsText" priority="282" operator="containsText" id="{EB9C06FE-A72C-433C-8922-3976F875D0B9}">
            <xm:f>NOT(ISERROR(SEARCH("-",GC24)))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GC24:GD26</xm:sqref>
        </x14:conditionalFormatting>
        <x14:conditionalFormatting xmlns:xm="http://schemas.microsoft.com/office/excel/2006/main">
          <x14:cfRule type="containsText" priority="276" operator="containsText" id="{79C345A0-6646-4412-A020-35FF34013E44}">
            <xm:f>NOT(ISERROR(SEARCH("-",GC27)))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GC27:GD29</xm:sqref>
        </x14:conditionalFormatting>
        <x14:conditionalFormatting xmlns:xm="http://schemas.microsoft.com/office/excel/2006/main">
          <x14:cfRule type="containsText" priority="270" operator="containsText" id="{D91A0FD6-8111-4385-9D87-A6C19ED495B1}">
            <xm:f>NOT(ISERROR(SEARCH("-",GC30)))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GC30:GD32</xm:sqref>
        </x14:conditionalFormatting>
        <x14:conditionalFormatting xmlns:xm="http://schemas.microsoft.com/office/excel/2006/main">
          <x14:cfRule type="containsText" priority="264" operator="containsText" id="{27D284AE-7D0E-4A34-8D18-99D3AEE49A80}">
            <xm:f>NOT(ISERROR(SEARCH("-",GC33)))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GC33:GD35</xm:sqref>
        </x14:conditionalFormatting>
        <x14:conditionalFormatting xmlns:xm="http://schemas.microsoft.com/office/excel/2006/main">
          <x14:cfRule type="containsText" priority="258" operator="containsText" id="{DB462316-A73F-49D3-A5C6-1F6ADF6A9BD8}">
            <xm:f>NOT(ISERROR(SEARCH("-",GC36)))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GC36:GD38</xm:sqref>
        </x14:conditionalFormatting>
        <x14:conditionalFormatting xmlns:xm="http://schemas.microsoft.com/office/excel/2006/main">
          <x14:cfRule type="containsText" priority="252" operator="containsText" id="{91E7B63C-E1F0-4A61-A28E-CD0F41A966CC}">
            <xm:f>NOT(ISERROR(SEARCH("-",GC39)))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GC39:GD41</xm:sqref>
        </x14:conditionalFormatting>
        <x14:conditionalFormatting xmlns:xm="http://schemas.microsoft.com/office/excel/2006/main">
          <x14:cfRule type="containsText" priority="246" operator="containsText" id="{C1C9A164-E692-4C66-8429-25625B92BD06}">
            <xm:f>NOT(ISERROR(SEARCH("-",GC42)))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GC42:GD44</xm:sqref>
        </x14:conditionalFormatting>
        <x14:conditionalFormatting xmlns:xm="http://schemas.microsoft.com/office/excel/2006/main">
          <x14:cfRule type="containsText" priority="240" operator="containsText" id="{EEED5937-A750-47DC-81F6-21A552E0E335}">
            <xm:f>NOT(ISERROR(SEARCH("-",GC45)))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GC45:GD47</xm:sqref>
        </x14:conditionalFormatting>
        <x14:conditionalFormatting xmlns:xm="http://schemas.microsoft.com/office/excel/2006/main">
          <x14:cfRule type="containsText" priority="234" operator="containsText" id="{42E628D9-8409-4615-A69B-8C7C337D5D74}">
            <xm:f>NOT(ISERROR(SEARCH("-",GC48)))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GC48:GD50</xm:sqref>
        </x14:conditionalFormatting>
        <x14:conditionalFormatting xmlns:xm="http://schemas.microsoft.com/office/excel/2006/main">
          <x14:cfRule type="containsText" priority="228" operator="containsText" id="{884C482B-3668-4B36-9F9D-9B677CD6BAF7}">
            <xm:f>NOT(ISERROR(SEARCH("-",GC51)))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GC51:GD53</xm:sqref>
        </x14:conditionalFormatting>
        <x14:conditionalFormatting xmlns:xm="http://schemas.microsoft.com/office/excel/2006/main">
          <x14:cfRule type="containsText" priority="222" operator="containsText" id="{F6ADE538-D1F2-46EA-A042-A5DF58E2F9FF}">
            <xm:f>NOT(ISERROR(SEARCH("-",GC54)))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GC54:GD56</xm:sqref>
        </x14:conditionalFormatting>
        <x14:conditionalFormatting xmlns:xm="http://schemas.microsoft.com/office/excel/2006/main">
          <x14:cfRule type="containsText" priority="216" operator="containsText" id="{4C094F48-FF59-4090-81F4-37F14356BB98}">
            <xm:f>NOT(ISERROR(SEARCH("-",GC57)))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GC57:GD59</xm:sqref>
        </x14:conditionalFormatting>
        <x14:conditionalFormatting xmlns:xm="http://schemas.microsoft.com/office/excel/2006/main">
          <x14:cfRule type="containsText" priority="210" operator="containsText" id="{6CBE4E5C-C138-4C6B-AAF6-5EC7BC765D89}">
            <xm:f>NOT(ISERROR(SEARCH("-",GC60)))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GC60:GD62</xm:sqref>
        </x14:conditionalFormatting>
        <x14:conditionalFormatting xmlns:xm="http://schemas.microsoft.com/office/excel/2006/main">
          <x14:cfRule type="containsText" priority="204" operator="containsText" id="{314B97DD-0228-49D4-A76B-5E97D54AE050}">
            <xm:f>NOT(ISERROR(SEARCH("-",GC63)))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GC63:GD65</xm:sqref>
        </x14:conditionalFormatting>
        <x14:conditionalFormatting xmlns:xm="http://schemas.microsoft.com/office/excel/2006/main">
          <x14:cfRule type="containsText" priority="102" operator="containsText" id="{50F2ECC2-CC54-4981-9869-B82642B1A827}">
            <xm:f>NOT(ISERROR(SEARCH("-",GH19)))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GH19:GH20</xm:sqref>
        </x14:conditionalFormatting>
        <x14:conditionalFormatting xmlns:xm="http://schemas.microsoft.com/office/excel/2006/main">
          <x14:cfRule type="containsText" priority="95" operator="containsText" id="{90B4A3D4-DF96-486E-9DE2-BEF561736763}">
            <xm:f>NOT(ISERROR(SEARCH("-",GH45)))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GH45</xm:sqref>
        </x14:conditionalFormatting>
        <x14:conditionalFormatting xmlns:xm="http://schemas.microsoft.com/office/excel/2006/main">
          <x14:cfRule type="containsText" priority="90" operator="containsText" id="{61263341-59B4-4860-BB00-CF264273D7F6}">
            <xm:f>NOT(ISERROR(SEARCH("-",GH21)))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GH21:GH23</xm:sqref>
        </x14:conditionalFormatting>
        <x14:conditionalFormatting xmlns:xm="http://schemas.microsoft.com/office/excel/2006/main">
          <x14:cfRule type="containsText" priority="84" operator="containsText" id="{3539E685-09B6-4CD2-A370-EE7EF54C2984}">
            <xm:f>NOT(ISERROR(SEARCH("-",GH24)))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GH24:GH26</xm:sqref>
        </x14:conditionalFormatting>
        <x14:conditionalFormatting xmlns:xm="http://schemas.microsoft.com/office/excel/2006/main">
          <x14:cfRule type="containsText" priority="78" operator="containsText" id="{6930E202-A7A2-4AF3-A955-86F0E1FD2AA2}">
            <xm:f>NOT(ISERROR(SEARCH("-",GH27)))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GH27:GH29</xm:sqref>
        </x14:conditionalFormatting>
        <x14:conditionalFormatting xmlns:xm="http://schemas.microsoft.com/office/excel/2006/main">
          <x14:cfRule type="containsText" priority="72" operator="containsText" id="{3867F356-DEEA-41E8-A6B2-B45DCCC40B98}">
            <xm:f>NOT(ISERROR(SEARCH("-",GH30)))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GH30:GH32</xm:sqref>
        </x14:conditionalFormatting>
        <x14:conditionalFormatting xmlns:xm="http://schemas.microsoft.com/office/excel/2006/main">
          <x14:cfRule type="containsText" priority="66" operator="containsText" id="{FF69EFCD-5205-469B-BB30-6894251684B4}">
            <xm:f>NOT(ISERROR(SEARCH("-",GH33)))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GH33:GH35</xm:sqref>
        </x14:conditionalFormatting>
        <x14:conditionalFormatting xmlns:xm="http://schemas.microsoft.com/office/excel/2006/main">
          <x14:cfRule type="containsText" priority="60" operator="containsText" id="{A4B6F1E4-9198-4258-9621-796F9E1B4007}">
            <xm:f>NOT(ISERROR(SEARCH("-",GH36)))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GH36:GH38</xm:sqref>
        </x14:conditionalFormatting>
        <x14:conditionalFormatting xmlns:xm="http://schemas.microsoft.com/office/excel/2006/main">
          <x14:cfRule type="containsText" priority="54" operator="containsText" id="{CA13CAA9-91ED-418C-8EC1-CD884D34E5BE}">
            <xm:f>NOT(ISERROR(SEARCH("-",GH39)))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GH39:GH41</xm:sqref>
        </x14:conditionalFormatting>
        <x14:conditionalFormatting xmlns:xm="http://schemas.microsoft.com/office/excel/2006/main">
          <x14:cfRule type="containsText" priority="48" operator="containsText" id="{A0B30FCB-8BF0-4ECB-A3F6-0F622205DE16}">
            <xm:f>NOT(ISERROR(SEARCH("-",GH42)))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GH42:GH44</xm:sqref>
        </x14:conditionalFormatting>
        <x14:conditionalFormatting xmlns:xm="http://schemas.microsoft.com/office/excel/2006/main">
          <x14:cfRule type="containsText" priority="42" operator="containsText" id="{EBABD476-4CF5-4EA5-A36F-5A142504A8AF}">
            <xm:f>NOT(ISERROR(SEARCH("-",GH45)))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GH45:GH47</xm:sqref>
        </x14:conditionalFormatting>
        <x14:conditionalFormatting xmlns:xm="http://schemas.microsoft.com/office/excel/2006/main">
          <x14:cfRule type="containsText" priority="36" operator="containsText" id="{70B9089E-4F76-4951-B814-3E53B1D59B15}">
            <xm:f>NOT(ISERROR(SEARCH("-",GH48)))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GH48:GH50</xm:sqref>
        </x14:conditionalFormatting>
        <x14:conditionalFormatting xmlns:xm="http://schemas.microsoft.com/office/excel/2006/main">
          <x14:cfRule type="containsText" priority="30" operator="containsText" id="{3EE5CB81-DE6F-4AC9-928E-13A317362B7F}">
            <xm:f>NOT(ISERROR(SEARCH("-",GH51)))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GH51:GH53</xm:sqref>
        </x14:conditionalFormatting>
        <x14:conditionalFormatting xmlns:xm="http://schemas.microsoft.com/office/excel/2006/main">
          <x14:cfRule type="containsText" priority="24" operator="containsText" id="{886CDB55-C4B2-4B11-B5E5-AD93CB9AE5E3}">
            <xm:f>NOT(ISERROR(SEARCH("-",GH54)))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GH54:GH56</xm:sqref>
        </x14:conditionalFormatting>
        <x14:conditionalFormatting xmlns:xm="http://schemas.microsoft.com/office/excel/2006/main">
          <x14:cfRule type="containsText" priority="18" operator="containsText" id="{99F058FF-F478-4678-83C3-04F10782195A}">
            <xm:f>NOT(ISERROR(SEARCH("-",GH57)))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GH57:GH59</xm:sqref>
        </x14:conditionalFormatting>
        <x14:conditionalFormatting xmlns:xm="http://schemas.microsoft.com/office/excel/2006/main">
          <x14:cfRule type="containsText" priority="12" operator="containsText" id="{3AF6F032-D0BF-48A1-B229-8224ED17EB5F}">
            <xm:f>NOT(ISERROR(SEARCH("-",GH60)))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GH60:GH62</xm:sqref>
        </x14:conditionalFormatting>
        <x14:conditionalFormatting xmlns:xm="http://schemas.microsoft.com/office/excel/2006/main">
          <x14:cfRule type="containsText" priority="6" operator="containsText" id="{1B2ED22F-E7EC-4A3D-B98D-79BFB5EB657D}">
            <xm:f>NOT(ISERROR(SEARCH("-",GH63)))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GH63:GH65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60A8E2-7E0A-483C-8A76-2199A6AFEFCE}">
  <sheetPr codeName="Feuil1"/>
  <dimension ref="A1:Y37"/>
  <sheetViews>
    <sheetView workbookViewId="0">
      <pane ySplit="1" topLeftCell="A2" activePane="bottomLeft" state="frozen"/>
      <selection pane="bottomLeft" activeCell="A6" sqref="A6"/>
    </sheetView>
  </sheetViews>
  <sheetFormatPr baseColWidth="10" defaultRowHeight="12.75" x14ac:dyDescent="0.2"/>
  <cols>
    <col min="1" max="1" width="12.7109375" customWidth="1"/>
  </cols>
  <sheetData>
    <row r="1" spans="1:25" ht="48" x14ac:dyDescent="0.2">
      <c r="A1" s="235" t="s">
        <v>82</v>
      </c>
      <c r="B1" s="236" t="s">
        <v>0</v>
      </c>
      <c r="C1" s="236" t="s">
        <v>4</v>
      </c>
      <c r="D1" s="237" t="s">
        <v>2</v>
      </c>
      <c r="E1" s="237" t="s">
        <v>96</v>
      </c>
      <c r="F1" s="237" t="s">
        <v>84</v>
      </c>
      <c r="G1" s="237" t="s">
        <v>91</v>
      </c>
      <c r="H1" s="237" t="s">
        <v>92</v>
      </c>
      <c r="I1" s="237" t="s">
        <v>93</v>
      </c>
      <c r="J1" s="237" t="s">
        <v>99</v>
      </c>
      <c r="K1" s="237" t="s">
        <v>90</v>
      </c>
      <c r="L1" s="237" t="s">
        <v>95</v>
      </c>
      <c r="M1" s="236" t="s">
        <v>104</v>
      </c>
      <c r="N1" s="236" t="s">
        <v>67</v>
      </c>
      <c r="O1" s="236" t="s">
        <v>3</v>
      </c>
      <c r="P1" s="238" t="s">
        <v>94</v>
      </c>
      <c r="Q1" s="238" t="s">
        <v>97</v>
      </c>
      <c r="R1" s="236" t="s">
        <v>100</v>
      </c>
      <c r="S1" s="239" t="s">
        <v>102</v>
      </c>
      <c r="T1" s="236" t="s">
        <v>101</v>
      </c>
      <c r="U1" s="236" t="s">
        <v>113</v>
      </c>
      <c r="V1" s="236" t="s">
        <v>114</v>
      </c>
      <c r="W1" s="236" t="s">
        <v>98</v>
      </c>
      <c r="X1" s="236" t="s">
        <v>111</v>
      </c>
      <c r="Y1" s="240" t="s">
        <v>112</v>
      </c>
    </row>
    <row r="2" spans="1:25" x14ac:dyDescent="0.2">
      <c r="A2" s="231" t="s">
        <v>53</v>
      </c>
      <c r="B2" s="241">
        <v>221201</v>
      </c>
      <c r="C2" s="242" t="s">
        <v>6</v>
      </c>
      <c r="D2" s="243">
        <f>IFERROR(VLOOKUP(#REF!,#REF!,2,FALSE),0)</f>
        <v>0</v>
      </c>
      <c r="E2" s="243">
        <f>ROUND(IFERROR(VLOOKUP(#REF!,#REF!,3,FALSE)/#REF!,0),2)</f>
        <v>0</v>
      </c>
      <c r="F2" s="244" t="e">
        <f>ROUND(#REF!/#REF!,2)</f>
        <v>#REF!</v>
      </c>
      <c r="G2" s="244" t="e">
        <f>VLOOKUP(#REF!,base_article,19,FALSE)</f>
        <v>#REF!</v>
      </c>
      <c r="H2" s="244" t="e">
        <f>VLOOKUP(#REF!,base_article,18,FALSE)</f>
        <v>#REF!</v>
      </c>
      <c r="I2" s="244" t="e">
        <f>VLOOKUP(#REF!,base_article,17,FALSE)</f>
        <v>#REF!</v>
      </c>
      <c r="J2" s="244" t="e">
        <f>VLOOKUP(#REF!,base_article,20,FALSE)</f>
        <v>#REF!</v>
      </c>
      <c r="K2" s="244">
        <f>IFERROR(IF(#REF!*#REF!*#REF!/1000000=0,"0,01",#REF!*#REF!*#REF!/1000000),0)</f>
        <v>0</v>
      </c>
      <c r="L2" s="244" t="e">
        <f>#REF!*#REF!</f>
        <v>#REF!</v>
      </c>
      <c r="M2" s="241" t="s">
        <v>41</v>
      </c>
      <c r="N2" s="245" t="e">
        <f t="shared" ref="N2:N37" si="0">1/$AC$4</f>
        <v>#DIV/0!</v>
      </c>
      <c r="O2" s="246" t="e">
        <f>#REF!</f>
        <v>#REF!</v>
      </c>
      <c r="P2" s="247" t="e">
        <f>#REF!/$AE$4</f>
        <v>#REF!</v>
      </c>
      <c r="Q2" s="247" t="e">
        <f>#REF!</f>
        <v>#REF!</v>
      </c>
      <c r="R2" s="232" t="s">
        <v>89</v>
      </c>
      <c r="S2" s="248"/>
      <c r="T2" s="232" t="e">
        <f>VLOOKUP(#REF!,#REF!,2,FALSE)</f>
        <v>#REF!</v>
      </c>
      <c r="U2" s="232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" s="232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" t="e" cm="1">
        <f t="array" ref="W2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2" s="249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" s="250" t="e">
        <f>IF(#REF!=#REF!,"Non","Oui")</f>
        <v>#REF!</v>
      </c>
    </row>
    <row r="3" spans="1:25" x14ac:dyDescent="0.2">
      <c r="A3" s="233" t="s">
        <v>54</v>
      </c>
      <c r="B3" s="251">
        <v>458589</v>
      </c>
      <c r="C3" s="252" t="s">
        <v>18</v>
      </c>
      <c r="D3" s="253">
        <f>IFERROR(VLOOKUP(#REF!,#REF!,2,FALSE),0)</f>
        <v>0</v>
      </c>
      <c r="E3" s="253">
        <f>ROUND(IFERROR(VLOOKUP(#REF!,#REF!,3,FALSE)/#REF!,0),2)</f>
        <v>0</v>
      </c>
      <c r="F3" s="254" t="e">
        <f>ROUND(#REF!/#REF!,2)</f>
        <v>#REF!</v>
      </c>
      <c r="G3" s="254" t="e">
        <f>VLOOKUP(#REF!,base_article,19,FALSE)</f>
        <v>#REF!</v>
      </c>
      <c r="H3" s="254" t="e">
        <f>VLOOKUP(#REF!,base_article,18,FALSE)</f>
        <v>#REF!</v>
      </c>
      <c r="I3" s="254" t="e">
        <f>VLOOKUP(#REF!,base_article,17,FALSE)</f>
        <v>#REF!</v>
      </c>
      <c r="J3" s="254" t="e">
        <f>VLOOKUP(#REF!,base_article,20,FALSE)</f>
        <v>#REF!</v>
      </c>
      <c r="K3" s="254">
        <f>IFERROR(IF(#REF!*#REF!*#REF!/1000000=0,"0,01",#REF!*#REF!*#REF!/1000000),0)</f>
        <v>0</v>
      </c>
      <c r="L3" s="254" t="e">
        <f>#REF!*#REF!</f>
        <v>#REF!</v>
      </c>
      <c r="M3" s="251" t="s">
        <v>41</v>
      </c>
      <c r="N3" s="255" t="e">
        <f t="shared" si="0"/>
        <v>#DIV/0!</v>
      </c>
      <c r="O3" s="256" t="e">
        <f>O2+#REF!</f>
        <v>#REF!</v>
      </c>
      <c r="P3" s="257" t="e">
        <f>#REF!/$AE$4</f>
        <v>#REF!</v>
      </c>
      <c r="Q3" s="257" t="e">
        <f>Q2+#REF!</f>
        <v>#REF!</v>
      </c>
      <c r="R3" s="234" t="s">
        <v>88</v>
      </c>
      <c r="S3" s="248"/>
      <c r="T3" s="234" t="e">
        <f>VLOOKUP(#REF!,#REF!,2,FALSE)</f>
        <v>#REF!</v>
      </c>
      <c r="U3" s="234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3" s="234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3" t="e" cm="1">
        <f t="array" ref="W3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3" s="258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3" s="259" t="e">
        <f>IF(#REF!=#REF!,"Non","Oui")</f>
        <v>#REF!</v>
      </c>
    </row>
    <row r="4" spans="1:25" x14ac:dyDescent="0.2">
      <c r="A4" s="231" t="s">
        <v>52</v>
      </c>
      <c r="B4" s="241">
        <v>558419</v>
      </c>
      <c r="C4" s="242" t="s">
        <v>29</v>
      </c>
      <c r="D4" s="243">
        <f>IFERROR(VLOOKUP(#REF!,#REF!,2,FALSE),0)</f>
        <v>0</v>
      </c>
      <c r="E4" s="243">
        <f>ROUND(IFERROR(VLOOKUP(#REF!,#REF!,3,FALSE)/#REF!,0),2)</f>
        <v>0</v>
      </c>
      <c r="F4" s="244" t="e">
        <f>ROUND(#REF!/#REF!,2)</f>
        <v>#REF!</v>
      </c>
      <c r="G4" s="244" t="e">
        <f>VLOOKUP(#REF!,base_article,19,FALSE)</f>
        <v>#REF!</v>
      </c>
      <c r="H4" s="244" t="e">
        <f>VLOOKUP(#REF!,base_article,18,FALSE)</f>
        <v>#REF!</v>
      </c>
      <c r="I4" s="244" t="e">
        <f>VLOOKUP(#REF!,base_article,17,FALSE)</f>
        <v>#REF!</v>
      </c>
      <c r="J4" s="244" t="e">
        <f>VLOOKUP(#REF!,base_article,20,FALSE)</f>
        <v>#REF!</v>
      </c>
      <c r="K4" s="244">
        <f>IFERROR(IF(#REF!*#REF!*#REF!/1000000=0,"0,01",#REF!*#REF!*#REF!/1000000),0)</f>
        <v>0</v>
      </c>
      <c r="L4" s="244" t="e">
        <f>#REF!*#REF!</f>
        <v>#REF!</v>
      </c>
      <c r="M4" s="241" t="s">
        <v>41</v>
      </c>
      <c r="N4" s="245" t="e">
        <f t="shared" si="0"/>
        <v>#DIV/0!</v>
      </c>
      <c r="O4" s="246" t="e">
        <f>O3+#REF!</f>
        <v>#REF!</v>
      </c>
      <c r="P4" s="247" t="e">
        <f>#REF!/$AE$4</f>
        <v>#REF!</v>
      </c>
      <c r="Q4" s="247" t="e">
        <f>Q3+#REF!</f>
        <v>#REF!</v>
      </c>
      <c r="R4" s="232" t="s">
        <v>87</v>
      </c>
      <c r="S4" s="248"/>
      <c r="T4" s="232" t="e">
        <f>VLOOKUP(#REF!,#REF!,2,FALSE)</f>
        <v>#REF!</v>
      </c>
      <c r="U4" s="232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4" s="232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4" t="e" cm="1">
        <f t="array" ref="W4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4" s="249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4" s="250" t="e">
        <f>IF(#REF!=#REF!,"Non","Oui")</f>
        <v>#REF!</v>
      </c>
    </row>
    <row r="5" spans="1:25" x14ac:dyDescent="0.2">
      <c r="A5" s="233" t="s">
        <v>43</v>
      </c>
      <c r="B5" s="260">
        <v>558400</v>
      </c>
      <c r="C5" s="252" t="s">
        <v>28</v>
      </c>
      <c r="D5" s="253">
        <f>IFERROR(VLOOKUP(#REF!,#REF!,2,FALSE),0)</f>
        <v>0</v>
      </c>
      <c r="E5" s="253">
        <f>ROUND(IFERROR(VLOOKUP(#REF!,#REF!,3,FALSE)/#REF!,0),2)</f>
        <v>0</v>
      </c>
      <c r="F5" s="254" t="e">
        <f>ROUND(#REF!/#REF!,2)</f>
        <v>#REF!</v>
      </c>
      <c r="G5" s="254" t="e">
        <f>VLOOKUP(#REF!,base_article,19,FALSE)</f>
        <v>#REF!</v>
      </c>
      <c r="H5" s="254" t="e">
        <f>VLOOKUP(#REF!,base_article,18,FALSE)</f>
        <v>#REF!</v>
      </c>
      <c r="I5" s="254" t="e">
        <f>VLOOKUP(#REF!,base_article,17,FALSE)</f>
        <v>#REF!</v>
      </c>
      <c r="J5" s="254" t="e">
        <f>VLOOKUP(#REF!,base_article,20,FALSE)</f>
        <v>#REF!</v>
      </c>
      <c r="K5" s="254">
        <f>IFERROR(IF(#REF!*#REF!*#REF!/1000000=0,"0,01",#REF!*#REF!*#REF!/1000000),0)</f>
        <v>0</v>
      </c>
      <c r="L5" s="254" t="e">
        <f>#REF!*#REF!</f>
        <v>#REF!</v>
      </c>
      <c r="M5" s="251" t="s">
        <v>41</v>
      </c>
      <c r="N5" s="255" t="e">
        <f t="shared" si="0"/>
        <v>#DIV/0!</v>
      </c>
      <c r="O5" s="256" t="e">
        <f>O4+#REF!</f>
        <v>#REF!</v>
      </c>
      <c r="P5" s="257" t="e">
        <f>#REF!/$AE$4</f>
        <v>#REF!</v>
      </c>
      <c r="Q5" s="257" t="e">
        <f>Q4+#REF!</f>
        <v>#REF!</v>
      </c>
      <c r="R5" s="234" t="s">
        <v>86</v>
      </c>
      <c r="S5" s="248"/>
      <c r="T5" s="234" t="e">
        <f>VLOOKUP(#REF!,#REF!,2,FALSE)</f>
        <v>#REF!</v>
      </c>
      <c r="U5" s="234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5" s="234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5" t="e" cm="1">
        <f t="array" ref="W5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5" s="258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5" s="259" t="e">
        <f>IF(#REF!=#REF!,"Non","Oui")</f>
        <v>#REF!</v>
      </c>
    </row>
    <row r="6" spans="1:25" x14ac:dyDescent="0.2">
      <c r="A6" s="231" t="s">
        <v>45</v>
      </c>
      <c r="B6" s="261">
        <v>718467</v>
      </c>
      <c r="C6" s="242" t="s">
        <v>38</v>
      </c>
      <c r="D6" s="243">
        <f>IFERROR(VLOOKUP(#REF!,#REF!,2,FALSE),0)</f>
        <v>0</v>
      </c>
      <c r="E6" s="243">
        <f>ROUND(IFERROR(VLOOKUP(#REF!,#REF!,3,FALSE)/#REF!,0),2)</f>
        <v>0</v>
      </c>
      <c r="F6" s="244" t="e">
        <f>ROUND(#REF!/#REF!,2)</f>
        <v>#REF!</v>
      </c>
      <c r="G6" s="244" t="e">
        <f>VLOOKUP(#REF!,base_article,19,FALSE)</f>
        <v>#REF!</v>
      </c>
      <c r="H6" s="244" t="e">
        <f>VLOOKUP(#REF!,base_article,18,FALSE)</f>
        <v>#REF!</v>
      </c>
      <c r="I6" s="244" t="e">
        <f>VLOOKUP(#REF!,base_article,17,FALSE)</f>
        <v>#REF!</v>
      </c>
      <c r="J6" s="244" t="e">
        <f>VLOOKUP(#REF!,base_article,20,FALSE)</f>
        <v>#REF!</v>
      </c>
      <c r="K6" s="244">
        <f>IFERROR(IF(#REF!*#REF!*#REF!/1000000=0,"0,01",#REF!*#REF!*#REF!/1000000),0)</f>
        <v>0</v>
      </c>
      <c r="L6" s="244" t="e">
        <f>#REF!*#REF!</f>
        <v>#REF!</v>
      </c>
      <c r="M6" s="241" t="s">
        <v>41</v>
      </c>
      <c r="N6" s="245" t="e">
        <f t="shared" si="0"/>
        <v>#DIV/0!</v>
      </c>
      <c r="O6" s="246" t="e">
        <f>O5+#REF!</f>
        <v>#REF!</v>
      </c>
      <c r="P6" s="247" t="e">
        <f>#REF!/$AE$4</f>
        <v>#REF!</v>
      </c>
      <c r="Q6" s="247" t="e">
        <f>Q5+#REF!</f>
        <v>#REF!</v>
      </c>
      <c r="R6" s="232" t="s">
        <v>85</v>
      </c>
      <c r="S6" s="248"/>
      <c r="T6" s="232" t="e">
        <f>VLOOKUP(#REF!,#REF!,2,FALSE)</f>
        <v>#REF!</v>
      </c>
      <c r="U6" s="232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6" s="232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6" t="e" cm="1">
        <f t="array" ref="W6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6" s="249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6" s="250" t="e">
        <f>IF(#REF!=#REF!,"Non","Oui")</f>
        <v>#REF!</v>
      </c>
    </row>
    <row r="7" spans="1:25" x14ac:dyDescent="0.2">
      <c r="A7" s="233" t="s">
        <v>47</v>
      </c>
      <c r="B7" s="251">
        <v>700398</v>
      </c>
      <c r="C7" s="252" t="s">
        <v>36</v>
      </c>
      <c r="D7" s="253">
        <f>IFERROR(VLOOKUP(#REF!,#REF!,2,FALSE),0)</f>
        <v>0</v>
      </c>
      <c r="E7" s="253">
        <f>ROUND(IFERROR(VLOOKUP(#REF!,#REF!,3,FALSE)/#REF!,0),2)</f>
        <v>0</v>
      </c>
      <c r="F7" s="254" t="e">
        <f>ROUND(#REF!/#REF!,2)</f>
        <v>#REF!</v>
      </c>
      <c r="G7" s="254" t="e">
        <f>VLOOKUP(#REF!,base_article,19,FALSE)</f>
        <v>#REF!</v>
      </c>
      <c r="H7" s="254" t="e">
        <f>VLOOKUP(#REF!,base_article,18,FALSE)</f>
        <v>#REF!</v>
      </c>
      <c r="I7" s="254" t="e">
        <f>VLOOKUP(#REF!,base_article,17,FALSE)</f>
        <v>#REF!</v>
      </c>
      <c r="J7" s="254" t="e">
        <f>VLOOKUP(#REF!,base_article,20,FALSE)</f>
        <v>#REF!</v>
      </c>
      <c r="K7" s="254">
        <f>IFERROR(IF(#REF!*#REF!*#REF!/1000000=0,"0,01",#REF!*#REF!*#REF!/1000000),0)</f>
        <v>0</v>
      </c>
      <c r="L7" s="254" t="e">
        <f>#REF!*#REF!</f>
        <v>#REF!</v>
      </c>
      <c r="M7" s="251" t="s">
        <v>41</v>
      </c>
      <c r="N7" s="255" t="e">
        <f t="shared" si="0"/>
        <v>#DIV/0!</v>
      </c>
      <c r="O7" s="256" t="e">
        <f>O6+#REF!</f>
        <v>#REF!</v>
      </c>
      <c r="P7" s="257" t="e">
        <f>#REF!/$AE$4</f>
        <v>#REF!</v>
      </c>
      <c r="Q7" s="257" t="e">
        <f>Q6+#REF!</f>
        <v>#REF!</v>
      </c>
      <c r="R7" s="234" t="s">
        <v>89</v>
      </c>
      <c r="S7" s="248"/>
      <c r="T7" s="234" t="e">
        <f>VLOOKUP(#REF!,#REF!,2,FALSE)</f>
        <v>#REF!</v>
      </c>
      <c r="U7" s="234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7" s="234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7" t="e" cm="1">
        <f t="array" ref="W7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7" s="258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7" s="259" t="e">
        <f>IF(#REF!=#REF!,"Non","Oui")</f>
        <v>#REF!</v>
      </c>
    </row>
    <row r="8" spans="1:25" x14ac:dyDescent="0.2">
      <c r="A8" s="231" t="s">
        <v>57</v>
      </c>
      <c r="B8" s="241">
        <v>93734</v>
      </c>
      <c r="C8" s="242" t="s">
        <v>40</v>
      </c>
      <c r="D8" s="243">
        <f>IFERROR(VLOOKUP(#REF!,#REF!,2,FALSE),0)</f>
        <v>0</v>
      </c>
      <c r="E8" s="243">
        <f>ROUND(IFERROR(VLOOKUP(#REF!,#REF!,3,FALSE)/#REF!,0),2)</f>
        <v>0</v>
      </c>
      <c r="F8" s="244" t="e">
        <f>ROUND(#REF!/#REF!,2)</f>
        <v>#REF!</v>
      </c>
      <c r="G8" s="244" t="e">
        <f>VLOOKUP(#REF!,base_article,19,FALSE)</f>
        <v>#REF!</v>
      </c>
      <c r="H8" s="244" t="e">
        <f>VLOOKUP(#REF!,base_article,18,FALSE)</f>
        <v>#REF!</v>
      </c>
      <c r="I8" s="244" t="e">
        <f>VLOOKUP(#REF!,base_article,17,FALSE)</f>
        <v>#REF!</v>
      </c>
      <c r="J8" s="244" t="e">
        <f>VLOOKUP(#REF!,base_article,20,FALSE)</f>
        <v>#REF!</v>
      </c>
      <c r="K8" s="244">
        <f>IFERROR(IF(#REF!*#REF!*#REF!/1000000=0,"0,01",#REF!*#REF!*#REF!/1000000),0)</f>
        <v>0</v>
      </c>
      <c r="L8" s="244" t="e">
        <f>#REF!*#REF!</f>
        <v>#REF!</v>
      </c>
      <c r="M8" s="241" t="s">
        <v>41</v>
      </c>
      <c r="N8" s="245" t="e">
        <f t="shared" si="0"/>
        <v>#DIV/0!</v>
      </c>
      <c r="O8" s="246" t="e">
        <f>O7+#REF!</f>
        <v>#REF!</v>
      </c>
      <c r="P8" s="247" t="e">
        <f>#REF!/$AE$4</f>
        <v>#REF!</v>
      </c>
      <c r="Q8" s="247" t="e">
        <f>Q7+#REF!</f>
        <v>#REF!</v>
      </c>
      <c r="R8" s="232" t="s">
        <v>88</v>
      </c>
      <c r="S8" s="248"/>
      <c r="T8" s="232" t="e">
        <f>VLOOKUP(#REF!,#REF!,2,FALSE)</f>
        <v>#REF!</v>
      </c>
      <c r="U8" s="232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8" s="232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8" t="e" cm="1">
        <f t="array" ref="W8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8" s="249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8" s="250" t="e">
        <f>IF(#REF!=#REF!,"Non","Oui")</f>
        <v>#REF!</v>
      </c>
    </row>
    <row r="9" spans="1:25" x14ac:dyDescent="0.2">
      <c r="A9" s="233" t="s">
        <v>51</v>
      </c>
      <c r="B9" s="251">
        <v>708755</v>
      </c>
      <c r="C9" s="252" t="s">
        <v>37</v>
      </c>
      <c r="D9" s="253">
        <f>IFERROR(VLOOKUP(#REF!,#REF!,2,FALSE),0)</f>
        <v>0</v>
      </c>
      <c r="E9" s="253">
        <f>ROUND(IFERROR(VLOOKUP(#REF!,#REF!,3,FALSE)/#REF!,0),2)</f>
        <v>0</v>
      </c>
      <c r="F9" s="254" t="e">
        <f>ROUND(#REF!/#REF!,2)</f>
        <v>#REF!</v>
      </c>
      <c r="G9" s="254" t="e">
        <f>VLOOKUP(#REF!,base_article,19,FALSE)</f>
        <v>#REF!</v>
      </c>
      <c r="H9" s="254" t="e">
        <f>VLOOKUP(#REF!,base_article,18,FALSE)</f>
        <v>#REF!</v>
      </c>
      <c r="I9" s="254" t="e">
        <f>VLOOKUP(#REF!,base_article,17,FALSE)</f>
        <v>#REF!</v>
      </c>
      <c r="J9" s="254" t="e">
        <f>VLOOKUP(#REF!,base_article,20,FALSE)</f>
        <v>#REF!</v>
      </c>
      <c r="K9" s="254">
        <f>IFERROR(IF(#REF!*#REF!*#REF!/1000000=0,"0,01",#REF!*#REF!*#REF!/1000000),0)</f>
        <v>0</v>
      </c>
      <c r="L9" s="254" t="e">
        <f>#REF!*#REF!</f>
        <v>#REF!</v>
      </c>
      <c r="M9" s="251" t="s">
        <v>41</v>
      </c>
      <c r="N9" s="255" t="e">
        <f t="shared" si="0"/>
        <v>#DIV/0!</v>
      </c>
      <c r="O9" s="256" t="e">
        <f>O8+#REF!</f>
        <v>#REF!</v>
      </c>
      <c r="P9" s="257" t="e">
        <f>#REF!/$AE$4</f>
        <v>#REF!</v>
      </c>
      <c r="Q9" s="257" t="e">
        <f>Q8+#REF!</f>
        <v>#REF!</v>
      </c>
      <c r="R9" s="234" t="s">
        <v>87</v>
      </c>
      <c r="S9" s="248"/>
      <c r="T9" s="234" t="e">
        <f>VLOOKUP(#REF!,#REF!,2,FALSE)</f>
        <v>#REF!</v>
      </c>
      <c r="U9" s="234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9" s="234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9" t="e" cm="1">
        <f t="array" ref="W9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9" s="258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9" s="259" t="e">
        <f>IF(#REF!=#REF!,"Non","Oui")</f>
        <v>#REF!</v>
      </c>
    </row>
    <row r="10" spans="1:25" x14ac:dyDescent="0.2">
      <c r="A10" s="231" t="s">
        <v>50</v>
      </c>
      <c r="B10" s="241">
        <v>700355</v>
      </c>
      <c r="C10" s="242" t="s">
        <v>35</v>
      </c>
      <c r="D10" s="243">
        <f>IFERROR(VLOOKUP(#REF!,#REF!,2,FALSE),0)</f>
        <v>0</v>
      </c>
      <c r="E10" s="243">
        <f>ROUND(IFERROR(VLOOKUP(#REF!,#REF!,3,FALSE)/#REF!,0),2)</f>
        <v>0</v>
      </c>
      <c r="F10" s="244" t="e">
        <f>ROUND(#REF!/#REF!,2)</f>
        <v>#REF!</v>
      </c>
      <c r="G10" s="244" t="e">
        <f>VLOOKUP(#REF!,base_article,19,FALSE)</f>
        <v>#REF!</v>
      </c>
      <c r="H10" s="244" t="e">
        <f>VLOOKUP(#REF!,base_article,18,FALSE)</f>
        <v>#REF!</v>
      </c>
      <c r="I10" s="244" t="e">
        <f>VLOOKUP(#REF!,base_article,17,FALSE)</f>
        <v>#REF!</v>
      </c>
      <c r="J10" s="244" t="e">
        <f>VLOOKUP(#REF!,base_article,20,FALSE)</f>
        <v>#REF!</v>
      </c>
      <c r="K10" s="244">
        <f>IFERROR(IF(#REF!*#REF!*#REF!/1000000=0,"0,01",#REF!*#REF!*#REF!/1000000),0)</f>
        <v>0</v>
      </c>
      <c r="L10" s="244" t="e">
        <f>#REF!*#REF!</f>
        <v>#REF!</v>
      </c>
      <c r="M10" s="241" t="s">
        <v>41</v>
      </c>
      <c r="N10" s="245" t="e">
        <f t="shared" si="0"/>
        <v>#DIV/0!</v>
      </c>
      <c r="O10" s="246" t="e">
        <f>O9+#REF!</f>
        <v>#REF!</v>
      </c>
      <c r="P10" s="247" t="e">
        <f>#REF!/$AE$4</f>
        <v>#REF!</v>
      </c>
      <c r="Q10" s="247" t="e">
        <f>Q9+#REF!</f>
        <v>#REF!</v>
      </c>
      <c r="R10" s="232" t="s">
        <v>86</v>
      </c>
      <c r="S10" s="248"/>
      <c r="T10" s="232" t="e">
        <f>VLOOKUP(#REF!,#REF!,2,FALSE)</f>
        <v>#REF!</v>
      </c>
      <c r="U10" s="232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0" s="232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0" t="e" cm="1">
        <f t="array" ref="W10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10" s="249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0" s="250" t="e">
        <f>IF(#REF!=#REF!,"Non","Oui")</f>
        <v>#REF!</v>
      </c>
    </row>
    <row r="11" spans="1:25" x14ac:dyDescent="0.2">
      <c r="A11" s="233" t="s">
        <v>83</v>
      </c>
      <c r="B11" s="251">
        <v>468460</v>
      </c>
      <c r="C11" s="252" t="s">
        <v>20</v>
      </c>
      <c r="D11" s="253">
        <f>IFERROR(VLOOKUP(#REF!,#REF!,2,FALSE),0)</f>
        <v>0</v>
      </c>
      <c r="E11" s="253">
        <f>ROUND(IFERROR(VLOOKUP(#REF!,#REF!,3,FALSE)/#REF!,0),2)</f>
        <v>0</v>
      </c>
      <c r="F11" s="254" t="e">
        <f>ROUND(#REF!/#REF!,2)</f>
        <v>#REF!</v>
      </c>
      <c r="G11" s="254" t="e">
        <f>VLOOKUP(#REF!,base_article,19,FALSE)</f>
        <v>#REF!</v>
      </c>
      <c r="H11" s="254" t="e">
        <f>VLOOKUP(#REF!,base_article,18,FALSE)</f>
        <v>#REF!</v>
      </c>
      <c r="I11" s="254" t="e">
        <f>VLOOKUP(#REF!,base_article,17,FALSE)</f>
        <v>#REF!</v>
      </c>
      <c r="J11" s="254" t="e">
        <f>VLOOKUP(#REF!,base_article,20,FALSE)</f>
        <v>#REF!</v>
      </c>
      <c r="K11" s="254">
        <f>IFERROR(IF(#REF!*#REF!*#REF!/1000000=0,"0,01",#REF!*#REF!*#REF!/1000000),0)</f>
        <v>0</v>
      </c>
      <c r="L11" s="254" t="e">
        <f>#REF!*#REF!</f>
        <v>#REF!</v>
      </c>
      <c r="M11" s="251" t="s">
        <v>42</v>
      </c>
      <c r="N11" s="255" t="e">
        <f t="shared" si="0"/>
        <v>#DIV/0!</v>
      </c>
      <c r="O11" s="256" t="e">
        <f>O10+#REF!</f>
        <v>#REF!</v>
      </c>
      <c r="P11" s="257" t="e">
        <f>#REF!/$AE$4</f>
        <v>#REF!</v>
      </c>
      <c r="Q11" s="257" t="e">
        <f>Q10+#REF!</f>
        <v>#REF!</v>
      </c>
      <c r="R11" s="234" t="s">
        <v>85</v>
      </c>
      <c r="S11" s="248"/>
      <c r="T11" s="234" t="e">
        <f>VLOOKUP(#REF!,#REF!,2,FALSE)</f>
        <v>#REF!</v>
      </c>
      <c r="U11" s="234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1" s="234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1" t="e" cm="1">
        <f t="array" ref="W1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11" s="258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1" s="259" t="e">
        <f>IF(#REF!=#REF!,"Non","Oui")</f>
        <v>#REF!</v>
      </c>
    </row>
    <row r="12" spans="1:25" x14ac:dyDescent="0.2">
      <c r="A12" s="231" t="s">
        <v>66</v>
      </c>
      <c r="B12" s="241">
        <v>700347</v>
      </c>
      <c r="C12" s="242" t="s">
        <v>34</v>
      </c>
      <c r="D12" s="243">
        <f>IFERROR(VLOOKUP(#REF!,#REF!,2,FALSE),0)</f>
        <v>0</v>
      </c>
      <c r="E12" s="243">
        <f>ROUND(IFERROR(VLOOKUP(#REF!,#REF!,3,FALSE)/#REF!,0),2)</f>
        <v>0</v>
      </c>
      <c r="F12" s="244" t="e">
        <f>ROUND(#REF!/#REF!,2)</f>
        <v>#REF!</v>
      </c>
      <c r="G12" s="244" t="e">
        <f>VLOOKUP(#REF!,base_article,19,FALSE)</f>
        <v>#REF!</v>
      </c>
      <c r="H12" s="244" t="e">
        <f>VLOOKUP(#REF!,base_article,18,FALSE)</f>
        <v>#REF!</v>
      </c>
      <c r="I12" s="244" t="e">
        <f>VLOOKUP(#REF!,base_article,17,FALSE)</f>
        <v>#REF!</v>
      </c>
      <c r="J12" s="244" t="e">
        <f>VLOOKUP(#REF!,base_article,20,FALSE)</f>
        <v>#REF!</v>
      </c>
      <c r="K12" s="244">
        <f>IFERROR(IF(#REF!*#REF!*#REF!/1000000=0,"0,01",#REF!*#REF!*#REF!/1000000),0)</f>
        <v>0</v>
      </c>
      <c r="L12" s="244" t="e">
        <f>#REF!*#REF!</f>
        <v>#REF!</v>
      </c>
      <c r="M12" s="241" t="s">
        <v>41</v>
      </c>
      <c r="N12" s="245" t="e">
        <f t="shared" si="0"/>
        <v>#DIV/0!</v>
      </c>
      <c r="O12" s="246" t="e">
        <f>O11+#REF!</f>
        <v>#REF!</v>
      </c>
      <c r="P12" s="247" t="e">
        <f>#REF!/$AE$4</f>
        <v>#REF!</v>
      </c>
      <c r="Q12" s="247" t="e">
        <f>Q11+#REF!</f>
        <v>#REF!</v>
      </c>
      <c r="R12" s="232" t="s">
        <v>89</v>
      </c>
      <c r="S12" s="248"/>
      <c r="T12" s="232" t="e">
        <f>VLOOKUP(#REF!,#REF!,2,FALSE)</f>
        <v>#REF!</v>
      </c>
      <c r="U12" s="232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2" s="232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2" t="e" cm="1">
        <f t="array" ref="W12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12" s="249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2" s="250" t="e">
        <f>IF(#REF!=#REF!,"Non","Oui")</f>
        <v>#REF!</v>
      </c>
    </row>
    <row r="13" spans="1:25" x14ac:dyDescent="0.2">
      <c r="A13" s="233" t="s">
        <v>55</v>
      </c>
      <c r="B13" s="251">
        <v>354082</v>
      </c>
      <c r="C13" s="252" t="s">
        <v>11</v>
      </c>
      <c r="D13" s="253">
        <f>IFERROR(VLOOKUP(#REF!,#REF!,2,FALSE),0)</f>
        <v>0</v>
      </c>
      <c r="E13" s="253">
        <f>ROUND(IFERROR(VLOOKUP(#REF!,#REF!,3,FALSE)/#REF!,0),2)</f>
        <v>0</v>
      </c>
      <c r="F13" s="254" t="e">
        <f>ROUND(#REF!/#REF!,2)</f>
        <v>#REF!</v>
      </c>
      <c r="G13" s="254" t="e">
        <f>VLOOKUP(#REF!,base_article,19,FALSE)</f>
        <v>#REF!</v>
      </c>
      <c r="H13" s="254" t="e">
        <f>VLOOKUP(#REF!,base_article,18,FALSE)</f>
        <v>#REF!</v>
      </c>
      <c r="I13" s="254" t="e">
        <f>VLOOKUP(#REF!,base_article,17,FALSE)</f>
        <v>#REF!</v>
      </c>
      <c r="J13" s="254" t="e">
        <f>VLOOKUP(#REF!,base_article,20,FALSE)</f>
        <v>#REF!</v>
      </c>
      <c r="K13" s="254">
        <f>IFERROR(IF(#REF!*#REF!*#REF!/1000000=0,"0,01",#REF!*#REF!*#REF!/1000000),0)</f>
        <v>0</v>
      </c>
      <c r="L13" s="254" t="e">
        <f>#REF!*#REF!</f>
        <v>#REF!</v>
      </c>
      <c r="M13" s="251" t="s">
        <v>41</v>
      </c>
      <c r="N13" s="255" t="e">
        <f t="shared" si="0"/>
        <v>#DIV/0!</v>
      </c>
      <c r="O13" s="256" t="e">
        <f>O12+#REF!</f>
        <v>#REF!</v>
      </c>
      <c r="P13" s="257" t="e">
        <f>#REF!/$AE$4</f>
        <v>#REF!</v>
      </c>
      <c r="Q13" s="257" t="e">
        <f>Q12+#REF!</f>
        <v>#REF!</v>
      </c>
      <c r="R13" s="234" t="s">
        <v>88</v>
      </c>
      <c r="S13" s="248"/>
      <c r="T13" s="234" t="e">
        <f>VLOOKUP(#REF!,#REF!,2,FALSE)</f>
        <v>#REF!</v>
      </c>
      <c r="U13" s="234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3" s="234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3" t="e" cm="1">
        <f t="array" ref="W13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13" s="258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3" s="259" t="e">
        <f>IF(#REF!=#REF!,"Non","Oui")</f>
        <v>#REF!</v>
      </c>
    </row>
    <row r="14" spans="1:25" x14ac:dyDescent="0.2">
      <c r="A14" s="231" t="s">
        <v>49</v>
      </c>
      <c r="B14" s="241">
        <v>552887</v>
      </c>
      <c r="C14" s="242" t="s">
        <v>27</v>
      </c>
      <c r="D14" s="243">
        <f>IFERROR(VLOOKUP(#REF!,#REF!,2,FALSE),0)</f>
        <v>0</v>
      </c>
      <c r="E14" s="243">
        <f>ROUND(IFERROR(VLOOKUP(#REF!,#REF!,3,FALSE)/#REF!,0),2)</f>
        <v>0</v>
      </c>
      <c r="F14" s="244" t="e">
        <f>ROUND(#REF!/#REF!,2)</f>
        <v>#REF!</v>
      </c>
      <c r="G14" s="244" t="e">
        <f>VLOOKUP(#REF!,base_article,19,FALSE)</f>
        <v>#REF!</v>
      </c>
      <c r="H14" s="244" t="e">
        <f>VLOOKUP(#REF!,base_article,18,FALSE)</f>
        <v>#REF!</v>
      </c>
      <c r="I14" s="244" t="e">
        <f>VLOOKUP(#REF!,base_article,17,FALSE)</f>
        <v>#REF!</v>
      </c>
      <c r="J14" s="244" t="e">
        <f>VLOOKUP(#REF!,base_article,20,FALSE)</f>
        <v>#REF!</v>
      </c>
      <c r="K14" s="244">
        <f>IFERROR(IF(#REF!*#REF!*#REF!/1000000=0,"0,01",#REF!*#REF!*#REF!/1000000),0)</f>
        <v>0</v>
      </c>
      <c r="L14" s="244" t="e">
        <f>#REF!*#REF!</f>
        <v>#REF!</v>
      </c>
      <c r="M14" s="241" t="s">
        <v>41</v>
      </c>
      <c r="N14" s="245" t="e">
        <f t="shared" si="0"/>
        <v>#DIV/0!</v>
      </c>
      <c r="O14" s="246" t="e">
        <f>O13+#REF!</f>
        <v>#REF!</v>
      </c>
      <c r="P14" s="247" t="e">
        <f>#REF!/$AE$4</f>
        <v>#REF!</v>
      </c>
      <c r="Q14" s="247" t="e">
        <f>Q13+#REF!</f>
        <v>#REF!</v>
      </c>
      <c r="R14" s="232" t="s">
        <v>87</v>
      </c>
      <c r="S14" s="248"/>
      <c r="T14" s="232" t="e">
        <f>VLOOKUP(#REF!,#REF!,2,FALSE)</f>
        <v>#REF!</v>
      </c>
      <c r="U14" s="232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4" s="232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4" t="e" cm="1">
        <f t="array" ref="W14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14" s="249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4" s="250" t="e">
        <f>IF(#REF!=#REF!,"Non","Oui")</f>
        <v>#REF!</v>
      </c>
    </row>
    <row r="15" spans="1:25" x14ac:dyDescent="0.2">
      <c r="A15" s="233" t="s">
        <v>48</v>
      </c>
      <c r="B15" s="251">
        <v>681199</v>
      </c>
      <c r="C15" s="252" t="s">
        <v>32</v>
      </c>
      <c r="D15" s="253">
        <f>IFERROR(VLOOKUP(#REF!,#REF!,2,FALSE),0)</f>
        <v>0</v>
      </c>
      <c r="E15" s="253">
        <f>ROUND(IFERROR(VLOOKUP(#REF!,#REF!,3,FALSE)/#REF!,0),2)</f>
        <v>0</v>
      </c>
      <c r="F15" s="254" t="e">
        <f>ROUND(#REF!/#REF!,2)</f>
        <v>#REF!</v>
      </c>
      <c r="G15" s="254" t="e">
        <f>VLOOKUP(#REF!,base_article,19,FALSE)</f>
        <v>#REF!</v>
      </c>
      <c r="H15" s="254" t="e">
        <f>VLOOKUP(#REF!,base_article,18,FALSE)</f>
        <v>#REF!</v>
      </c>
      <c r="I15" s="254" t="e">
        <f>VLOOKUP(#REF!,base_article,17,FALSE)</f>
        <v>#REF!</v>
      </c>
      <c r="J15" s="254" t="e">
        <f>VLOOKUP(#REF!,base_article,20,FALSE)</f>
        <v>#REF!</v>
      </c>
      <c r="K15" s="254">
        <f>IFERROR(IF(#REF!*#REF!*#REF!/1000000=0,"0,01",#REF!*#REF!*#REF!/1000000),0)</f>
        <v>0</v>
      </c>
      <c r="L15" s="254" t="e">
        <f>#REF!*#REF!</f>
        <v>#REF!</v>
      </c>
      <c r="M15" s="251" t="s">
        <v>41</v>
      </c>
      <c r="N15" s="255" t="e">
        <f t="shared" si="0"/>
        <v>#DIV/0!</v>
      </c>
      <c r="O15" s="256" t="e">
        <f>O14+#REF!</f>
        <v>#REF!</v>
      </c>
      <c r="P15" s="257" t="e">
        <f>#REF!/$AE$4</f>
        <v>#REF!</v>
      </c>
      <c r="Q15" s="257" t="e">
        <f>Q14+#REF!</f>
        <v>#REF!</v>
      </c>
      <c r="R15" s="234" t="s">
        <v>86</v>
      </c>
      <c r="S15" s="248"/>
      <c r="T15" s="234" t="e">
        <f>VLOOKUP(#REF!,#REF!,2,FALSE)</f>
        <v>#REF!</v>
      </c>
      <c r="U15" s="234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5" s="234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5" t="e" cm="1">
        <f t="array" ref="W15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15" s="258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5" s="259" t="e">
        <f>IF(#REF!=#REF!,"Non","Oui")</f>
        <v>#REF!</v>
      </c>
    </row>
    <row r="16" spans="1:25" x14ac:dyDescent="0.2">
      <c r="A16" s="231" t="s">
        <v>59</v>
      </c>
      <c r="B16" s="241">
        <v>459755</v>
      </c>
      <c r="C16" s="242" t="s">
        <v>19</v>
      </c>
      <c r="D16" s="243">
        <f>IFERROR(VLOOKUP(#REF!,#REF!,2,FALSE),0)</f>
        <v>0</v>
      </c>
      <c r="E16" s="243">
        <f>ROUND(IFERROR(VLOOKUP(#REF!,#REF!,3,FALSE)/#REF!,0),2)</f>
        <v>0</v>
      </c>
      <c r="F16" s="244" t="e">
        <f>ROUND(#REF!/#REF!,2)</f>
        <v>#REF!</v>
      </c>
      <c r="G16" s="244" t="e">
        <f>VLOOKUP(#REF!,base_article,19,FALSE)</f>
        <v>#REF!</v>
      </c>
      <c r="H16" s="244" t="e">
        <f>VLOOKUP(#REF!,base_article,18,FALSE)</f>
        <v>#REF!</v>
      </c>
      <c r="I16" s="244" t="e">
        <f>VLOOKUP(#REF!,base_article,17,FALSE)</f>
        <v>#REF!</v>
      </c>
      <c r="J16" s="244" t="e">
        <f>VLOOKUP(#REF!,base_article,20,FALSE)</f>
        <v>#REF!</v>
      </c>
      <c r="K16" s="244">
        <f>IFERROR(IF(#REF!*#REF!*#REF!/1000000=0,"0,01",#REF!*#REF!*#REF!/1000000),0)</f>
        <v>0</v>
      </c>
      <c r="L16" s="244" t="e">
        <f>#REF!*#REF!</f>
        <v>#REF!</v>
      </c>
      <c r="M16" s="241" t="s">
        <v>41</v>
      </c>
      <c r="N16" s="245" t="e">
        <f t="shared" si="0"/>
        <v>#DIV/0!</v>
      </c>
      <c r="O16" s="246" t="e">
        <f>O15+#REF!</f>
        <v>#REF!</v>
      </c>
      <c r="P16" s="247" t="e">
        <f>#REF!/$AE$4</f>
        <v>#REF!</v>
      </c>
      <c r="Q16" s="247" t="e">
        <f>Q15+#REF!</f>
        <v>#REF!</v>
      </c>
      <c r="R16" s="232" t="s">
        <v>85</v>
      </c>
      <c r="S16" s="248"/>
      <c r="T16" s="232" t="e">
        <f>VLOOKUP(#REF!,#REF!,2,FALSE)</f>
        <v>#REF!</v>
      </c>
      <c r="U16" s="232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6" s="232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6" t="e" cm="1">
        <f t="array" ref="W16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16" s="249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6" s="250" t="e">
        <f>IF(#REF!=#REF!,"Non","Oui")</f>
        <v>#REF!</v>
      </c>
    </row>
    <row r="17" spans="1:25" x14ac:dyDescent="0.2">
      <c r="A17" s="233" t="s">
        <v>44</v>
      </c>
      <c r="B17" s="251">
        <v>415790</v>
      </c>
      <c r="C17" s="252" t="s">
        <v>14</v>
      </c>
      <c r="D17" s="253">
        <f>IFERROR(VLOOKUP(#REF!,#REF!,2,FALSE),0)</f>
        <v>0</v>
      </c>
      <c r="E17" s="253">
        <f>ROUND(IFERROR(VLOOKUP(#REF!,#REF!,3,FALSE)/#REF!,0),2)</f>
        <v>0</v>
      </c>
      <c r="F17" s="254" t="e">
        <f>ROUND(#REF!/#REF!,2)</f>
        <v>#REF!</v>
      </c>
      <c r="G17" s="254" t="e">
        <f>VLOOKUP(#REF!,base_article,19,FALSE)</f>
        <v>#REF!</v>
      </c>
      <c r="H17" s="254" t="e">
        <f>VLOOKUP(#REF!,base_article,18,FALSE)</f>
        <v>#REF!</v>
      </c>
      <c r="I17" s="254" t="e">
        <f>VLOOKUP(#REF!,base_article,17,FALSE)</f>
        <v>#REF!</v>
      </c>
      <c r="J17" s="254" t="e">
        <f>VLOOKUP(#REF!,base_article,20,FALSE)</f>
        <v>#REF!</v>
      </c>
      <c r="K17" s="254">
        <f>IFERROR(IF(#REF!*#REF!*#REF!/1000000=0,"0,01",#REF!*#REF!*#REF!/1000000),0)</f>
        <v>0</v>
      </c>
      <c r="L17" s="254" t="e">
        <f>#REF!*#REF!</f>
        <v>#REF!</v>
      </c>
      <c r="M17" s="251" t="s">
        <v>41</v>
      </c>
      <c r="N17" s="255" t="e">
        <f t="shared" si="0"/>
        <v>#DIV/0!</v>
      </c>
      <c r="O17" s="256" t="e">
        <f>O16+#REF!</f>
        <v>#REF!</v>
      </c>
      <c r="P17" s="257" t="e">
        <f>#REF!/$AE$4</f>
        <v>#REF!</v>
      </c>
      <c r="Q17" s="257" t="e">
        <f>Q16+#REF!</f>
        <v>#REF!</v>
      </c>
      <c r="R17" s="234" t="s">
        <v>89</v>
      </c>
      <c r="S17" s="248"/>
      <c r="T17" s="234" t="e">
        <f>VLOOKUP(#REF!,#REF!,2,FALSE)</f>
        <v>#REF!</v>
      </c>
      <c r="U17" s="234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7" s="234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7" t="e" cm="1">
        <f t="array" ref="W17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17" s="258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7" s="259" t="e">
        <f>IF(#REF!=#REF!,"Non","Oui")</f>
        <v>#REF!</v>
      </c>
    </row>
    <row r="18" spans="1:25" x14ac:dyDescent="0.2">
      <c r="A18" s="231" t="s">
        <v>46</v>
      </c>
      <c r="B18" s="241">
        <v>700266</v>
      </c>
      <c r="C18" s="242" t="s">
        <v>33</v>
      </c>
      <c r="D18" s="243">
        <f>IFERROR(VLOOKUP(#REF!,#REF!,2,FALSE),0)</f>
        <v>0</v>
      </c>
      <c r="E18" s="243">
        <f>ROUND(IFERROR(VLOOKUP(#REF!,#REF!,3,FALSE)/#REF!,0),2)</f>
        <v>0</v>
      </c>
      <c r="F18" s="244" t="e">
        <f>ROUND(#REF!/#REF!,2)</f>
        <v>#REF!</v>
      </c>
      <c r="G18" s="244" t="e">
        <f>VLOOKUP(#REF!,base_article,19,FALSE)</f>
        <v>#REF!</v>
      </c>
      <c r="H18" s="244" t="e">
        <f>VLOOKUP(#REF!,base_article,18,FALSE)</f>
        <v>#REF!</v>
      </c>
      <c r="I18" s="244" t="e">
        <f>VLOOKUP(#REF!,base_article,17,FALSE)</f>
        <v>#REF!</v>
      </c>
      <c r="J18" s="244" t="e">
        <f>VLOOKUP(#REF!,base_article,20,FALSE)</f>
        <v>#REF!</v>
      </c>
      <c r="K18" s="244">
        <f>IFERROR(IF(#REF!*#REF!*#REF!/1000000=0,"0,01",#REF!*#REF!*#REF!/1000000),0)</f>
        <v>0</v>
      </c>
      <c r="L18" s="244" t="e">
        <f>#REF!*#REF!</f>
        <v>#REF!</v>
      </c>
      <c r="M18" s="241" t="s">
        <v>41</v>
      </c>
      <c r="N18" s="245" t="e">
        <f t="shared" si="0"/>
        <v>#DIV/0!</v>
      </c>
      <c r="O18" s="246" t="e">
        <f>O17+#REF!</f>
        <v>#REF!</v>
      </c>
      <c r="P18" s="247" t="e">
        <f>#REF!/$AE$4</f>
        <v>#REF!</v>
      </c>
      <c r="Q18" s="247" t="e">
        <f>Q17+#REF!</f>
        <v>#REF!</v>
      </c>
      <c r="R18" s="232" t="s">
        <v>88</v>
      </c>
      <c r="S18" s="248"/>
      <c r="T18" s="232" t="e">
        <f>VLOOKUP(#REF!,#REF!,2,FALSE)</f>
        <v>#REF!</v>
      </c>
      <c r="U18" s="232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8" s="232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8" t="e" cm="1">
        <f t="array" ref="W18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18" s="249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8" s="250" t="e">
        <f>IF(#REF!=#REF!,"Non","Oui")</f>
        <v>#REF!</v>
      </c>
    </row>
    <row r="19" spans="1:25" x14ac:dyDescent="0.2">
      <c r="A19" s="233" t="s">
        <v>60</v>
      </c>
      <c r="B19" s="251">
        <v>489298</v>
      </c>
      <c r="C19" s="252" t="s">
        <v>22</v>
      </c>
      <c r="D19" s="253">
        <f>IFERROR(VLOOKUP(#REF!,#REF!,2,FALSE),0)</f>
        <v>0</v>
      </c>
      <c r="E19" s="253">
        <f>ROUND(IFERROR(VLOOKUP(#REF!,#REF!,3,FALSE)/#REF!,0),2)</f>
        <v>0</v>
      </c>
      <c r="F19" s="254" t="e">
        <f>ROUND(#REF!/#REF!,2)</f>
        <v>#REF!</v>
      </c>
      <c r="G19" s="254" t="e">
        <f>VLOOKUP(#REF!,base_article,19,FALSE)</f>
        <v>#REF!</v>
      </c>
      <c r="H19" s="254" t="e">
        <f>VLOOKUP(#REF!,base_article,18,FALSE)</f>
        <v>#REF!</v>
      </c>
      <c r="I19" s="254" t="e">
        <f>VLOOKUP(#REF!,base_article,17,FALSE)</f>
        <v>#REF!</v>
      </c>
      <c r="J19" s="254" t="e">
        <f>VLOOKUP(#REF!,base_article,20,FALSE)</f>
        <v>#REF!</v>
      </c>
      <c r="K19" s="254">
        <f>IFERROR(IF(#REF!*#REF!*#REF!/1000000=0,"0,01",#REF!*#REF!*#REF!/1000000),0)</f>
        <v>0</v>
      </c>
      <c r="L19" s="254" t="e">
        <f>#REF!*#REF!</f>
        <v>#REF!</v>
      </c>
      <c r="M19" s="251" t="s">
        <v>41</v>
      </c>
      <c r="N19" s="255" t="e">
        <f t="shared" si="0"/>
        <v>#DIV/0!</v>
      </c>
      <c r="O19" s="256" t="e">
        <f>O18+#REF!</f>
        <v>#REF!</v>
      </c>
      <c r="P19" s="257" t="e">
        <f>#REF!/$AE$4</f>
        <v>#REF!</v>
      </c>
      <c r="Q19" s="257" t="e">
        <f>Q18+#REF!</f>
        <v>#REF!</v>
      </c>
      <c r="R19" s="234" t="s">
        <v>87</v>
      </c>
      <c r="S19" s="248"/>
      <c r="T19" s="234" t="e">
        <f>VLOOKUP(#REF!,#REF!,2,FALSE)</f>
        <v>#REF!</v>
      </c>
      <c r="U19" s="234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9" s="234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9" t="e" cm="1">
        <f t="array" ref="W19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19" s="258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9" s="259" t="e">
        <f>IF(#REF!=#REF!,"Non","Oui")</f>
        <v>#REF!</v>
      </c>
    </row>
    <row r="20" spans="1:25" x14ac:dyDescent="0.2">
      <c r="A20" s="231" t="s">
        <v>115</v>
      </c>
      <c r="B20" s="241">
        <v>303992</v>
      </c>
      <c r="C20" s="242" t="s">
        <v>8</v>
      </c>
      <c r="D20" s="243">
        <f>IFERROR(VLOOKUP(#REF!,#REF!,2,FALSE),0)</f>
        <v>0</v>
      </c>
      <c r="E20" s="243">
        <f>ROUND(IFERROR(VLOOKUP(#REF!,#REF!,3,FALSE)/#REF!,0),2)</f>
        <v>0</v>
      </c>
      <c r="F20" s="244" t="e">
        <f>ROUND(#REF!/#REF!,2)</f>
        <v>#REF!</v>
      </c>
      <c r="G20" s="244" t="e">
        <f>VLOOKUP(#REF!,base_article,19,FALSE)</f>
        <v>#REF!</v>
      </c>
      <c r="H20" s="244" t="e">
        <f>VLOOKUP(#REF!,base_article,18,FALSE)</f>
        <v>#REF!</v>
      </c>
      <c r="I20" s="244" t="e">
        <f>VLOOKUP(#REF!,base_article,17,FALSE)</f>
        <v>#REF!</v>
      </c>
      <c r="J20" s="244" t="e">
        <f>VLOOKUP(#REF!,base_article,20,FALSE)</f>
        <v>#REF!</v>
      </c>
      <c r="K20" s="244">
        <f>IFERROR(IF(#REF!*#REF!*#REF!/1000000=0,"0,01",#REF!*#REF!*#REF!/1000000),0)</f>
        <v>0</v>
      </c>
      <c r="L20" s="244" t="e">
        <f>#REF!*#REF!</f>
        <v>#REF!</v>
      </c>
      <c r="M20" s="241" t="s">
        <v>41</v>
      </c>
      <c r="N20" s="245" t="e">
        <f t="shared" si="0"/>
        <v>#DIV/0!</v>
      </c>
      <c r="O20" s="246" t="e">
        <f>O19+#REF!</f>
        <v>#REF!</v>
      </c>
      <c r="P20" s="247" t="e">
        <f>#REF!/$AE$4</f>
        <v>#REF!</v>
      </c>
      <c r="Q20" s="247" t="e">
        <f>Q19+#REF!</f>
        <v>#REF!</v>
      </c>
      <c r="R20" s="232" t="s">
        <v>86</v>
      </c>
      <c r="S20" s="248"/>
      <c r="T20" s="232" t="e">
        <f>VLOOKUP(#REF!,#REF!,2,FALSE)</f>
        <v>#REF!</v>
      </c>
      <c r="U20" s="232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0" s="232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0" t="e" cm="1">
        <f t="array" ref="W20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20" s="249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0" s="250" t="e">
        <f>IF(#REF!=#REF!,"Non","Oui")</f>
        <v>#REF!</v>
      </c>
    </row>
    <row r="21" spans="1:25" x14ac:dyDescent="0.2">
      <c r="A21" s="233" t="s">
        <v>116</v>
      </c>
      <c r="B21" s="251">
        <v>489301</v>
      </c>
      <c r="C21" s="252" t="s">
        <v>23</v>
      </c>
      <c r="D21" s="253">
        <f>IFERROR(VLOOKUP(#REF!,#REF!,2,FALSE),0)</f>
        <v>0</v>
      </c>
      <c r="E21" s="253">
        <f>ROUND(IFERROR(VLOOKUP(#REF!,#REF!,3,FALSE)/#REF!,0),2)</f>
        <v>0</v>
      </c>
      <c r="F21" s="254" t="e">
        <f>ROUND(#REF!/#REF!,2)</f>
        <v>#REF!</v>
      </c>
      <c r="G21" s="254" t="e">
        <f>VLOOKUP(#REF!,base_article,19,FALSE)</f>
        <v>#REF!</v>
      </c>
      <c r="H21" s="254" t="e">
        <f>VLOOKUP(#REF!,base_article,18,FALSE)</f>
        <v>#REF!</v>
      </c>
      <c r="I21" s="254" t="e">
        <f>VLOOKUP(#REF!,base_article,17,FALSE)</f>
        <v>#REF!</v>
      </c>
      <c r="J21" s="254" t="e">
        <f>VLOOKUP(#REF!,base_article,20,FALSE)</f>
        <v>#REF!</v>
      </c>
      <c r="K21" s="254">
        <f>IFERROR(IF(#REF!*#REF!*#REF!/1000000=0,"0,01",#REF!*#REF!*#REF!/1000000),0)</f>
        <v>0</v>
      </c>
      <c r="L21" s="254" t="e">
        <f>#REF!*#REF!</f>
        <v>#REF!</v>
      </c>
      <c r="M21" s="251" t="s">
        <v>41</v>
      </c>
      <c r="N21" s="255" t="e">
        <f t="shared" si="0"/>
        <v>#DIV/0!</v>
      </c>
      <c r="O21" s="256" t="e">
        <f>O20+#REF!</f>
        <v>#REF!</v>
      </c>
      <c r="P21" s="257" t="e">
        <f>#REF!/$AE$4</f>
        <v>#REF!</v>
      </c>
      <c r="Q21" s="257" t="e">
        <f>Q20+#REF!</f>
        <v>#REF!</v>
      </c>
      <c r="R21" s="234" t="s">
        <v>85</v>
      </c>
      <c r="S21" s="248"/>
      <c r="T21" s="234" t="e">
        <f>VLOOKUP(#REF!,#REF!,2,FALSE)</f>
        <v>#REF!</v>
      </c>
      <c r="U21" s="234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1" s="234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1" t="e" cm="1">
        <f t="array" ref="W2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21" s="258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1" s="259" t="e">
        <f>IF(#REF!=#REF!,"Non","Oui")</f>
        <v>#REF!</v>
      </c>
    </row>
    <row r="22" spans="1:25" x14ac:dyDescent="0.2">
      <c r="A22" s="231" t="s">
        <v>65</v>
      </c>
      <c r="B22" s="241">
        <v>386693</v>
      </c>
      <c r="C22" s="242" t="s">
        <v>12</v>
      </c>
      <c r="D22" s="243">
        <f>IFERROR(VLOOKUP(#REF!,#REF!,2,FALSE),0)</f>
        <v>0</v>
      </c>
      <c r="E22" s="243">
        <f>ROUND(IFERROR(VLOOKUP(#REF!,#REF!,3,FALSE)/#REF!,0),2)</f>
        <v>0</v>
      </c>
      <c r="F22" s="244" t="e">
        <f>ROUND(#REF!/#REF!,2)</f>
        <v>#REF!</v>
      </c>
      <c r="G22" s="244" t="e">
        <f>VLOOKUP(#REF!,base_article,19,FALSE)</f>
        <v>#REF!</v>
      </c>
      <c r="H22" s="244" t="e">
        <f>VLOOKUP(#REF!,base_article,18,FALSE)</f>
        <v>#REF!</v>
      </c>
      <c r="I22" s="244" t="e">
        <f>VLOOKUP(#REF!,base_article,17,FALSE)</f>
        <v>#REF!</v>
      </c>
      <c r="J22" s="244" t="e">
        <f>VLOOKUP(#REF!,base_article,20,FALSE)</f>
        <v>#REF!</v>
      </c>
      <c r="K22" s="244">
        <f>IFERROR(IF(#REF!*#REF!*#REF!/1000000=0,"0,01",#REF!*#REF!*#REF!/1000000),0)</f>
        <v>0</v>
      </c>
      <c r="L22" s="244" t="e">
        <f>#REF!*#REF!</f>
        <v>#REF!</v>
      </c>
      <c r="M22" s="241" t="s">
        <v>41</v>
      </c>
      <c r="N22" s="245" t="e">
        <f t="shared" si="0"/>
        <v>#DIV/0!</v>
      </c>
      <c r="O22" s="246" t="e">
        <f>O21+#REF!</f>
        <v>#REF!</v>
      </c>
      <c r="P22" s="247" t="e">
        <f>#REF!/$AE$4</f>
        <v>#REF!</v>
      </c>
      <c r="Q22" s="247" t="e">
        <f>Q21+#REF!</f>
        <v>#REF!</v>
      </c>
      <c r="R22" s="232" t="s">
        <v>89</v>
      </c>
      <c r="S22" s="248"/>
      <c r="T22" s="232" t="e">
        <f>VLOOKUP(#REF!,#REF!,2,FALSE)</f>
        <v>#REF!</v>
      </c>
      <c r="U22" s="232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2" s="232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2" t="e" cm="1">
        <f t="array" ref="W22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22" s="249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2" s="250" t="e">
        <f>IF(#REF!=#REF!,"Non","Oui")</f>
        <v>#REF!</v>
      </c>
    </row>
    <row r="23" spans="1:25" x14ac:dyDescent="0.2">
      <c r="A23" s="233" t="s">
        <v>61</v>
      </c>
      <c r="B23" s="251">
        <v>318604</v>
      </c>
      <c r="C23" s="252" t="s">
        <v>10</v>
      </c>
      <c r="D23" s="253">
        <f>IFERROR(VLOOKUP(#REF!,#REF!,2,FALSE),0)</f>
        <v>0</v>
      </c>
      <c r="E23" s="253">
        <f>ROUND(IFERROR(VLOOKUP(#REF!,#REF!,3,FALSE)/#REF!,0),2)</f>
        <v>0</v>
      </c>
      <c r="F23" s="254" t="e">
        <f>ROUND(#REF!/#REF!,2)</f>
        <v>#REF!</v>
      </c>
      <c r="G23" s="254" t="e">
        <f>VLOOKUP(#REF!,base_article,19,FALSE)</f>
        <v>#REF!</v>
      </c>
      <c r="H23" s="254" t="e">
        <f>VLOOKUP(#REF!,base_article,18,FALSE)</f>
        <v>#REF!</v>
      </c>
      <c r="I23" s="254" t="e">
        <f>VLOOKUP(#REF!,base_article,17,FALSE)</f>
        <v>#REF!</v>
      </c>
      <c r="J23" s="254" t="e">
        <f>VLOOKUP(#REF!,base_article,20,FALSE)</f>
        <v>#REF!</v>
      </c>
      <c r="K23" s="254">
        <f>IFERROR(IF(#REF!*#REF!*#REF!/1000000=0,"0,01",#REF!*#REF!*#REF!/1000000),0)</f>
        <v>0</v>
      </c>
      <c r="L23" s="254" t="e">
        <f>#REF!*#REF!</f>
        <v>#REF!</v>
      </c>
      <c r="M23" s="251" t="s">
        <v>41</v>
      </c>
      <c r="N23" s="255" t="e">
        <f t="shared" si="0"/>
        <v>#DIV/0!</v>
      </c>
      <c r="O23" s="256" t="e">
        <f>O22+#REF!</f>
        <v>#REF!</v>
      </c>
      <c r="P23" s="257" t="e">
        <f>#REF!/$AE$4</f>
        <v>#REF!</v>
      </c>
      <c r="Q23" s="257" t="e">
        <f>Q22+#REF!</f>
        <v>#REF!</v>
      </c>
      <c r="R23" s="234" t="s">
        <v>88</v>
      </c>
      <c r="S23" s="248"/>
      <c r="T23" s="234" t="e">
        <f>VLOOKUP(#REF!,#REF!,2,FALSE)</f>
        <v>#REF!</v>
      </c>
      <c r="U23" s="234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3" s="234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3" t="e" cm="1">
        <f t="array" ref="W23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23" s="258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3" s="259" t="e">
        <f>IF(#REF!=#REF!,"Non","Oui")</f>
        <v>#REF!</v>
      </c>
    </row>
    <row r="24" spans="1:25" x14ac:dyDescent="0.2">
      <c r="A24" s="231" t="s">
        <v>62</v>
      </c>
      <c r="B24" s="241">
        <v>504203</v>
      </c>
      <c r="C24" s="242" t="s">
        <v>25</v>
      </c>
      <c r="D24" s="243">
        <f>IFERROR(VLOOKUP(#REF!,#REF!,2,FALSE),0)</f>
        <v>0</v>
      </c>
      <c r="E24" s="243">
        <f>ROUND(IFERROR(VLOOKUP(#REF!,#REF!,3,FALSE)/#REF!,0),2)</f>
        <v>0</v>
      </c>
      <c r="F24" s="244" t="e">
        <f>ROUND(#REF!/#REF!,2)</f>
        <v>#REF!</v>
      </c>
      <c r="G24" s="244" t="e">
        <f>VLOOKUP(#REF!,base_article,19,FALSE)</f>
        <v>#REF!</v>
      </c>
      <c r="H24" s="244" t="e">
        <f>VLOOKUP(#REF!,base_article,18,FALSE)</f>
        <v>#REF!</v>
      </c>
      <c r="I24" s="244" t="e">
        <f>VLOOKUP(#REF!,base_article,17,FALSE)</f>
        <v>#REF!</v>
      </c>
      <c r="J24" s="244" t="e">
        <f>VLOOKUP(#REF!,base_article,20,FALSE)</f>
        <v>#REF!</v>
      </c>
      <c r="K24" s="244">
        <f>IFERROR(IF(#REF!*#REF!*#REF!/1000000=0,"0,01",#REF!*#REF!*#REF!/1000000),0)</f>
        <v>0</v>
      </c>
      <c r="L24" s="244" t="e">
        <f>#REF!*#REF!</f>
        <v>#REF!</v>
      </c>
      <c r="M24" s="241" t="s">
        <v>42</v>
      </c>
      <c r="N24" s="245" t="e">
        <f t="shared" si="0"/>
        <v>#DIV/0!</v>
      </c>
      <c r="O24" s="246" t="e">
        <f>O23+#REF!</f>
        <v>#REF!</v>
      </c>
      <c r="P24" s="247" t="e">
        <f>#REF!/$AE$4</f>
        <v>#REF!</v>
      </c>
      <c r="Q24" s="247" t="e">
        <f>Q23+#REF!</f>
        <v>#REF!</v>
      </c>
      <c r="R24" s="232" t="s">
        <v>87</v>
      </c>
      <c r="S24" s="248"/>
      <c r="T24" s="232" t="e">
        <f>VLOOKUP(#REF!,#REF!,2,FALSE)</f>
        <v>#REF!</v>
      </c>
      <c r="U24" s="232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4" s="232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4" t="e" cm="1">
        <f t="array" ref="W24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24" s="249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4" s="250" t="e">
        <f>IF(#REF!=#REF!,"Non","Oui")</f>
        <v>#REF!</v>
      </c>
    </row>
    <row r="25" spans="1:25" x14ac:dyDescent="0.2">
      <c r="A25" s="233" t="s">
        <v>63</v>
      </c>
      <c r="B25" s="251">
        <v>635545</v>
      </c>
      <c r="C25" s="252" t="s">
        <v>31</v>
      </c>
      <c r="D25" s="253">
        <f>IFERROR(VLOOKUP(#REF!,#REF!,2,FALSE),0)</f>
        <v>0</v>
      </c>
      <c r="E25" s="253">
        <f>ROUND(IFERROR(VLOOKUP(#REF!,#REF!,3,FALSE)/#REF!,0),2)</f>
        <v>0</v>
      </c>
      <c r="F25" s="254" t="e">
        <f>ROUND(#REF!/#REF!,2)</f>
        <v>#REF!</v>
      </c>
      <c r="G25" s="254" t="e">
        <f>VLOOKUP(#REF!,base_article,19,FALSE)</f>
        <v>#REF!</v>
      </c>
      <c r="H25" s="254" t="e">
        <f>VLOOKUP(#REF!,base_article,18,FALSE)</f>
        <v>#REF!</v>
      </c>
      <c r="I25" s="254" t="e">
        <f>VLOOKUP(#REF!,base_article,17,FALSE)</f>
        <v>#REF!</v>
      </c>
      <c r="J25" s="254" t="e">
        <f>VLOOKUP(#REF!,base_article,20,FALSE)</f>
        <v>#REF!</v>
      </c>
      <c r="K25" s="254">
        <f>IFERROR(IF(#REF!*#REF!*#REF!/1000000=0,"0,01",#REF!*#REF!*#REF!/1000000),0)</f>
        <v>0</v>
      </c>
      <c r="L25" s="254" t="e">
        <f>#REF!*#REF!</f>
        <v>#REF!</v>
      </c>
      <c r="M25" s="251" t="s">
        <v>41</v>
      </c>
      <c r="N25" s="255" t="e">
        <f t="shared" si="0"/>
        <v>#DIV/0!</v>
      </c>
      <c r="O25" s="256" t="e">
        <f>O24+#REF!</f>
        <v>#REF!</v>
      </c>
      <c r="P25" s="257" t="e">
        <f>#REF!/$AE$4</f>
        <v>#REF!</v>
      </c>
      <c r="Q25" s="257" t="e">
        <f>Q24+#REF!</f>
        <v>#REF!</v>
      </c>
      <c r="R25" s="234" t="s">
        <v>86</v>
      </c>
      <c r="S25" s="248"/>
      <c r="T25" s="234" t="e">
        <f>VLOOKUP(#REF!,#REF!,2,FALSE)</f>
        <v>#REF!</v>
      </c>
      <c r="U25" s="234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5" s="234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5" t="e" cm="1">
        <f t="array" ref="W25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25" s="258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5" s="259" t="e">
        <f>IF(#REF!=#REF!,"Non","Oui")</f>
        <v>#REF!</v>
      </c>
    </row>
    <row r="26" spans="1:25" x14ac:dyDescent="0.2">
      <c r="A26" s="231" t="s">
        <v>117</v>
      </c>
      <c r="B26" s="241">
        <v>486116</v>
      </c>
      <c r="C26" s="242" t="s">
        <v>21</v>
      </c>
      <c r="D26" s="243">
        <f>IFERROR(VLOOKUP(#REF!,#REF!,2,FALSE),0)</f>
        <v>0</v>
      </c>
      <c r="E26" s="243">
        <f>ROUND(IFERROR(VLOOKUP(#REF!,#REF!,3,FALSE)/#REF!,0),2)</f>
        <v>0</v>
      </c>
      <c r="F26" s="244" t="e">
        <f>ROUND(#REF!/#REF!,2)</f>
        <v>#REF!</v>
      </c>
      <c r="G26" s="244" t="e">
        <f>VLOOKUP(#REF!,base_article,19,FALSE)</f>
        <v>#REF!</v>
      </c>
      <c r="H26" s="244" t="e">
        <f>VLOOKUP(#REF!,base_article,18,FALSE)</f>
        <v>#REF!</v>
      </c>
      <c r="I26" s="244" t="e">
        <f>VLOOKUP(#REF!,base_article,17,FALSE)</f>
        <v>#REF!</v>
      </c>
      <c r="J26" s="244" t="e">
        <f>VLOOKUP(#REF!,base_article,20,FALSE)</f>
        <v>#REF!</v>
      </c>
      <c r="K26" s="244">
        <f>IFERROR(IF(#REF!*#REF!*#REF!/1000000=0,"0,01",#REF!*#REF!*#REF!/1000000),0)</f>
        <v>0</v>
      </c>
      <c r="L26" s="244" t="e">
        <f>#REF!*#REF!</f>
        <v>#REF!</v>
      </c>
      <c r="M26" s="241" t="s">
        <v>41</v>
      </c>
      <c r="N26" s="245" t="e">
        <f t="shared" si="0"/>
        <v>#DIV/0!</v>
      </c>
      <c r="O26" s="246" t="e">
        <f>O25+#REF!</f>
        <v>#REF!</v>
      </c>
      <c r="P26" s="247" t="e">
        <f>#REF!/$AE$4</f>
        <v>#REF!</v>
      </c>
      <c r="Q26" s="247" t="e">
        <f>Q25+#REF!</f>
        <v>#REF!</v>
      </c>
      <c r="R26" s="232" t="s">
        <v>85</v>
      </c>
      <c r="S26" s="248"/>
      <c r="T26" s="232" t="e">
        <f>VLOOKUP(#REF!,#REF!,2,FALSE)</f>
        <v>#REF!</v>
      </c>
      <c r="U26" s="232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6" s="232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6" t="e" cm="1">
        <f t="array" ref="W26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26" s="249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6" s="250" t="e">
        <f>IF(#REF!=#REF!,"Non","Oui")</f>
        <v>#REF!</v>
      </c>
    </row>
    <row r="27" spans="1:25" x14ac:dyDescent="0.2">
      <c r="A27" s="233" t="s">
        <v>118</v>
      </c>
      <c r="B27" s="251">
        <v>431990</v>
      </c>
      <c r="C27" s="252" t="s">
        <v>15</v>
      </c>
      <c r="D27" s="253">
        <f>IFERROR(VLOOKUP(#REF!,#REF!,2,FALSE),0)</f>
        <v>0</v>
      </c>
      <c r="E27" s="253">
        <f>ROUND(IFERROR(VLOOKUP(#REF!,#REF!,3,FALSE)/#REF!,0),2)</f>
        <v>0</v>
      </c>
      <c r="F27" s="254" t="e">
        <f>ROUND(#REF!/#REF!,2)</f>
        <v>#REF!</v>
      </c>
      <c r="G27" s="254" t="e">
        <f>VLOOKUP(#REF!,base_article,19,FALSE)</f>
        <v>#REF!</v>
      </c>
      <c r="H27" s="254" t="e">
        <f>VLOOKUP(#REF!,base_article,18,FALSE)</f>
        <v>#REF!</v>
      </c>
      <c r="I27" s="254" t="e">
        <f>VLOOKUP(#REF!,base_article,17,FALSE)</f>
        <v>#REF!</v>
      </c>
      <c r="J27" s="254" t="e">
        <f>VLOOKUP(#REF!,base_article,20,FALSE)</f>
        <v>#REF!</v>
      </c>
      <c r="K27" s="254">
        <f>IFERROR(IF(#REF!*#REF!*#REF!/1000000=0,"0,01",#REF!*#REF!*#REF!/1000000),0)</f>
        <v>0</v>
      </c>
      <c r="L27" s="254" t="e">
        <f>#REF!*#REF!</f>
        <v>#REF!</v>
      </c>
      <c r="M27" s="251" t="s">
        <v>42</v>
      </c>
      <c r="N27" s="255" t="e">
        <f t="shared" si="0"/>
        <v>#DIV/0!</v>
      </c>
      <c r="O27" s="256" t="e">
        <f>O26+#REF!</f>
        <v>#REF!</v>
      </c>
      <c r="P27" s="257" t="e">
        <f>#REF!/$AE$4</f>
        <v>#REF!</v>
      </c>
      <c r="Q27" s="257" t="e">
        <f>Q26+#REF!</f>
        <v>#REF!</v>
      </c>
      <c r="R27" s="234" t="s">
        <v>89</v>
      </c>
      <c r="S27" s="248"/>
      <c r="T27" s="234" t="e">
        <f>VLOOKUP(#REF!,#REF!,2,FALSE)</f>
        <v>#REF!</v>
      </c>
      <c r="U27" s="234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7" s="234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7" t="e" cm="1">
        <f t="array" ref="W27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27" s="258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7" s="259" t="e">
        <f>IF(#REF!=#REF!,"Non","Oui")</f>
        <v>#REF!</v>
      </c>
    </row>
    <row r="28" spans="1:25" x14ac:dyDescent="0.2">
      <c r="A28" s="231" t="s">
        <v>119</v>
      </c>
      <c r="B28" s="241" t="s">
        <v>1</v>
      </c>
      <c r="C28" s="242" t="s">
        <v>9</v>
      </c>
      <c r="D28" s="243">
        <f>IFERROR(VLOOKUP(#REF!,#REF!,2,FALSE),0)</f>
        <v>0</v>
      </c>
      <c r="E28" s="243">
        <f>ROUND(IFERROR(VLOOKUP(#REF!,#REF!,3,FALSE)/#REF!,0),2)</f>
        <v>0</v>
      </c>
      <c r="F28" s="244" t="e">
        <f>ROUND(#REF!/#REF!,2)</f>
        <v>#REF!</v>
      </c>
      <c r="G28" s="244" t="e">
        <f>VLOOKUP(#REF!,base_article,19,FALSE)</f>
        <v>#REF!</v>
      </c>
      <c r="H28" s="244" t="e">
        <f>VLOOKUP(#REF!,base_article,18,FALSE)</f>
        <v>#REF!</v>
      </c>
      <c r="I28" s="244" t="e">
        <f>VLOOKUP(#REF!,base_article,17,FALSE)</f>
        <v>#REF!</v>
      </c>
      <c r="J28" s="244" t="e">
        <f>VLOOKUP(#REF!,base_article,20,FALSE)</f>
        <v>#REF!</v>
      </c>
      <c r="K28" s="244">
        <f>IFERROR(IF(#REF!*#REF!*#REF!/1000000=0,"0,01",#REF!*#REF!*#REF!/1000000),0)</f>
        <v>0</v>
      </c>
      <c r="L28" s="244" t="e">
        <f>#REF!*#REF!</f>
        <v>#REF!</v>
      </c>
      <c r="M28" s="241" t="s">
        <v>41</v>
      </c>
      <c r="N28" s="245" t="e">
        <f t="shared" si="0"/>
        <v>#DIV/0!</v>
      </c>
      <c r="O28" s="246" t="e">
        <f>O27+#REF!</f>
        <v>#REF!</v>
      </c>
      <c r="P28" s="247" t="e">
        <f>#REF!/$AE$4</f>
        <v>#REF!</v>
      </c>
      <c r="Q28" s="247" t="e">
        <f>Q27+#REF!</f>
        <v>#REF!</v>
      </c>
      <c r="R28" s="232" t="s">
        <v>88</v>
      </c>
      <c r="S28" s="248"/>
      <c r="T28" s="232" t="e">
        <f>VLOOKUP(#REF!,#REF!,2,FALSE)</f>
        <v>#REF!</v>
      </c>
      <c r="U28" s="232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8" s="232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8" t="e" cm="1">
        <f t="array" ref="W28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28" s="249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8" s="250" t="e">
        <f>IF(#REF!=#REF!,"Non","Oui")</f>
        <v>#REF!</v>
      </c>
    </row>
    <row r="29" spans="1:25" x14ac:dyDescent="0.2">
      <c r="A29" s="233" t="s">
        <v>120</v>
      </c>
      <c r="B29" s="251">
        <v>455792</v>
      </c>
      <c r="C29" s="252" t="s">
        <v>17</v>
      </c>
      <c r="D29" s="253">
        <f>IFERROR(VLOOKUP(#REF!,#REF!,2,FALSE),0)</f>
        <v>0</v>
      </c>
      <c r="E29" s="253">
        <f>ROUND(IFERROR(VLOOKUP(#REF!,#REF!,3,FALSE)/#REF!,0),2)</f>
        <v>0</v>
      </c>
      <c r="F29" s="254" t="e">
        <f>ROUND(#REF!/#REF!,2)</f>
        <v>#REF!</v>
      </c>
      <c r="G29" s="254" t="e">
        <f>VLOOKUP(#REF!,base_article,19,FALSE)</f>
        <v>#REF!</v>
      </c>
      <c r="H29" s="254" t="e">
        <f>VLOOKUP(#REF!,base_article,18,FALSE)</f>
        <v>#REF!</v>
      </c>
      <c r="I29" s="254" t="e">
        <f>VLOOKUP(#REF!,base_article,17,FALSE)</f>
        <v>#REF!</v>
      </c>
      <c r="J29" s="254" t="e">
        <f>VLOOKUP(#REF!,base_article,20,FALSE)</f>
        <v>#REF!</v>
      </c>
      <c r="K29" s="254">
        <f>IFERROR(IF(#REF!*#REF!*#REF!/1000000=0,"0,01",#REF!*#REF!*#REF!/1000000),0)</f>
        <v>0</v>
      </c>
      <c r="L29" s="254" t="e">
        <f>#REF!*#REF!</f>
        <v>#REF!</v>
      </c>
      <c r="M29" s="251" t="s">
        <v>41</v>
      </c>
      <c r="N29" s="255" t="e">
        <f t="shared" si="0"/>
        <v>#DIV/0!</v>
      </c>
      <c r="O29" s="256" t="e">
        <f>O28+#REF!</f>
        <v>#REF!</v>
      </c>
      <c r="P29" s="257" t="e">
        <f>#REF!/$AE$4</f>
        <v>#REF!</v>
      </c>
      <c r="Q29" s="257" t="e">
        <f>Q28+#REF!</f>
        <v>#REF!</v>
      </c>
      <c r="R29" s="234" t="s">
        <v>87</v>
      </c>
      <c r="S29" s="248"/>
      <c r="T29" s="234" t="e">
        <f>VLOOKUP(#REF!,#REF!,2,FALSE)</f>
        <v>#REF!</v>
      </c>
      <c r="U29" s="234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9" s="234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9" t="e" cm="1">
        <f t="array" ref="W29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29" s="258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9" s="259" t="e">
        <f>IF(#REF!=#REF!,"Non","Oui")</f>
        <v>#REF!</v>
      </c>
    </row>
    <row r="30" spans="1:25" x14ac:dyDescent="0.2">
      <c r="A30" s="231" t="s">
        <v>121</v>
      </c>
      <c r="B30" s="241">
        <v>552755</v>
      </c>
      <c r="C30" s="242" t="s">
        <v>26</v>
      </c>
      <c r="D30" s="243">
        <f>IFERROR(VLOOKUP(#REF!,#REF!,2,FALSE),0)</f>
        <v>0</v>
      </c>
      <c r="E30" s="243">
        <f>ROUND(IFERROR(VLOOKUP(#REF!,#REF!,3,FALSE)/#REF!,0),2)</f>
        <v>0</v>
      </c>
      <c r="F30" s="244" t="e">
        <f>ROUND(#REF!/#REF!,2)</f>
        <v>#REF!</v>
      </c>
      <c r="G30" s="244" t="e">
        <f>VLOOKUP(#REF!,base_article,19,FALSE)</f>
        <v>#REF!</v>
      </c>
      <c r="H30" s="244" t="e">
        <f>VLOOKUP(#REF!,base_article,18,FALSE)</f>
        <v>#REF!</v>
      </c>
      <c r="I30" s="244" t="e">
        <f>VLOOKUP(#REF!,base_article,17,FALSE)</f>
        <v>#REF!</v>
      </c>
      <c r="J30" s="244" t="e">
        <f>VLOOKUP(#REF!,base_article,20,FALSE)</f>
        <v>#REF!</v>
      </c>
      <c r="K30" s="244">
        <f>IFERROR(IF(#REF!*#REF!*#REF!/1000000=0,"0,01",#REF!*#REF!*#REF!/1000000),0)</f>
        <v>0</v>
      </c>
      <c r="L30" s="244" t="e">
        <f>#REF!*#REF!</f>
        <v>#REF!</v>
      </c>
      <c r="M30" s="241" t="s">
        <v>41</v>
      </c>
      <c r="N30" s="245" t="e">
        <f t="shared" si="0"/>
        <v>#DIV/0!</v>
      </c>
      <c r="O30" s="246" t="e">
        <f>O29+#REF!</f>
        <v>#REF!</v>
      </c>
      <c r="P30" s="247" t="e">
        <f>#REF!/$AE$4</f>
        <v>#REF!</v>
      </c>
      <c r="Q30" s="247" t="e">
        <f>Q29+#REF!</f>
        <v>#REF!</v>
      </c>
      <c r="R30" s="232" t="s">
        <v>86</v>
      </c>
      <c r="S30" s="248"/>
      <c r="T30" s="232" t="e">
        <f>VLOOKUP(#REF!,#REF!,2,FALSE)</f>
        <v>#REF!</v>
      </c>
      <c r="U30" s="232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30" s="232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30" t="e" cm="1">
        <f t="array" ref="W30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30" s="249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30" s="250" t="e">
        <f>IF(#REF!=#REF!,"Non","Oui")</f>
        <v>#REF!</v>
      </c>
    </row>
    <row r="31" spans="1:25" x14ac:dyDescent="0.2">
      <c r="A31" s="233" t="s">
        <v>122</v>
      </c>
      <c r="B31" s="251">
        <v>149934</v>
      </c>
      <c r="C31" s="252" t="s">
        <v>5</v>
      </c>
      <c r="D31" s="253">
        <f>IFERROR(VLOOKUP(#REF!,#REF!,2,FALSE),0)</f>
        <v>0</v>
      </c>
      <c r="E31" s="253">
        <f>ROUND(IFERROR(VLOOKUP(#REF!,#REF!,3,FALSE)/#REF!,0),2)</f>
        <v>0</v>
      </c>
      <c r="F31" s="254" t="e">
        <f>ROUND(#REF!/#REF!,2)</f>
        <v>#REF!</v>
      </c>
      <c r="G31" s="254" t="e">
        <f>VLOOKUP(#REF!,base_article,19,FALSE)</f>
        <v>#REF!</v>
      </c>
      <c r="H31" s="254" t="e">
        <f>VLOOKUP(#REF!,base_article,18,FALSE)</f>
        <v>#REF!</v>
      </c>
      <c r="I31" s="254" t="e">
        <f>VLOOKUP(#REF!,base_article,17,FALSE)</f>
        <v>#REF!</v>
      </c>
      <c r="J31" s="254" t="e">
        <f>VLOOKUP(#REF!,base_article,20,FALSE)</f>
        <v>#REF!</v>
      </c>
      <c r="K31" s="254">
        <f>IFERROR(IF(#REF!*#REF!*#REF!/1000000=0,"0,01",#REF!*#REF!*#REF!/1000000),0)</f>
        <v>0</v>
      </c>
      <c r="L31" s="254" t="e">
        <f>#REF!*#REF!</f>
        <v>#REF!</v>
      </c>
      <c r="M31" s="251" t="s">
        <v>41</v>
      </c>
      <c r="N31" s="255" t="e">
        <f t="shared" si="0"/>
        <v>#DIV/0!</v>
      </c>
      <c r="O31" s="256" t="e">
        <f>O30+#REF!</f>
        <v>#REF!</v>
      </c>
      <c r="P31" s="257" t="e">
        <f>#REF!/$AE$4</f>
        <v>#REF!</v>
      </c>
      <c r="Q31" s="257" t="e">
        <f>Q30+#REF!</f>
        <v>#REF!</v>
      </c>
      <c r="R31" s="234" t="s">
        <v>85</v>
      </c>
      <c r="S31" s="248"/>
      <c r="T31" s="234" t="e">
        <f>VLOOKUP(#REF!,#REF!,2,FALSE)</f>
        <v>#REF!</v>
      </c>
      <c r="U31" s="234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31" s="234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31" t="e" cm="1">
        <f t="array" ref="W3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31" s="258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31" s="259" t="e">
        <f>IF(#REF!=#REF!,"Non","Oui")</f>
        <v>#REF!</v>
      </c>
    </row>
    <row r="32" spans="1:25" x14ac:dyDescent="0.2">
      <c r="A32" s="231" t="s">
        <v>58</v>
      </c>
      <c r="B32" s="241">
        <v>388238</v>
      </c>
      <c r="C32" s="242" t="s">
        <v>13</v>
      </c>
      <c r="D32" s="243">
        <f>IFERROR(VLOOKUP(#REF!,#REF!,2,FALSE),0)</f>
        <v>0</v>
      </c>
      <c r="E32" s="243">
        <f>ROUND(IFERROR(VLOOKUP(#REF!,#REF!,3,FALSE)/#REF!,0),2)</f>
        <v>0</v>
      </c>
      <c r="F32" s="244" t="e">
        <f>ROUND(#REF!/#REF!,2)</f>
        <v>#REF!</v>
      </c>
      <c r="G32" s="244" t="e">
        <f>VLOOKUP(#REF!,base_article,19,FALSE)</f>
        <v>#REF!</v>
      </c>
      <c r="H32" s="244" t="e">
        <f>VLOOKUP(#REF!,base_article,18,FALSE)</f>
        <v>#REF!</v>
      </c>
      <c r="I32" s="244" t="e">
        <f>VLOOKUP(#REF!,base_article,17,FALSE)</f>
        <v>#REF!</v>
      </c>
      <c r="J32" s="244" t="e">
        <f>VLOOKUP(#REF!,base_article,20,FALSE)</f>
        <v>#REF!</v>
      </c>
      <c r="K32" s="244">
        <f>IFERROR(IF(#REF!*#REF!*#REF!/1000000=0,"0,01",#REF!*#REF!*#REF!/1000000),0)</f>
        <v>0</v>
      </c>
      <c r="L32" s="244" t="e">
        <f>#REF!*#REF!</f>
        <v>#REF!</v>
      </c>
      <c r="M32" s="241" t="s">
        <v>41</v>
      </c>
      <c r="N32" s="245" t="e">
        <f t="shared" si="0"/>
        <v>#DIV/0!</v>
      </c>
      <c r="O32" s="246" t="e">
        <f>O31+#REF!</f>
        <v>#REF!</v>
      </c>
      <c r="P32" s="247" t="e">
        <f>#REF!/$AE$4</f>
        <v>#REF!</v>
      </c>
      <c r="Q32" s="247" t="e">
        <f>Q31+#REF!</f>
        <v>#REF!</v>
      </c>
      <c r="R32" s="232" t="s">
        <v>89</v>
      </c>
      <c r="S32" s="248"/>
      <c r="T32" s="232" t="e">
        <f>VLOOKUP(#REF!,#REF!,2,FALSE)</f>
        <v>#REF!</v>
      </c>
      <c r="U32" s="232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32" s="232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32" t="e" cm="1">
        <f t="array" ref="W32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32" s="249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32" s="250" t="e">
        <f>IF(#REF!=#REF!,"Non","Oui")</f>
        <v>#REF!</v>
      </c>
    </row>
    <row r="33" spans="1:25" x14ac:dyDescent="0.2">
      <c r="A33" s="233" t="s">
        <v>56</v>
      </c>
      <c r="B33" s="251">
        <v>223468</v>
      </c>
      <c r="C33" s="252" t="s">
        <v>7</v>
      </c>
      <c r="D33" s="253">
        <f>IFERROR(VLOOKUP(#REF!,#REF!,2,FALSE),0)</f>
        <v>0</v>
      </c>
      <c r="E33" s="253">
        <f>ROUND(IFERROR(VLOOKUP(#REF!,#REF!,3,FALSE)/#REF!,0),2)</f>
        <v>0</v>
      </c>
      <c r="F33" s="254" t="e">
        <f>ROUND(#REF!/#REF!,2)</f>
        <v>#REF!</v>
      </c>
      <c r="G33" s="254" t="e">
        <f>VLOOKUP(#REF!,base_article,19,FALSE)</f>
        <v>#REF!</v>
      </c>
      <c r="H33" s="254" t="e">
        <f>VLOOKUP(#REF!,base_article,18,FALSE)</f>
        <v>#REF!</v>
      </c>
      <c r="I33" s="254" t="e">
        <f>VLOOKUP(#REF!,base_article,17,FALSE)</f>
        <v>#REF!</v>
      </c>
      <c r="J33" s="254" t="e">
        <f>VLOOKUP(#REF!,base_article,20,FALSE)</f>
        <v>#REF!</v>
      </c>
      <c r="K33" s="254">
        <f>IFERROR(IF(#REF!*#REF!*#REF!/1000000=0,"0,01",#REF!*#REF!*#REF!/1000000),0)</f>
        <v>0</v>
      </c>
      <c r="L33" s="254" t="e">
        <f>#REF!*#REF!</f>
        <v>#REF!</v>
      </c>
      <c r="M33" s="251" t="s">
        <v>42</v>
      </c>
      <c r="N33" s="255" t="e">
        <f t="shared" si="0"/>
        <v>#DIV/0!</v>
      </c>
      <c r="O33" s="256" t="e">
        <f>O32+#REF!</f>
        <v>#REF!</v>
      </c>
      <c r="P33" s="257" t="e">
        <f>#REF!/$AE$4</f>
        <v>#REF!</v>
      </c>
      <c r="Q33" s="257" t="e">
        <f>Q32+#REF!</f>
        <v>#REF!</v>
      </c>
      <c r="R33" s="234" t="s">
        <v>88</v>
      </c>
      <c r="S33" s="248"/>
      <c r="T33" s="234" t="e">
        <f>VLOOKUP(#REF!,#REF!,2,FALSE)</f>
        <v>#REF!</v>
      </c>
      <c r="U33" s="234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33" s="234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33" t="e" cm="1">
        <f t="array" ref="W33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33" s="258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33" s="259" t="e">
        <f>IF(#REF!=#REF!,"Non","Oui")</f>
        <v>#REF!</v>
      </c>
    </row>
    <row r="34" spans="1:25" x14ac:dyDescent="0.2">
      <c r="A34" s="231" t="s">
        <v>64</v>
      </c>
      <c r="B34" s="241">
        <v>453927</v>
      </c>
      <c r="C34" s="242" t="s">
        <v>16</v>
      </c>
      <c r="D34" s="243">
        <f>IFERROR(VLOOKUP(#REF!,#REF!,2,FALSE),0)</f>
        <v>0</v>
      </c>
      <c r="E34" s="243">
        <f>ROUND(IFERROR(VLOOKUP(#REF!,#REF!,3,FALSE)/#REF!,0),2)</f>
        <v>0</v>
      </c>
      <c r="F34" s="244" t="e">
        <f>ROUND(#REF!/#REF!,2)</f>
        <v>#REF!</v>
      </c>
      <c r="G34" s="244" t="e">
        <f>VLOOKUP(#REF!,base_article,19,FALSE)</f>
        <v>#REF!</v>
      </c>
      <c r="H34" s="244" t="e">
        <f>VLOOKUP(#REF!,base_article,18,FALSE)</f>
        <v>#REF!</v>
      </c>
      <c r="I34" s="244" t="e">
        <f>VLOOKUP(#REF!,base_article,17,FALSE)</f>
        <v>#REF!</v>
      </c>
      <c r="J34" s="244" t="e">
        <f>VLOOKUP(#REF!,base_article,20,FALSE)</f>
        <v>#REF!</v>
      </c>
      <c r="K34" s="244">
        <f>IFERROR(IF(#REF!*#REF!*#REF!/1000000=0,"0,01",#REF!*#REF!*#REF!/1000000),0)</f>
        <v>0</v>
      </c>
      <c r="L34" s="244" t="e">
        <f>#REF!*#REF!</f>
        <v>#REF!</v>
      </c>
      <c r="M34" s="241" t="s">
        <v>41</v>
      </c>
      <c r="N34" s="245" t="e">
        <f t="shared" si="0"/>
        <v>#DIV/0!</v>
      </c>
      <c r="O34" s="246" t="e">
        <f>O33+#REF!</f>
        <v>#REF!</v>
      </c>
      <c r="P34" s="247" t="e">
        <f>#REF!/$AE$4</f>
        <v>#REF!</v>
      </c>
      <c r="Q34" s="247" t="e">
        <f>Q33+#REF!</f>
        <v>#REF!</v>
      </c>
      <c r="R34" s="232" t="s">
        <v>87</v>
      </c>
      <c r="S34" s="248"/>
      <c r="T34" s="232" t="e">
        <f>VLOOKUP(#REF!,#REF!,2,FALSE)</f>
        <v>#REF!</v>
      </c>
      <c r="U34" s="232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34" s="232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34" t="e" cm="1">
        <f t="array" ref="W34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34" s="249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34" s="250" t="e">
        <f>IF(#REF!=#REF!,"Non","Oui")</f>
        <v>#REF!</v>
      </c>
    </row>
    <row r="35" spans="1:25" x14ac:dyDescent="0.2">
      <c r="A35" s="233" t="s">
        <v>123</v>
      </c>
      <c r="B35" s="251">
        <v>504181</v>
      </c>
      <c r="C35" s="252" t="s">
        <v>24</v>
      </c>
      <c r="D35" s="253">
        <f>IFERROR(VLOOKUP(#REF!,#REF!,2,FALSE),0)</f>
        <v>0</v>
      </c>
      <c r="E35" s="253">
        <f>ROUND(IFERROR(VLOOKUP(#REF!,#REF!,3,FALSE)/#REF!,0),2)</f>
        <v>0</v>
      </c>
      <c r="F35" s="254" t="e">
        <f>ROUND(#REF!/#REF!,2)</f>
        <v>#REF!</v>
      </c>
      <c r="G35" s="254" t="e">
        <f>VLOOKUP(#REF!,base_article,19,FALSE)</f>
        <v>#REF!</v>
      </c>
      <c r="H35" s="254" t="e">
        <f>VLOOKUP(#REF!,base_article,18,FALSE)</f>
        <v>#REF!</v>
      </c>
      <c r="I35" s="254" t="e">
        <f>VLOOKUP(#REF!,base_article,17,FALSE)</f>
        <v>#REF!</v>
      </c>
      <c r="J35" s="254" t="e">
        <f>VLOOKUP(#REF!,base_article,20,FALSE)</f>
        <v>#REF!</v>
      </c>
      <c r="K35" s="254">
        <f>IFERROR(IF(#REF!*#REF!*#REF!/1000000=0,"0,01",#REF!*#REF!*#REF!/1000000),0)</f>
        <v>0</v>
      </c>
      <c r="L35" s="254" t="e">
        <f>#REF!*#REF!</f>
        <v>#REF!</v>
      </c>
      <c r="M35" s="251" t="s">
        <v>42</v>
      </c>
      <c r="N35" s="255" t="e">
        <f t="shared" si="0"/>
        <v>#DIV/0!</v>
      </c>
      <c r="O35" s="256" t="e">
        <f>O34+#REF!</f>
        <v>#REF!</v>
      </c>
      <c r="P35" s="257" t="e">
        <f>#REF!/$AE$4</f>
        <v>#REF!</v>
      </c>
      <c r="Q35" s="257" t="e">
        <f>Q34+#REF!</f>
        <v>#REF!</v>
      </c>
      <c r="R35" s="234" t="s">
        <v>86</v>
      </c>
      <c r="S35" s="248"/>
      <c r="T35" s="234" t="e">
        <f>VLOOKUP(#REF!,#REF!,2,FALSE)</f>
        <v>#REF!</v>
      </c>
      <c r="U35" s="234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35" s="234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35" t="e" cm="1">
        <f t="array" ref="W35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35" s="258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35" s="259" t="e">
        <f>IF(#REF!=#REF!,"Non","Oui")</f>
        <v>#REF!</v>
      </c>
    </row>
    <row r="36" spans="1:25" x14ac:dyDescent="0.2">
      <c r="A36" s="231" t="s">
        <v>124</v>
      </c>
      <c r="B36" s="261">
        <v>9353577</v>
      </c>
      <c r="C36" s="242" t="s">
        <v>39</v>
      </c>
      <c r="D36" s="243">
        <f>IFERROR(VLOOKUP(#REF!,#REF!,2,FALSE),0)</f>
        <v>0</v>
      </c>
      <c r="E36" s="243">
        <f>ROUND(IFERROR(VLOOKUP(#REF!,#REF!,3,FALSE)/#REF!,0),2)</f>
        <v>0</v>
      </c>
      <c r="F36" s="244" t="e">
        <f>ROUND(#REF!/#REF!,2)</f>
        <v>#REF!</v>
      </c>
      <c r="G36" s="244" t="e">
        <f>VLOOKUP(#REF!,base_article,19,FALSE)</f>
        <v>#REF!</v>
      </c>
      <c r="H36" s="244" t="e">
        <f>VLOOKUP(#REF!,base_article,18,FALSE)</f>
        <v>#REF!</v>
      </c>
      <c r="I36" s="244" t="e">
        <f>VLOOKUP(#REF!,base_article,17,FALSE)</f>
        <v>#REF!</v>
      </c>
      <c r="J36" s="244" t="e">
        <f>VLOOKUP(#REF!,base_article,20,FALSE)</f>
        <v>#REF!</v>
      </c>
      <c r="K36" s="244">
        <f>IFERROR(IF(#REF!*#REF!*#REF!/1000000=0,"0,01",#REF!*#REF!*#REF!/1000000),0)</f>
        <v>0</v>
      </c>
      <c r="L36" s="244" t="e">
        <f>#REF!*#REF!</f>
        <v>#REF!</v>
      </c>
      <c r="M36" s="241" t="s">
        <v>41</v>
      </c>
      <c r="N36" s="245" t="e">
        <f t="shared" si="0"/>
        <v>#DIV/0!</v>
      </c>
      <c r="O36" s="246" t="e">
        <f>O35+#REF!</f>
        <v>#REF!</v>
      </c>
      <c r="P36" s="247" t="e">
        <f>#REF!/$AE$4</f>
        <v>#REF!</v>
      </c>
      <c r="Q36" s="247" t="e">
        <f>Q35+#REF!</f>
        <v>#REF!</v>
      </c>
      <c r="R36" s="232" t="s">
        <v>85</v>
      </c>
      <c r="S36" s="248"/>
      <c r="T36" s="232" t="e">
        <f>VLOOKUP(#REF!,#REF!,2,FALSE)</f>
        <v>#REF!</v>
      </c>
      <c r="U36" s="232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36" s="232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36" t="e" cm="1">
        <f t="array" ref="W36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36" s="249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36" s="250" t="e">
        <f>IF(#REF!=#REF!,"Non","Oui")</f>
        <v>#REF!</v>
      </c>
    </row>
    <row r="37" spans="1:25" x14ac:dyDescent="0.2">
      <c r="A37" s="233" t="s">
        <v>125</v>
      </c>
      <c r="B37" s="251">
        <v>620947</v>
      </c>
      <c r="C37" s="252" t="s">
        <v>30</v>
      </c>
      <c r="D37" s="253">
        <f>IFERROR(VLOOKUP(#REF!,#REF!,2,FALSE),0)</f>
        <v>0</v>
      </c>
      <c r="E37" s="253">
        <f>ROUND(IFERROR(VLOOKUP(#REF!,#REF!,3,FALSE)/#REF!,0),2)</f>
        <v>0</v>
      </c>
      <c r="F37" s="254" t="e">
        <f>ROUND(#REF!/#REF!,2)</f>
        <v>#REF!</v>
      </c>
      <c r="G37" s="254" t="e">
        <f>VLOOKUP(#REF!,base_article,19,FALSE)</f>
        <v>#REF!</v>
      </c>
      <c r="H37" s="254" t="e">
        <f>VLOOKUP(#REF!,base_article,18,FALSE)</f>
        <v>#REF!</v>
      </c>
      <c r="I37" s="254" t="e">
        <f>VLOOKUP(#REF!,base_article,17,FALSE)</f>
        <v>#REF!</v>
      </c>
      <c r="J37" s="254" t="e">
        <f>VLOOKUP(#REF!,base_article,20,FALSE)</f>
        <v>#REF!</v>
      </c>
      <c r="K37" s="254">
        <f>IFERROR(IF(#REF!*#REF!*#REF!/1000000=0,"0,01",#REF!*#REF!*#REF!/1000000),0)</f>
        <v>0</v>
      </c>
      <c r="L37" s="254" t="e">
        <f>#REF!*#REF!</f>
        <v>#REF!</v>
      </c>
      <c r="M37" s="251" t="s">
        <v>41</v>
      </c>
      <c r="N37" s="255" t="e">
        <f t="shared" si="0"/>
        <v>#DIV/0!</v>
      </c>
      <c r="O37" s="256" t="e">
        <f>O36+#REF!</f>
        <v>#REF!</v>
      </c>
      <c r="P37" s="257" t="e">
        <f>#REF!/$AE$4</f>
        <v>#REF!</v>
      </c>
      <c r="Q37" s="257" t="e">
        <f>Q36+#REF!</f>
        <v>#REF!</v>
      </c>
      <c r="R37" s="234" t="s">
        <v>89</v>
      </c>
      <c r="S37" s="248"/>
      <c r="T37" s="234" t="e">
        <f>VLOOKUP(#REF!,#REF!,2,FALSE)</f>
        <v>#REF!</v>
      </c>
      <c r="U37" s="234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37" s="234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37" t="e" cm="1">
        <f t="array" ref="W37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#REF!</v>
      </c>
      <c r="X37" s="258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37" s="259" t="e">
        <f>IF(#REF!=#REF!,"Non","Oui")</f>
        <v>#REF!</v>
      </c>
    </row>
  </sheetData>
  <conditionalFormatting sqref="Q1:Q37">
    <cfRule type="cellIs" dxfId="4" priority="3" operator="between">
      <formula>#REF!</formula>
      <formula>#REF!</formula>
    </cfRule>
    <cfRule type="cellIs" dxfId="3" priority="4" operator="between">
      <formula>#REF!</formula>
      <formula>#REF!</formula>
    </cfRule>
    <cfRule type="cellIs" dxfId="2" priority="5" operator="between">
      <formula>0.001</formula>
      <formula>#REF!</formula>
    </cfRule>
  </conditionalFormatting>
  <conditionalFormatting sqref="Q2:Q37">
    <cfRule type="cellIs" dxfId="1" priority="1" operator="greaterThan">
      <formula>#REF!</formula>
    </cfRule>
    <cfRule type="cellIs" dxfId="0" priority="2" operator="between">
      <formula>#REF!</formula>
      <formula>#REF!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58FB36-D7A1-4BCF-8174-F7FE91EF672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Cartographie - NIV0</vt:lpstr>
      <vt:lpstr>RACKS</vt:lpstr>
      <vt:lpstr>pareto</vt:lpstr>
      <vt:lpstr>RACK_1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Utilisateur</cp:lastModifiedBy>
  <cp:lastPrinted>2022-03-29T11:48:42Z</cp:lastPrinted>
  <dcterms:created xsi:type="dcterms:W3CDTF">2022-02-21T08:21:04Z</dcterms:created>
  <dcterms:modified xsi:type="dcterms:W3CDTF">2022-04-05T23:31:48Z</dcterms:modified>
</cp:coreProperties>
</file>