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E72E202-BCBC-477A-BA6B-01F0B9847310}" xr6:coauthVersionLast="45" xr6:coauthVersionMax="45" xr10:uidLastSave="{00000000-0000-0000-0000-000000000000}"/>
  <bookViews>
    <workbookView xWindow="-120" yWindow="-120" windowWidth="24240" windowHeight="13140" xr2:uid="{6C4A5849-2AA9-43FE-88FF-EB83C85BC9E7}"/>
  </bookViews>
  <sheets>
    <sheet name="Master" sheetId="3" r:id="rId1"/>
    <sheet name="Individual Summary" sheetId="9" r:id="rId2"/>
    <sheet name="New Summary" sheetId="19" r:id="rId3"/>
  </sheets>
  <definedNames>
    <definedName name="_xlnm._FilterDatabase" localSheetId="0" hidden="1">Master!$A$3:$V$8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9" l="1"/>
  <c r="L18" i="9" s="1"/>
  <c r="C19" i="9"/>
  <c r="C18" i="9"/>
  <c r="C17" i="9"/>
  <c r="C15" i="9"/>
  <c r="D14" i="9"/>
  <c r="C14" i="9" l="1"/>
  <c r="C12" i="9"/>
  <c r="C11" i="9"/>
  <c r="C10" i="9"/>
  <c r="C9" i="9"/>
  <c r="C8" i="9"/>
  <c r="C7" i="9"/>
  <c r="C6" i="9"/>
  <c r="C5" i="9"/>
  <c r="C4" i="9"/>
  <c r="G15" i="9" l="1"/>
  <c r="I15" i="9" l="1"/>
  <c r="G5" i="9" l="1"/>
  <c r="G4" i="9" l="1"/>
  <c r="L3" i="9"/>
  <c r="G16" i="9" l="1"/>
  <c r="I16" i="9" s="1"/>
  <c r="G7" i="9" l="1"/>
  <c r="G13" i="9" l="1"/>
  <c r="G14" i="9"/>
  <c r="I13" i="9" l="1"/>
  <c r="K13" i="9" s="1"/>
  <c r="H12" i="9"/>
  <c r="H15" i="9" s="1"/>
  <c r="K15" i="9"/>
  <c r="H17" i="9"/>
  <c r="J12" i="9" l="1"/>
  <c r="J16" i="9" s="1"/>
  <c r="H16" i="9"/>
  <c r="H20" i="9" s="1"/>
  <c r="L12" i="9" l="1"/>
  <c r="I14" i="9"/>
  <c r="J15" i="9"/>
  <c r="J17" i="9"/>
  <c r="J20" i="9" l="1"/>
  <c r="K14" i="9"/>
  <c r="L15" i="9"/>
  <c r="K16" i="9"/>
  <c r="L16" i="9" l="1"/>
  <c r="L19" i="9" s="1"/>
  <c r="L20" i="9" l="1"/>
</calcChain>
</file>

<file path=xl/sharedStrings.xml><?xml version="1.0" encoding="utf-8"?>
<sst xmlns="http://schemas.openxmlformats.org/spreadsheetml/2006/main" count="104" uniqueCount="82">
  <si>
    <t>First Name</t>
  </si>
  <si>
    <t>Last Name</t>
  </si>
  <si>
    <t>FTE</t>
  </si>
  <si>
    <t>Country</t>
  </si>
  <si>
    <t>Hourly</t>
  </si>
  <si>
    <t>United States</t>
  </si>
  <si>
    <t>Salaried</t>
  </si>
  <si>
    <t>O</t>
  </si>
  <si>
    <t>Canada</t>
  </si>
  <si>
    <t>L</t>
  </si>
  <si>
    <t>K</t>
  </si>
  <si>
    <t>Logistics Coordinator</t>
  </si>
  <si>
    <t>Jose</t>
  </si>
  <si>
    <t>Hector</t>
  </si>
  <si>
    <t>Service Technician</t>
  </si>
  <si>
    <t>Sonia</t>
  </si>
  <si>
    <t>Dubois</t>
  </si>
  <si>
    <t>Sharon</t>
  </si>
  <si>
    <t>Diaz</t>
  </si>
  <si>
    <t>Antoine</t>
  </si>
  <si>
    <t>MyPath Position Title</t>
  </si>
  <si>
    <t>NRI</t>
  </si>
  <si>
    <t>2020 Midpoint</t>
  </si>
  <si>
    <t>Pay Type</t>
  </si>
  <si>
    <t>RptACR</t>
  </si>
  <si>
    <t>Formula (annual salary/std hrs yes*std hrs legal entity)</t>
  </si>
  <si>
    <t>Q</t>
  </si>
  <si>
    <t>Name</t>
  </si>
  <si>
    <t>Job Title</t>
  </si>
  <si>
    <t>$</t>
  </si>
  <si>
    <t>Base Salary (1)</t>
  </si>
  <si>
    <t>Salary Median (2)</t>
  </si>
  <si>
    <t>Comparatio</t>
  </si>
  <si>
    <t>Target Bonus</t>
  </si>
  <si>
    <t>Retirement Contribution*</t>
  </si>
  <si>
    <t>Car Benefit</t>
  </si>
  <si>
    <t>(1) Assuming annual salary increase of</t>
  </si>
  <si>
    <t>PerNer</t>
  </si>
  <si>
    <t>Position</t>
  </si>
  <si>
    <t>Salary</t>
  </si>
  <si>
    <t>CompRatio</t>
  </si>
  <si>
    <t>Short Term Incentive (STI)</t>
  </si>
  <si>
    <t>STI CAMSO target %</t>
  </si>
  <si>
    <t>STI Micheling target %</t>
  </si>
  <si>
    <t>Retirement</t>
  </si>
  <si>
    <t>Ret. CAMSO target %</t>
  </si>
  <si>
    <t>Ret. Micheling target %</t>
  </si>
  <si>
    <t>Car</t>
  </si>
  <si>
    <t xml:space="preserve">Target Cash Compensation Scenario (in $ </t>
  </si>
  <si>
    <t>Full-Time Annual Base Salary</t>
  </si>
  <si>
    <t>2020 Compa Ratio</t>
  </si>
  <si>
    <t>Short-term Incentive Target %</t>
  </si>
  <si>
    <t xml:space="preserve">Annual Car Allowance  </t>
  </si>
  <si>
    <t xml:space="preserve"> Annual Employer Contribution </t>
  </si>
  <si>
    <t xml:space="preserve">Annual Employer Contribution </t>
  </si>
  <si>
    <t>Target Compensation 2020</t>
  </si>
  <si>
    <t>Target  Compensation 2021</t>
  </si>
  <si>
    <t>Target Compensation 2022</t>
  </si>
  <si>
    <t>Delta Benefits</t>
  </si>
  <si>
    <t xml:space="preserve">Total Benefits Delta </t>
  </si>
  <si>
    <t>(2) Assuming annual salary increase of</t>
  </si>
  <si>
    <t>Total</t>
  </si>
  <si>
    <t xml:space="preserve">Compensating Payment </t>
  </si>
  <si>
    <t>Median</t>
  </si>
  <si>
    <t>Benefits Differential</t>
  </si>
  <si>
    <t>Labelle</t>
  </si>
  <si>
    <t>Bleury</t>
  </si>
  <si>
    <t>Sandona</t>
  </si>
  <si>
    <t>Admin assistant</t>
  </si>
  <si>
    <t>PMO</t>
  </si>
  <si>
    <t>Finance clerk</t>
  </si>
  <si>
    <t>Miranda</t>
  </si>
  <si>
    <t>Canac Base Salary Information</t>
  </si>
  <si>
    <t>Miranda Variable Pay</t>
  </si>
  <si>
    <t>Canac Car Benefit</t>
  </si>
  <si>
    <t>Canac Retirement</t>
  </si>
  <si>
    <t>ID</t>
  </si>
  <si>
    <t>Canac</t>
  </si>
  <si>
    <t>Miranda retirement</t>
  </si>
  <si>
    <t>Short-term Incentive amount</t>
  </si>
  <si>
    <t>* Retirement opportunity at Miranda considers bonus whereas Canac plan does not</t>
  </si>
  <si>
    <t>Différentiel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</si>
</sst>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 * #,##0_)\ &quot;$&quot;_ ;_ * \(#,##0\)\ &quot;$&quot;_ ;_ * &quot;-&quot;_)\ &quot;$&quot;_ ;_ @_ "/>
    <numFmt numFmtId="165" formatCode="_ * #,##0_)_ ;_ * \(#,##0\)_ ;_ * &quot;-&quot;_)_ ;_ @_ "/>
    <numFmt numFmtId="166" formatCode="_ * #,##0.00_)\ &quot;$&quot;_ ;_ * \(#,##0.00\)\ &quot;$&quot;_ ;_ * &quot;-&quot;??_)\ &quot;$&quot;_ ;_ @_ "/>
    <numFmt numFmtId="167" formatCode="_ * #,##0.00_)_ ;_ * \(#,##0.00\)_ ;_ * &quot;-&quot;??_)_ ;_ @_ "/>
    <numFmt numFmtId="168" formatCode="0.0"/>
    <numFmt numFmtId="169" formatCode="0.0%"/>
    <numFmt numFmtId="170" formatCode="[$$-1009]#,##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rgb="FFFFFFFF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00000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2" fillId="2" borderId="0" applyNumberFormat="0" applyBorder="0" applyProtection="0">
      <alignment horizontal="left"/>
    </xf>
    <xf numFmtId="0" fontId="3" fillId="2" borderId="0" applyNumberFormat="0" applyBorder="0" applyProtection="0">
      <alignment horizontal="left"/>
    </xf>
    <xf numFmtId="0" fontId="5" fillId="3" borderId="0" applyNumberFormat="0" applyBorder="0" applyProtection="0">
      <alignment horizontal="left"/>
    </xf>
    <xf numFmtId="9" fontId="7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3" fillId="2" borderId="0" applyNumberFormat="0" applyBorder="0" applyProtection="0">
      <alignment horizontal="left"/>
    </xf>
    <xf numFmtId="0" fontId="3" fillId="2" borderId="0" applyNumberFormat="0" applyBorder="0" applyProtection="0">
      <alignment horizontal="left"/>
    </xf>
    <xf numFmtId="0" fontId="3" fillId="2" borderId="0" applyNumberFormat="0" applyBorder="0" applyProtection="0">
      <alignment horizontal="left"/>
    </xf>
    <xf numFmtId="0" fontId="5" fillId="3" borderId="0" applyNumberFormat="0" applyBorder="0" applyProtection="0">
      <alignment horizontal="left"/>
    </xf>
    <xf numFmtId="0" fontId="7" fillId="0" borderId="0"/>
    <xf numFmtId="166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2" fillId="2" borderId="0" applyNumberFormat="0" applyBorder="0" applyProtection="0">
      <alignment horizontal="left"/>
    </xf>
  </cellStyleXfs>
  <cellXfs count="99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4" fillId="4" borderId="2" xfId="0" applyFont="1" applyFill="1" applyBorder="1" applyAlignment="1">
      <alignment horizontal="center" vertical="center" wrapText="1"/>
    </xf>
    <xf numFmtId="49" fontId="6" fillId="4" borderId="1" xfId="3" applyNumberFormat="1" applyFont="1" applyFill="1" applyBorder="1" applyAlignment="1">
      <alignment horizontal="center" vertical="center" wrapText="1"/>
    </xf>
    <xf numFmtId="49" fontId="6" fillId="4" borderId="1" xfId="3" applyNumberFormat="1" applyFont="1" applyFill="1" applyBorder="1" applyAlignment="1">
      <alignment horizontal="center" vertical="top" wrapText="1"/>
    </xf>
    <xf numFmtId="0" fontId="1" fillId="7" borderId="5" xfId="0" applyFont="1" applyFill="1" applyBorder="1" applyAlignment="1">
      <alignment horizontal="center" vertical="center" wrapText="1"/>
    </xf>
    <xf numFmtId="168" fontId="1" fillId="4" borderId="4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top"/>
    </xf>
    <xf numFmtId="168" fontId="0" fillId="0" borderId="0" xfId="0" applyNumberFormat="1" applyAlignment="1">
      <alignment horizontal="center" vertical="top"/>
    </xf>
    <xf numFmtId="3" fontId="1" fillId="4" borderId="3" xfId="0" applyNumberFormat="1" applyFont="1" applyFill="1" applyBorder="1" applyAlignment="1">
      <alignment horizontal="center" vertical="center" wrapText="1"/>
    </xf>
    <xf numFmtId="3" fontId="1" fillId="7" borderId="4" xfId="0" quotePrefix="1" applyNumberFormat="1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/>
    </xf>
    <xf numFmtId="0" fontId="1" fillId="9" borderId="12" xfId="0" applyFont="1" applyFill="1" applyBorder="1" applyAlignment="1">
      <alignment horizontal="center" vertical="center"/>
    </xf>
    <xf numFmtId="170" fontId="1" fillId="9" borderId="17" xfId="0" applyNumberFormat="1" applyFont="1" applyFill="1" applyBorder="1" applyAlignment="1">
      <alignment horizontal="center" vertical="center"/>
    </xf>
    <xf numFmtId="170" fontId="1" fillId="9" borderId="13" xfId="0" applyNumberFormat="1" applyFont="1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170" fontId="0" fillId="9" borderId="17" xfId="0" applyNumberFormat="1" applyFill="1" applyBorder="1" applyAlignment="1">
      <alignment horizontal="center" vertical="center"/>
    </xf>
    <xf numFmtId="170" fontId="0" fillId="9" borderId="13" xfId="0" applyNumberFormat="1" applyFill="1" applyBorder="1" applyAlignment="1">
      <alignment horizontal="center" vertical="center"/>
    </xf>
    <xf numFmtId="170" fontId="0" fillId="9" borderId="12" xfId="0" applyNumberFormat="1" applyFill="1" applyBorder="1" applyAlignment="1">
      <alignment horizontal="center" vertical="center"/>
    </xf>
    <xf numFmtId="169" fontId="0" fillId="9" borderId="12" xfId="0" applyNumberFormat="1" applyFill="1" applyBorder="1" applyAlignment="1">
      <alignment horizontal="center" vertical="center"/>
    </xf>
    <xf numFmtId="9" fontId="0" fillId="9" borderId="12" xfId="0" applyNumberFormat="1" applyFill="1" applyBorder="1" applyAlignment="1">
      <alignment horizontal="center" vertical="center"/>
    </xf>
    <xf numFmtId="10" fontId="0" fillId="9" borderId="12" xfId="0" applyNumberForma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170" fontId="0" fillId="9" borderId="9" xfId="0" applyNumberFormat="1" applyFill="1" applyBorder="1" applyAlignment="1">
      <alignment horizontal="center" vertical="center"/>
    </xf>
    <xf numFmtId="170" fontId="0" fillId="9" borderId="5" xfId="0" applyNumberFormat="1" applyFill="1" applyBorder="1" applyAlignment="1">
      <alignment horizontal="center" vertical="center"/>
    </xf>
    <xf numFmtId="0" fontId="1" fillId="0" borderId="6" xfId="0" quotePrefix="1" applyFont="1" applyBorder="1" applyAlignment="1">
      <alignment horizontal="center" vertical="center" wrapText="1"/>
    </xf>
    <xf numFmtId="9" fontId="1" fillId="5" borderId="2" xfId="4" quotePrefix="1" applyNumberFormat="1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top"/>
    </xf>
    <xf numFmtId="9" fontId="1" fillId="6" borderId="4" xfId="4" quotePrefix="1" applyNumberFormat="1" applyFont="1" applyFill="1" applyBorder="1" applyAlignment="1">
      <alignment horizontal="center" vertical="center" wrapText="1"/>
    </xf>
    <xf numFmtId="3" fontId="1" fillId="5" borderId="9" xfId="0" quotePrefix="1" applyNumberFormat="1" applyFont="1" applyFill="1" applyBorder="1" applyAlignment="1">
      <alignment horizontal="center" vertical="center" wrapText="1"/>
    </xf>
    <xf numFmtId="3" fontId="1" fillId="6" borderId="5" xfId="0" quotePrefix="1" applyNumberFormat="1" applyFont="1" applyFill="1" applyBorder="1" applyAlignment="1">
      <alignment horizontal="center" vertical="center" wrapText="1"/>
    </xf>
    <xf numFmtId="9" fontId="1" fillId="7" borderId="5" xfId="0" quotePrefix="1" applyNumberFormat="1" applyFont="1" applyFill="1" applyBorder="1" applyAlignment="1">
      <alignment horizontal="center" vertical="center" wrapText="1"/>
    </xf>
    <xf numFmtId="38" fontId="1" fillId="8" borderId="10" xfId="0" quotePrefix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4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5" borderId="0" xfId="0" applyNumberFormat="1" applyFill="1" applyAlignment="1">
      <alignment horizontal="center" vertical="center"/>
    </xf>
    <xf numFmtId="3" fontId="0" fillId="6" borderId="0" xfId="0" applyNumberFormat="1" applyFill="1" applyAlignment="1">
      <alignment horizontal="center" vertical="center"/>
    </xf>
    <xf numFmtId="38" fontId="0" fillId="8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9" fillId="0" borderId="0" xfId="0" applyFont="1" applyBorder="1" applyAlignment="1">
      <alignment horizontal="center" vertical="top"/>
    </xf>
    <xf numFmtId="0" fontId="0" fillId="0" borderId="0" xfId="0" applyFill="1" applyAlignment="1">
      <alignment horizontal="center"/>
    </xf>
    <xf numFmtId="0" fontId="0" fillId="9" borderId="19" xfId="0" applyFill="1" applyBorder="1" applyAlignment="1">
      <alignment horizontal="center" vertical="center"/>
    </xf>
    <xf numFmtId="170" fontId="0" fillId="9" borderId="15" xfId="0" applyNumberFormat="1" applyFill="1" applyBorder="1" applyAlignment="1">
      <alignment horizontal="center" vertical="center"/>
    </xf>
    <xf numFmtId="170" fontId="0" fillId="9" borderId="20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1" fillId="11" borderId="21" xfId="0" quotePrefix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1" fillId="6" borderId="8" xfId="0" quotePrefix="1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top" wrapText="1"/>
    </xf>
    <xf numFmtId="3" fontId="8" fillId="0" borderId="0" xfId="0" applyNumberFormat="1" applyFont="1" applyFill="1" applyAlignment="1">
      <alignment horizontal="center" vertical="center"/>
    </xf>
    <xf numFmtId="0" fontId="1" fillId="5" borderId="18" xfId="0" quotePrefix="1" applyFont="1" applyFill="1" applyBorder="1" applyAlignment="1">
      <alignment horizontal="center" vertical="center" wrapText="1"/>
    </xf>
    <xf numFmtId="0" fontId="1" fillId="5" borderId="14" xfId="0" quotePrefix="1" applyFont="1" applyFill="1" applyBorder="1" applyAlignment="1">
      <alignment horizontal="center" vertical="center" wrapText="1"/>
    </xf>
    <xf numFmtId="38" fontId="0" fillId="0" borderId="0" xfId="0" applyNumberFormat="1" applyFill="1" applyAlignment="1">
      <alignment horizontal="center" vertical="center"/>
    </xf>
    <xf numFmtId="38" fontId="1" fillId="12" borderId="10" xfId="0" applyNumberFormat="1" applyFont="1" applyFill="1" applyBorder="1" applyAlignment="1">
      <alignment horizontal="center" vertical="center" wrapText="1"/>
    </xf>
    <xf numFmtId="38" fontId="0" fillId="12" borderId="0" xfId="0" applyNumberFormat="1" applyFill="1" applyAlignment="1">
      <alignment horizontal="center" vertical="center"/>
    </xf>
    <xf numFmtId="0" fontId="0" fillId="9" borderId="16" xfId="0" applyFill="1" applyBorder="1" applyAlignment="1">
      <alignment horizontal="right"/>
    </xf>
    <xf numFmtId="0" fontId="1" fillId="9" borderId="8" xfId="0" applyFont="1" applyFill="1" applyBorder="1" applyAlignment="1">
      <alignment horizontal="right" vertical="center"/>
    </xf>
    <xf numFmtId="0" fontId="1" fillId="9" borderId="7" xfId="0" applyFont="1" applyFill="1" applyBorder="1" applyAlignment="1">
      <alignment horizontal="right" vertical="center"/>
    </xf>
    <xf numFmtId="0" fontId="0" fillId="9" borderId="22" xfId="0" applyFill="1" applyBorder="1"/>
    <xf numFmtId="0" fontId="0" fillId="9" borderId="23" xfId="0" applyFill="1" applyBorder="1"/>
    <xf numFmtId="0" fontId="0" fillId="9" borderId="21" xfId="0" applyFill="1" applyBorder="1"/>
    <xf numFmtId="0" fontId="0" fillId="9" borderId="24" xfId="0" applyFill="1" applyBorder="1"/>
    <xf numFmtId="0" fontId="0" fillId="9" borderId="0" xfId="0" applyFill="1" applyBorder="1"/>
    <xf numFmtId="0" fontId="0" fillId="9" borderId="0" xfId="0" applyFill="1" applyBorder="1" applyAlignment="1">
      <alignment horizontal="right"/>
    </xf>
    <xf numFmtId="0" fontId="0" fillId="9" borderId="25" xfId="0" quotePrefix="1" applyFont="1" applyFill="1" applyBorder="1" applyAlignment="1">
      <alignment horizontal="left"/>
    </xf>
    <xf numFmtId="0" fontId="0" fillId="9" borderId="0" xfId="0" quotePrefix="1" applyFill="1" applyBorder="1" applyAlignment="1">
      <alignment horizontal="right"/>
    </xf>
    <xf numFmtId="0" fontId="0" fillId="9" borderId="0" xfId="0" quotePrefix="1" applyFill="1" applyBorder="1" applyAlignment="1">
      <alignment horizontal="left"/>
    </xf>
    <xf numFmtId="0" fontId="1" fillId="9" borderId="0" xfId="0" quotePrefix="1" applyFont="1" applyFill="1" applyBorder="1" applyAlignment="1">
      <alignment horizontal="center"/>
    </xf>
    <xf numFmtId="0" fontId="1" fillId="9" borderId="25" xfId="0" quotePrefix="1" applyFont="1" applyFill="1" applyBorder="1" applyAlignment="1">
      <alignment horizontal="center"/>
    </xf>
    <xf numFmtId="0" fontId="0" fillId="9" borderId="0" xfId="0" quotePrefix="1" applyFill="1" applyBorder="1" applyAlignment="1">
      <alignment horizontal="center"/>
    </xf>
    <xf numFmtId="0" fontId="0" fillId="9" borderId="25" xfId="0" quotePrefix="1" applyFill="1" applyBorder="1" applyAlignment="1">
      <alignment horizontal="center"/>
    </xf>
    <xf numFmtId="0" fontId="1" fillId="9" borderId="0" xfId="0" quotePrefix="1" applyFont="1" applyFill="1" applyBorder="1" applyAlignment="1">
      <alignment horizontal="right"/>
    </xf>
    <xf numFmtId="0" fontId="0" fillId="9" borderId="0" xfId="0" applyFill="1" applyBorder="1" applyAlignment="1">
      <alignment horizontal="center" vertical="center"/>
    </xf>
    <xf numFmtId="170" fontId="1" fillId="9" borderId="0" xfId="0" applyNumberFormat="1" applyFont="1" applyFill="1" applyBorder="1" applyAlignment="1">
      <alignment horizontal="center" vertical="center"/>
    </xf>
    <xf numFmtId="170" fontId="1" fillId="9" borderId="25" xfId="0" applyNumberFormat="1" applyFont="1" applyFill="1" applyBorder="1" applyAlignment="1">
      <alignment horizontal="center" vertical="center"/>
    </xf>
    <xf numFmtId="170" fontId="0" fillId="9" borderId="0" xfId="0" applyNumberFormat="1" applyFill="1" applyBorder="1" applyAlignment="1">
      <alignment horizontal="center" vertical="center"/>
    </xf>
    <xf numFmtId="9" fontId="0" fillId="9" borderId="25" xfId="5" applyFont="1" applyFill="1" applyBorder="1" applyAlignment="1">
      <alignment horizontal="center" vertical="center"/>
    </xf>
    <xf numFmtId="169" fontId="0" fillId="9" borderId="0" xfId="0" applyNumberFormat="1" applyFill="1" applyBorder="1" applyAlignment="1">
      <alignment horizontal="center" vertical="center"/>
    </xf>
    <xf numFmtId="170" fontId="0" fillId="9" borderId="25" xfId="0" applyNumberFormat="1" applyFill="1" applyBorder="1" applyAlignment="1">
      <alignment horizontal="center" vertical="center"/>
    </xf>
    <xf numFmtId="9" fontId="0" fillId="9" borderId="0" xfId="0" applyNumberFormat="1" applyFill="1" applyBorder="1" applyAlignment="1">
      <alignment horizontal="center" vertical="center"/>
    </xf>
    <xf numFmtId="0" fontId="0" fillId="9" borderId="0" xfId="0" quotePrefix="1" applyFill="1" applyBorder="1"/>
    <xf numFmtId="0" fontId="0" fillId="9" borderId="26" xfId="0" applyFill="1" applyBorder="1"/>
    <xf numFmtId="0" fontId="0" fillId="9" borderId="11" xfId="0" applyFill="1" applyBorder="1"/>
    <xf numFmtId="0" fontId="0" fillId="9" borderId="27" xfId="0" applyFill="1" applyBorder="1"/>
    <xf numFmtId="0" fontId="11" fillId="10" borderId="10" xfId="0" applyFont="1" applyFill="1" applyBorder="1"/>
    <xf numFmtId="0" fontId="11" fillId="10" borderId="28" xfId="0" applyFont="1" applyFill="1" applyBorder="1"/>
    <xf numFmtId="0" fontId="11" fillId="10" borderId="29" xfId="0" applyFont="1" applyFill="1" applyBorder="1"/>
    <xf numFmtId="14" fontId="0" fillId="0" borderId="11" xfId="0" applyNumberFormat="1" applyBorder="1" applyAlignment="1">
      <alignment horizontal="center" vertical="center"/>
    </xf>
    <xf numFmtId="0" fontId="1" fillId="5" borderId="6" xfId="0" quotePrefix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3" fontId="1" fillId="0" borderId="8" xfId="0" quotePrefix="1" applyNumberFormat="1" applyFont="1" applyBorder="1" applyAlignment="1">
      <alignment horizontal="center" vertical="center" wrapText="1"/>
    </xf>
    <xf numFmtId="3" fontId="1" fillId="0" borderId="7" xfId="0" quotePrefix="1" applyNumberFormat="1" applyFont="1" applyBorder="1" applyAlignment="1">
      <alignment horizontal="center" vertical="center" wrapText="1"/>
    </xf>
    <xf numFmtId="0" fontId="1" fillId="0" borderId="8" xfId="0" quotePrefix="1" applyFont="1" applyBorder="1" applyAlignment="1">
      <alignment horizontal="center" vertical="center" wrapText="1"/>
    </xf>
    <xf numFmtId="0" fontId="1" fillId="0" borderId="6" xfId="0" quotePrefix="1" applyFont="1" applyBorder="1" applyAlignment="1">
      <alignment horizontal="center" vertical="center" wrapText="1"/>
    </xf>
  </cellXfs>
  <cellStyles count="16">
    <cellStyle name="background-color:Navy; color:White; font:font-family:Arial; font-size:10pt; font-weight:normal; font-style:normal; ; font-family:Arial; font-size:10pt; font-weight:normal; font-style:normal; border-collapse:separate; border-left:black 0px solid; border-ri" xfId="9" xr:uid="{E761FDF3-7B1A-40FD-9733-83B9F930F9F7}"/>
    <cellStyle name="background-color:White; color:Black; font:font-family:Arial; font-size:10pt; font-weight:normal; font-style:normal; ; font-family:Arial; font-size:10pt; font-weight:normal; font-style:normal; border-collapse:separate; border-left:black 0px solid; border-r" xfId="2" xr:uid="{FF804E1F-DBCB-46FE-A210-06DC62C6604A}"/>
    <cellStyle name="border-bottom:black 0px solid;font-family:Arial;text-align:left;width:132px;font-weight:normal;height:30px;color:Black;background-color:White;border-right:black 0px solid;font-style:normal;border-left:black 0px solid;border-top:black 0px solid;border-coll" xfId="7" xr:uid="{A45CBF35-BAD7-436E-A692-C5F7648911BA}"/>
    <cellStyle name="border-bottom:black 0px solid;font-family:Arial;text-align:left;width:133px;font-weight:normal;height:30px;color:Black;background-color:White;border-right:black 0px solid;font-style:normal;border-left:black 0px solid;border-top:black 0px solid;border-coll" xfId="8" xr:uid="{CC59BB93-CCDC-4CEA-9D85-B037A471FED4}"/>
    <cellStyle name="border-bottom:black 0px solid;font-family:Arial;text-align:left;width:70px;font-weight:normal;height:30px;color:Black;background-color:White;border-right:black 0px solid;font-style:normal;border-left:black 0px solid;border-top:black 0px solid;border-colla" xfId="6" xr:uid="{54E08500-4D0E-4B5B-A5FB-979E6CF11FC2}"/>
    <cellStyle name="border-bottom:black 0px solid;font-family:Arial;text-align:left;width:70px;font-weight:normal;height:30px;color:White;background-color:Navy;border-right:black 0px solid;font-style:normal;border-left:black 0px solid;border-top:black 0px solid;border-collap" xfId="3" xr:uid="{B567D362-938B-4EB8-A912-B0B54857333A}"/>
    <cellStyle name="Comma" xfId="13" xr:uid="{8CB746AD-3DD7-4311-8219-C7773CDBD84F}"/>
    <cellStyle name="Comma [0]" xfId="14" xr:uid="{E72B3C30-6746-4A91-9A6F-3A75C1A0F841}"/>
    <cellStyle name="Currency" xfId="11" xr:uid="{D188DD0D-7EB9-48A3-8A4C-7A52F52970CF}"/>
    <cellStyle name="Currency [0]" xfId="12" xr:uid="{A82DFB23-71D4-4C0C-8D87-7CCA7631ACB6}"/>
    <cellStyle name="DEFAULT_STYLE" xfId="15" xr:uid="{2BC64E9A-B7F5-4A4F-99E8-CBFC53905D20}"/>
    <cellStyle name="disclaimerStyle" xfId="1" xr:uid="{1228585E-582F-4EEB-9A7C-AAF1A988CB2B}"/>
    <cellStyle name="Normal" xfId="0" builtinId="0"/>
    <cellStyle name="Normal 2" xfId="10" xr:uid="{11B56FFD-068C-4157-B17E-44366C7FC2C9}"/>
    <cellStyle name="Percent" xfId="4" xr:uid="{78789A07-B4B7-42B8-B6B3-F589955C571C}"/>
    <cellStyle name="Pourcentag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D64BD-D90C-41FF-9FA0-58A4025E2106}">
  <sheetPr codeName="Feuil4"/>
  <dimension ref="A1:V21"/>
  <sheetViews>
    <sheetView tabSelected="1" topLeftCell="A2" zoomScale="80" zoomScaleNormal="80" workbookViewId="0">
      <pane xSplit="4" ySplit="2" topLeftCell="E4" activePane="bottomRight" state="frozen"/>
      <selection activeCell="A2" sqref="A2"/>
      <selection pane="topRight" activeCell="E2" sqref="E2"/>
      <selection pane="bottomLeft" activeCell="A4" sqref="A4"/>
      <selection pane="bottomRight" activeCell="K25" sqref="K25"/>
    </sheetView>
  </sheetViews>
  <sheetFormatPr baseColWidth="10" defaultRowHeight="15" x14ac:dyDescent="0.25"/>
  <cols>
    <col min="2" max="2" width="14.85546875" customWidth="1"/>
    <col min="5" max="5" width="38.7109375" customWidth="1"/>
    <col min="6" max="6" width="6.28515625" style="34" customWidth="1"/>
    <col min="7" max="7" width="10" style="35" customWidth="1"/>
    <col min="8" max="8" width="9.85546875" style="12" customWidth="1"/>
    <col min="9" max="9" width="9.7109375" style="35" customWidth="1"/>
    <col min="10" max="10" width="5.7109375" style="34" customWidth="1"/>
    <col min="11" max="11" width="7.7109375" style="34" customWidth="1"/>
    <col min="12" max="13" width="9.28515625" style="38" customWidth="1"/>
    <col min="14" max="14" width="10.5703125" style="38" customWidth="1"/>
    <col min="15" max="15" width="10" style="43" customWidth="1"/>
    <col min="16" max="16" width="11.5703125" style="39"/>
    <col min="17" max="17" width="8.5703125" style="36" customWidth="1"/>
    <col min="18" max="18" width="12.85546875" style="36" customWidth="1"/>
    <col min="19" max="19" width="11.5703125" style="39" customWidth="1"/>
    <col min="20" max="20" width="11.5703125" style="39"/>
    <col min="21" max="21" width="11.42578125" style="49"/>
    <col min="22" max="22" width="13.7109375" style="57" customWidth="1"/>
  </cols>
  <sheetData>
    <row r="1" spans="1:22" s="2" customFormat="1" ht="15" hidden="1" customHeight="1" thickBot="1" x14ac:dyDescent="0.3">
      <c r="A1" s="1" t="s">
        <v>24</v>
      </c>
      <c r="B1" s="1" t="s">
        <v>24</v>
      </c>
      <c r="C1" s="1" t="s">
        <v>24</v>
      </c>
      <c r="D1" s="1" t="s">
        <v>24</v>
      </c>
      <c r="E1" s="1" t="s">
        <v>24</v>
      </c>
      <c r="F1" s="44"/>
      <c r="G1" s="8"/>
      <c r="H1" s="28"/>
      <c r="I1" s="8" t="s">
        <v>25</v>
      </c>
      <c r="J1" s="9" t="s">
        <v>24</v>
      </c>
      <c r="K1" s="9" t="s">
        <v>24</v>
      </c>
      <c r="L1" s="37"/>
      <c r="M1" s="37"/>
      <c r="N1" s="38"/>
      <c r="O1" s="54"/>
      <c r="P1" s="40"/>
      <c r="Q1" s="36"/>
      <c r="R1" s="92">
        <v>44562</v>
      </c>
      <c r="S1" s="92"/>
      <c r="T1" s="41"/>
      <c r="U1" s="49"/>
      <c r="V1" s="57"/>
    </row>
    <row r="2" spans="1:22" ht="45.75" thickBot="1" x14ac:dyDescent="0.3">
      <c r="A2" s="1"/>
      <c r="B2" s="1"/>
      <c r="C2" s="1"/>
      <c r="D2" s="1"/>
      <c r="E2" s="1"/>
      <c r="F2" s="26"/>
      <c r="G2" s="95" t="s">
        <v>71</v>
      </c>
      <c r="H2" s="96"/>
      <c r="I2" s="97" t="s">
        <v>72</v>
      </c>
      <c r="J2" s="98"/>
      <c r="K2" s="98"/>
      <c r="L2" s="93" t="s">
        <v>77</v>
      </c>
      <c r="M2" s="94"/>
      <c r="N2" s="52" t="s">
        <v>73</v>
      </c>
      <c r="O2" s="56" t="s">
        <v>74</v>
      </c>
      <c r="P2" s="53" t="s">
        <v>75</v>
      </c>
      <c r="Q2" s="31" t="s">
        <v>78</v>
      </c>
      <c r="R2"/>
      <c r="S2"/>
      <c r="T2"/>
      <c r="U2"/>
      <c r="V2" s="51"/>
    </row>
    <row r="3" spans="1:22" ht="75.75" thickBot="1" x14ac:dyDescent="0.3">
      <c r="A3" s="3" t="s">
        <v>76</v>
      </c>
      <c r="B3" s="4" t="s">
        <v>1</v>
      </c>
      <c r="C3" s="4" t="s">
        <v>0</v>
      </c>
      <c r="D3" s="4" t="s">
        <v>3</v>
      </c>
      <c r="E3" s="5" t="s">
        <v>20</v>
      </c>
      <c r="F3" s="6" t="s">
        <v>21</v>
      </c>
      <c r="G3" s="11" t="s">
        <v>22</v>
      </c>
      <c r="H3" s="32" t="s">
        <v>50</v>
      </c>
      <c r="I3" s="10" t="s">
        <v>49</v>
      </c>
      <c r="J3" s="7" t="s">
        <v>2</v>
      </c>
      <c r="K3" s="7" t="s">
        <v>23</v>
      </c>
      <c r="L3" s="27" t="s">
        <v>51</v>
      </c>
      <c r="M3" s="27" t="s">
        <v>79</v>
      </c>
      <c r="N3" s="29" t="s">
        <v>51</v>
      </c>
      <c r="O3" s="55" t="s">
        <v>52</v>
      </c>
      <c r="P3" s="30" t="s">
        <v>53</v>
      </c>
      <c r="Q3" s="31" t="s">
        <v>54</v>
      </c>
      <c r="R3" s="50" t="s">
        <v>59</v>
      </c>
      <c r="S3" s="33" t="s">
        <v>55</v>
      </c>
      <c r="T3" s="33" t="s">
        <v>56</v>
      </c>
      <c r="U3" s="33" t="s">
        <v>57</v>
      </c>
      <c r="V3" s="58" t="s">
        <v>81</v>
      </c>
    </row>
    <row r="4" spans="1:22" x14ac:dyDescent="0.25">
      <c r="A4">
        <v>105241</v>
      </c>
      <c r="B4" t="s">
        <v>65</v>
      </c>
      <c r="C4" t="s">
        <v>15</v>
      </c>
      <c r="D4" t="s">
        <v>8</v>
      </c>
      <c r="E4" t="s">
        <v>68</v>
      </c>
      <c r="F4" s="45" t="s">
        <v>9</v>
      </c>
      <c r="G4" s="35">
        <v>88606</v>
      </c>
      <c r="H4" s="12">
        <v>0.99620240164322948</v>
      </c>
      <c r="I4" s="35">
        <v>88269.51</v>
      </c>
      <c r="J4" s="34">
        <v>1</v>
      </c>
      <c r="K4" s="34" t="s">
        <v>6</v>
      </c>
      <c r="L4" s="38">
        <v>0.2</v>
      </c>
      <c r="M4" s="49">
        <v>0</v>
      </c>
      <c r="N4" s="38">
        <v>0.1</v>
      </c>
      <c r="P4" s="38">
        <v>0.05</v>
      </c>
      <c r="Q4" s="38">
        <v>0.1</v>
      </c>
      <c r="R4" s="49">
        <v>1656.3445200000001</v>
      </c>
      <c r="S4" s="42">
        <v>110337</v>
      </c>
      <c r="T4" s="42">
        <v>110337</v>
      </c>
      <c r="U4" s="42">
        <v>106806</v>
      </c>
      <c r="V4" s="59">
        <v>-1874.6554799999999</v>
      </c>
    </row>
    <row r="5" spans="1:22" x14ac:dyDescent="0.25">
      <c r="A5">
        <v>106512</v>
      </c>
      <c r="B5" t="s">
        <v>16</v>
      </c>
      <c r="C5" t="s">
        <v>19</v>
      </c>
      <c r="D5" t="s">
        <v>8</v>
      </c>
      <c r="E5" t="s">
        <v>69</v>
      </c>
      <c r="F5" s="45" t="s">
        <v>10</v>
      </c>
      <c r="G5" s="35">
        <v>99048.78</v>
      </c>
      <c r="H5" s="12">
        <v>0.85816301826231478</v>
      </c>
      <c r="I5" s="35">
        <v>85000</v>
      </c>
      <c r="J5" s="34">
        <v>1</v>
      </c>
      <c r="K5" s="34" t="s">
        <v>6</v>
      </c>
      <c r="L5" s="38">
        <v>0.2</v>
      </c>
      <c r="M5" s="49">
        <v>1254</v>
      </c>
      <c r="N5" s="38">
        <v>0.13</v>
      </c>
      <c r="O5" s="43">
        <v>5400</v>
      </c>
      <c r="P5" s="38">
        <v>0.05</v>
      </c>
      <c r="Q5" s="38">
        <v>0.06</v>
      </c>
      <c r="R5" s="49">
        <v>1648.5092</v>
      </c>
      <c r="S5" s="42">
        <v>106250</v>
      </c>
      <c r="T5" s="42">
        <v>106250</v>
      </c>
      <c r="U5" s="42">
        <v>103734</v>
      </c>
      <c r="V5" s="59">
        <v>-6267.4907999999996</v>
      </c>
    </row>
    <row r="6" spans="1:22" x14ac:dyDescent="0.25">
      <c r="A6">
        <v>104215</v>
      </c>
      <c r="B6" t="s">
        <v>66</v>
      </c>
      <c r="C6" t="s">
        <v>17</v>
      </c>
      <c r="D6" t="s">
        <v>8</v>
      </c>
      <c r="E6" t="s">
        <v>70</v>
      </c>
      <c r="F6" s="45" t="s">
        <v>7</v>
      </c>
      <c r="G6" s="35">
        <v>60764</v>
      </c>
      <c r="H6" s="12">
        <v>1.0818083075505234</v>
      </c>
      <c r="I6" s="35">
        <v>65735</v>
      </c>
      <c r="J6" s="34">
        <v>0.8</v>
      </c>
      <c r="K6" s="34" t="s">
        <v>6</v>
      </c>
      <c r="M6" s="49">
        <v>0</v>
      </c>
      <c r="N6" s="38">
        <v>7.0000000000000007E-2</v>
      </c>
      <c r="P6" s="38">
        <v>0.05</v>
      </c>
      <c r="Q6" s="38">
        <v>0.06</v>
      </c>
      <c r="R6" s="49">
        <v>1346.2193600000001</v>
      </c>
      <c r="S6" s="42">
        <v>69022</v>
      </c>
      <c r="T6" s="42">
        <v>69022</v>
      </c>
      <c r="U6" s="42">
        <v>77370</v>
      </c>
      <c r="V6" s="59">
        <v>0</v>
      </c>
    </row>
    <row r="7" spans="1:22" x14ac:dyDescent="0.25">
      <c r="A7">
        <v>103235</v>
      </c>
      <c r="B7" t="s">
        <v>18</v>
      </c>
      <c r="C7" t="s">
        <v>13</v>
      </c>
      <c r="D7" t="s">
        <v>5</v>
      </c>
      <c r="E7" t="s">
        <v>14</v>
      </c>
      <c r="F7" s="45" t="s">
        <v>26</v>
      </c>
      <c r="G7" s="35">
        <v>45612</v>
      </c>
      <c r="H7" s="12">
        <v>0.91751293519249322</v>
      </c>
      <c r="I7" s="35">
        <v>41849.599999999999</v>
      </c>
      <c r="J7" s="34">
        <v>1</v>
      </c>
      <c r="K7" s="34" t="s">
        <v>4</v>
      </c>
      <c r="M7" s="49">
        <v>0</v>
      </c>
      <c r="N7" s="38">
        <v>0.06</v>
      </c>
      <c r="P7" s="38">
        <v>0.04</v>
      </c>
      <c r="Q7" s="38">
        <v>0.06</v>
      </c>
      <c r="R7" s="49">
        <v>0</v>
      </c>
      <c r="S7" s="42">
        <v>43524</v>
      </c>
      <c r="T7" s="42">
        <v>43524</v>
      </c>
      <c r="U7" s="42">
        <v>47022</v>
      </c>
      <c r="V7" s="59">
        <v>0</v>
      </c>
    </row>
    <row r="8" spans="1:22" x14ac:dyDescent="0.25">
      <c r="A8">
        <v>105875</v>
      </c>
      <c r="B8" t="s">
        <v>67</v>
      </c>
      <c r="C8" t="s">
        <v>12</v>
      </c>
      <c r="D8" t="s">
        <v>5</v>
      </c>
      <c r="E8" t="s">
        <v>11</v>
      </c>
      <c r="F8" s="45" t="s">
        <v>7</v>
      </c>
      <c r="G8" s="35">
        <v>55574</v>
      </c>
      <c r="H8" s="12">
        <v>0.8982617770900061</v>
      </c>
      <c r="I8" s="35">
        <v>49920</v>
      </c>
      <c r="J8" s="34">
        <v>1</v>
      </c>
      <c r="K8" s="34" t="s">
        <v>4</v>
      </c>
      <c r="L8" s="38">
        <v>0.1</v>
      </c>
      <c r="M8" s="49">
        <v>0</v>
      </c>
      <c r="N8" s="38">
        <v>7.0000000000000007E-2</v>
      </c>
      <c r="P8" s="38">
        <v>0.04</v>
      </c>
      <c r="Q8" s="38">
        <v>0.06</v>
      </c>
      <c r="R8" s="49">
        <v>0</v>
      </c>
      <c r="S8" s="42">
        <v>56909</v>
      </c>
      <c r="T8" s="42">
        <v>56909</v>
      </c>
      <c r="U8" s="42">
        <v>56619</v>
      </c>
      <c r="V8" s="59">
        <v>-290</v>
      </c>
    </row>
    <row r="9" spans="1:22" x14ac:dyDescent="0.25">
      <c r="Q9" s="43"/>
      <c r="U9"/>
      <c r="V9" s="51"/>
    </row>
    <row r="10" spans="1:22" x14ac:dyDescent="0.25">
      <c r="U10"/>
      <c r="V10" s="51"/>
    </row>
    <row r="11" spans="1:22" x14ac:dyDescent="0.25">
      <c r="U11"/>
      <c r="V11" s="51"/>
    </row>
    <row r="12" spans="1:22" x14ac:dyDescent="0.25">
      <c r="U12"/>
      <c r="V12" s="51"/>
    </row>
    <row r="13" spans="1:22" x14ac:dyDescent="0.25">
      <c r="U13"/>
      <c r="V13" s="51"/>
    </row>
    <row r="14" spans="1:22" x14ac:dyDescent="0.25">
      <c r="U14"/>
      <c r="V14" s="51"/>
    </row>
    <row r="15" spans="1:22" x14ac:dyDescent="0.25">
      <c r="U15"/>
      <c r="V15" s="51"/>
    </row>
    <row r="16" spans="1:22" x14ac:dyDescent="0.25">
      <c r="U16"/>
      <c r="V16" s="51"/>
    </row>
    <row r="17" spans="21:22" x14ac:dyDescent="0.25">
      <c r="U17"/>
      <c r="V17" s="51"/>
    </row>
    <row r="18" spans="21:22" x14ac:dyDescent="0.25">
      <c r="U18"/>
      <c r="V18" s="51"/>
    </row>
    <row r="19" spans="21:22" x14ac:dyDescent="0.25">
      <c r="U19"/>
      <c r="V19" s="51"/>
    </row>
    <row r="20" spans="21:22" x14ac:dyDescent="0.25">
      <c r="U20"/>
      <c r="V20" s="51"/>
    </row>
    <row r="21" spans="21:22" x14ac:dyDescent="0.25">
      <c r="U21"/>
      <c r="V21" s="51"/>
    </row>
  </sheetData>
  <autoFilter ref="A3:V8" xr:uid="{FC452AB1-A5F1-4634-B835-721564C34861}"/>
  <sortState xmlns:xlrd2="http://schemas.microsoft.com/office/spreadsheetml/2017/richdata2" ref="A4:P8">
    <sortCondition ref="D4:D8"/>
    <sortCondition ref="B4:B8"/>
    <sortCondition ref="C4:C8"/>
  </sortState>
  <mergeCells count="4">
    <mergeCell ref="R1:S1"/>
    <mergeCell ref="L2:M2"/>
    <mergeCell ref="G2:H2"/>
    <mergeCell ref="I2:K2"/>
  </mergeCells>
  <pageMargins left="0.7" right="0.7" top="0.75" bottom="0.75" header="0.3" footer="0.3"/>
  <pageSetup orientation="portrait" horizontalDpi="300" verticalDpi="300" r:id="rId1"/>
  <headerFooter scaleWithDoc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092A3-35D9-4D54-85EA-678D143FDB9F}">
  <sheetPr codeName="Feuil1">
    <pageSetUpPr fitToPage="1"/>
  </sheetPr>
  <dimension ref="A1:L26"/>
  <sheetViews>
    <sheetView workbookViewId="0">
      <selection activeCell="F5" sqref="F5"/>
    </sheetView>
  </sheetViews>
  <sheetFormatPr baseColWidth="10" defaultRowHeight="15" x14ac:dyDescent="0.25"/>
  <cols>
    <col min="1" max="1" width="24.140625" bestFit="1" customWidth="1"/>
    <col min="5" max="5" width="8.28515625" customWidth="1"/>
    <col min="6" max="6" width="30.28515625" customWidth="1"/>
    <col min="7" max="8" width="11.42578125" customWidth="1"/>
  </cols>
  <sheetData>
    <row r="1" spans="1:12" ht="15.75" thickBot="1" x14ac:dyDescent="0.3"/>
    <row r="2" spans="1:12" ht="15.75" thickBot="1" x14ac:dyDescent="0.3">
      <c r="E2" s="63"/>
      <c r="F2" s="64"/>
      <c r="G2" s="64"/>
      <c r="H2" s="64"/>
      <c r="I2" s="64"/>
      <c r="J2" s="64"/>
      <c r="K2" s="64"/>
      <c r="L2" s="65"/>
    </row>
    <row r="3" spans="1:12" x14ac:dyDescent="0.25">
      <c r="A3" s="89" t="s">
        <v>37</v>
      </c>
      <c r="C3">
        <v>105875</v>
      </c>
      <c r="E3" s="66"/>
      <c r="F3" s="67"/>
      <c r="G3" s="68"/>
      <c r="H3" s="68"/>
      <c r="I3" s="68"/>
      <c r="J3" s="67"/>
      <c r="K3" s="60" t="s">
        <v>48</v>
      </c>
      <c r="L3" s="69" t="str">
        <f>IF(C4="Canada","CAD )","USD )")</f>
        <v>USD )</v>
      </c>
    </row>
    <row r="4" spans="1:12" x14ac:dyDescent="0.25">
      <c r="A4" s="90" t="s">
        <v>3</v>
      </c>
      <c r="C4" t="str">
        <f>VLOOKUP(C3,Master!A:V,4,FALSE)</f>
        <v>United States</v>
      </c>
      <c r="E4" s="66"/>
      <c r="F4" s="70" t="s">
        <v>27</v>
      </c>
      <c r="G4" s="71" t="str">
        <f>C5&amp;" "&amp;C6</f>
        <v>Jose Sandona</v>
      </c>
      <c r="H4" s="72"/>
      <c r="I4" s="72"/>
      <c r="J4" s="72"/>
      <c r="K4" s="72"/>
      <c r="L4" s="73"/>
    </row>
    <row r="5" spans="1:12" x14ac:dyDescent="0.25">
      <c r="A5" s="90" t="s">
        <v>0</v>
      </c>
      <c r="C5" t="str">
        <f>VLOOKUP(C3,Master!A:V,3,FALSE)</f>
        <v>Jose</v>
      </c>
      <c r="E5" s="66"/>
      <c r="F5" s="70" t="s">
        <v>28</v>
      </c>
      <c r="G5" s="71" t="str">
        <f>C7</f>
        <v>Logistics Coordinator</v>
      </c>
      <c r="H5" s="74"/>
      <c r="I5" s="74"/>
      <c r="J5" s="74"/>
      <c r="K5" s="74"/>
      <c r="L5" s="75"/>
    </row>
    <row r="6" spans="1:12" x14ac:dyDescent="0.25">
      <c r="A6" s="90" t="s">
        <v>1</v>
      </c>
      <c r="C6" t="str">
        <f>VLOOKUP(C3,Master!A:V,2,FALSE)</f>
        <v>Sandona</v>
      </c>
      <c r="E6" s="66"/>
      <c r="F6" s="67"/>
      <c r="G6" s="67"/>
      <c r="H6" s="74"/>
      <c r="I6" s="74"/>
      <c r="J6" s="74"/>
      <c r="K6" s="74"/>
      <c r="L6" s="75"/>
    </row>
    <row r="7" spans="1:12" x14ac:dyDescent="0.25">
      <c r="A7" s="90" t="s">
        <v>38</v>
      </c>
      <c r="C7" t="str">
        <f>VLOOKUP(C3,Master!A:V,5,FALSE)</f>
        <v>Logistics Coordinator</v>
      </c>
      <c r="E7" s="66"/>
      <c r="F7" s="70" t="s">
        <v>21</v>
      </c>
      <c r="G7" s="71" t="str">
        <f>C8</f>
        <v>O</v>
      </c>
      <c r="H7" s="74"/>
      <c r="I7" s="74"/>
      <c r="J7" s="74"/>
      <c r="K7" s="74"/>
      <c r="L7" s="75"/>
    </row>
    <row r="8" spans="1:12" ht="15.75" thickBot="1" x14ac:dyDescent="0.3">
      <c r="A8" s="90" t="s">
        <v>21</v>
      </c>
      <c r="C8" t="str">
        <f>VLOOKUP(C3,Master!A:V,6,FALSE)</f>
        <v>O</v>
      </c>
      <c r="E8" s="66"/>
      <c r="F8" s="67"/>
      <c r="G8" s="67"/>
      <c r="H8" s="74"/>
      <c r="I8" s="74"/>
      <c r="J8" s="74"/>
      <c r="K8" s="74"/>
      <c r="L8" s="75"/>
    </row>
    <row r="9" spans="1:12" x14ac:dyDescent="0.25">
      <c r="A9" s="90" t="s">
        <v>2</v>
      </c>
      <c r="C9">
        <f>VLOOKUP(C3,Master!A:V,10,FALSE)</f>
        <v>1</v>
      </c>
      <c r="E9" s="66"/>
      <c r="F9" s="67"/>
      <c r="G9" s="61">
        <v>2020</v>
      </c>
      <c r="H9" s="62"/>
      <c r="I9" s="61">
        <v>2021</v>
      </c>
      <c r="J9" s="62"/>
      <c r="K9" s="61">
        <v>2022</v>
      </c>
      <c r="L9" s="62"/>
    </row>
    <row r="10" spans="1:12" x14ac:dyDescent="0.25">
      <c r="A10" s="90" t="s">
        <v>39</v>
      </c>
      <c r="C10">
        <f>VLOOKUP(C3,Master!A:V,9,FALSE)</f>
        <v>49920</v>
      </c>
      <c r="E10" s="66"/>
      <c r="F10" s="67"/>
      <c r="G10" s="13"/>
      <c r="H10" s="14" t="s">
        <v>29</v>
      </c>
      <c r="I10" s="13"/>
      <c r="J10" s="14" t="s">
        <v>29</v>
      </c>
      <c r="K10" s="13"/>
      <c r="L10" s="15" t="s">
        <v>29</v>
      </c>
    </row>
    <row r="11" spans="1:12" x14ac:dyDescent="0.25">
      <c r="A11" s="90" t="s">
        <v>63</v>
      </c>
      <c r="C11">
        <f>VLOOKUP(C3,Master!A:V,7,FALSE)</f>
        <v>55574</v>
      </c>
      <c r="E11" s="66"/>
      <c r="F11" s="67"/>
      <c r="G11" s="16"/>
      <c r="H11" s="17"/>
      <c r="I11" s="16"/>
      <c r="J11" s="17"/>
      <c r="K11" s="16"/>
      <c r="L11" s="18"/>
    </row>
    <row r="12" spans="1:12" x14ac:dyDescent="0.25">
      <c r="A12" s="90" t="s">
        <v>40</v>
      </c>
      <c r="C12">
        <f>VLOOKUP(C3,Master!A:V,8,FALSE)</f>
        <v>0.8982617770900061</v>
      </c>
      <c r="E12" s="66"/>
      <c r="F12" s="71" t="s">
        <v>30</v>
      </c>
      <c r="G12" s="16"/>
      <c r="H12" s="17">
        <f>C10*C9</f>
        <v>49920</v>
      </c>
      <c r="I12" s="16"/>
      <c r="J12" s="17">
        <f>H12*(1+H22)</f>
        <v>49920</v>
      </c>
      <c r="K12" s="16"/>
      <c r="L12" s="18">
        <f>J12*(1+H22)</f>
        <v>49920</v>
      </c>
    </row>
    <row r="13" spans="1:12" x14ac:dyDescent="0.25">
      <c r="A13" s="90" t="s">
        <v>41</v>
      </c>
      <c r="E13" s="66"/>
      <c r="F13" s="71" t="s">
        <v>31</v>
      </c>
      <c r="G13" s="19">
        <f>+C11*C9</f>
        <v>55574</v>
      </c>
      <c r="H13" s="17"/>
      <c r="I13" s="19">
        <f>G13*(1+H23)</f>
        <v>55574</v>
      </c>
      <c r="J13" s="17"/>
      <c r="K13" s="19">
        <f>I13*(1+H23)</f>
        <v>55574</v>
      </c>
      <c r="L13" s="18"/>
    </row>
    <row r="14" spans="1:12" x14ac:dyDescent="0.25">
      <c r="A14" s="90" t="s">
        <v>42</v>
      </c>
      <c r="C14">
        <f>VLOOKUP(C3,Master!A:V,12,FALSE)</f>
        <v>0.1</v>
      </c>
      <c r="D14">
        <f>VLOOKUP(C3,Master!A:V,13,FALSE)</f>
        <v>0</v>
      </c>
      <c r="E14" s="66"/>
      <c r="F14" s="71" t="s">
        <v>32</v>
      </c>
      <c r="G14" s="20">
        <f>C12</f>
        <v>0.8982617770900061</v>
      </c>
      <c r="H14" s="17"/>
      <c r="I14" s="20">
        <f>(J12/C9)/I13</f>
        <v>0.8982617770900061</v>
      </c>
      <c r="J14" s="17"/>
      <c r="K14" s="20">
        <f>(L12/C9)/K13</f>
        <v>0.8982617770900061</v>
      </c>
      <c r="L14" s="18"/>
    </row>
    <row r="15" spans="1:12" x14ac:dyDescent="0.25">
      <c r="A15" s="90" t="s">
        <v>43</v>
      </c>
      <c r="C15">
        <f>VLOOKUP(C3,Master!A:V,14,FALSE)</f>
        <v>7.0000000000000007E-2</v>
      </c>
      <c r="E15" s="66"/>
      <c r="F15" s="71" t="s">
        <v>33</v>
      </c>
      <c r="G15" s="21">
        <f>C14</f>
        <v>0.1</v>
      </c>
      <c r="H15" s="17">
        <f>(H12*G15)+D14</f>
        <v>4992</v>
      </c>
      <c r="I15" s="21">
        <f>C14</f>
        <v>0.1</v>
      </c>
      <c r="J15" s="17">
        <f>(J12*I15)+D14</f>
        <v>4992</v>
      </c>
      <c r="K15" s="21">
        <f>C15</f>
        <v>7.0000000000000007E-2</v>
      </c>
      <c r="L15" s="18">
        <f>L12*K15</f>
        <v>3494.4000000000005</v>
      </c>
    </row>
    <row r="16" spans="1:12" x14ac:dyDescent="0.25">
      <c r="A16" s="90" t="s">
        <v>44</v>
      </c>
      <c r="E16" s="66"/>
      <c r="F16" s="71" t="s">
        <v>34</v>
      </c>
      <c r="G16" s="22">
        <f>C17</f>
        <v>0.04</v>
      </c>
      <c r="H16" s="17">
        <f>H12*G16</f>
        <v>1996.8</v>
      </c>
      <c r="I16" s="22">
        <f>G16</f>
        <v>0.04</v>
      </c>
      <c r="J16" s="17">
        <f>J12*I16</f>
        <v>1996.8</v>
      </c>
      <c r="K16" s="22">
        <f>C18</f>
        <v>0.06</v>
      </c>
      <c r="L16" s="18">
        <f>(L12+L15)*K16</f>
        <v>3204.864</v>
      </c>
    </row>
    <row r="17" spans="1:12" x14ac:dyDescent="0.25">
      <c r="A17" s="90" t="s">
        <v>45</v>
      </c>
      <c r="C17">
        <f>VLOOKUP(C3,Master!A:V,16,FALSE)</f>
        <v>0.04</v>
      </c>
      <c r="E17" s="66"/>
      <c r="F17" s="67" t="s">
        <v>35</v>
      </c>
      <c r="G17" s="16"/>
      <c r="H17" s="17">
        <f>C19</f>
        <v>0</v>
      </c>
      <c r="I17" s="16"/>
      <c r="J17" s="17">
        <f>H17</f>
        <v>0</v>
      </c>
      <c r="K17" s="16"/>
      <c r="L17" s="18"/>
    </row>
    <row r="18" spans="1:12" x14ac:dyDescent="0.25">
      <c r="A18" s="90" t="s">
        <v>46</v>
      </c>
      <c r="C18">
        <f>VLOOKUP(C3,Master!A:V,17,FALSE)</f>
        <v>0.06</v>
      </c>
      <c r="E18" s="66"/>
      <c r="F18" s="67" t="s">
        <v>64</v>
      </c>
      <c r="G18" s="46"/>
      <c r="H18" s="47"/>
      <c r="I18" s="46"/>
      <c r="J18" s="47"/>
      <c r="K18" s="46"/>
      <c r="L18" s="48">
        <f>C20</f>
        <v>0</v>
      </c>
    </row>
    <row r="19" spans="1:12" ht="15.75" thickBot="1" x14ac:dyDescent="0.3">
      <c r="A19" s="90" t="s">
        <v>47</v>
      </c>
      <c r="C19">
        <f>VLOOKUP(C3,Master!A:V,15,FALSE)</f>
        <v>0</v>
      </c>
      <c r="E19" s="66"/>
      <c r="F19" s="71" t="s">
        <v>62</v>
      </c>
      <c r="G19" s="23"/>
      <c r="H19" s="24"/>
      <c r="I19" s="23"/>
      <c r="J19" s="24"/>
      <c r="K19" s="23"/>
      <c r="L19" s="25">
        <f>IF((J20-SUM(L12:L17))&lt;0,0,J20-SUM(L12:L18))</f>
        <v>289.53600000000006</v>
      </c>
    </row>
    <row r="20" spans="1:12" x14ac:dyDescent="0.25">
      <c r="A20" s="90" t="s">
        <v>58</v>
      </c>
      <c r="C20">
        <f>VLOOKUP(C3,Master!A:V,18,FALSE)</f>
        <v>0</v>
      </c>
      <c r="E20" s="66"/>
      <c r="F20" s="76" t="s">
        <v>61</v>
      </c>
      <c r="G20" s="77"/>
      <c r="H20" s="78">
        <f>SUM(H12:H19)</f>
        <v>56908.800000000003</v>
      </c>
      <c r="I20" s="77"/>
      <c r="J20" s="78">
        <f>SUM(J12:J19)</f>
        <v>56908.800000000003</v>
      </c>
      <c r="K20" s="77"/>
      <c r="L20" s="79">
        <f>SUM(L12:L19)</f>
        <v>56908.800000000003</v>
      </c>
    </row>
    <row r="21" spans="1:12" ht="15.75" thickBot="1" x14ac:dyDescent="0.3">
      <c r="A21" s="91"/>
      <c r="E21" s="66"/>
      <c r="F21" s="67"/>
      <c r="G21" s="77"/>
      <c r="H21" s="80"/>
      <c r="I21" s="77"/>
      <c r="J21" s="80"/>
      <c r="K21" s="77"/>
      <c r="L21" s="81"/>
    </row>
    <row r="22" spans="1:12" x14ac:dyDescent="0.25">
      <c r="E22" s="66"/>
      <c r="F22" s="71" t="s">
        <v>36</v>
      </c>
      <c r="G22" s="71"/>
      <c r="H22" s="82">
        <v>0</v>
      </c>
      <c r="I22" s="77"/>
      <c r="J22" s="80"/>
      <c r="K22" s="77"/>
      <c r="L22" s="83"/>
    </row>
    <row r="23" spans="1:12" x14ac:dyDescent="0.25">
      <c r="E23" s="66"/>
      <c r="F23" s="71" t="s">
        <v>60</v>
      </c>
      <c r="G23" s="71"/>
      <c r="H23" s="84">
        <v>0</v>
      </c>
      <c r="I23" s="77"/>
      <c r="J23" s="80"/>
      <c r="K23" s="77"/>
      <c r="L23" s="83"/>
    </row>
    <row r="24" spans="1:12" x14ac:dyDescent="0.25">
      <c r="E24" s="66"/>
      <c r="F24" s="67"/>
      <c r="G24" s="84"/>
      <c r="H24" s="80"/>
      <c r="I24" s="77"/>
      <c r="J24" s="80"/>
      <c r="K24" s="77"/>
      <c r="L24" s="83"/>
    </row>
    <row r="25" spans="1:12" x14ac:dyDescent="0.25">
      <c r="E25" s="66"/>
      <c r="F25" s="85" t="s">
        <v>80</v>
      </c>
      <c r="G25" s="84"/>
      <c r="H25" s="80"/>
      <c r="I25" s="77"/>
      <c r="J25" s="80"/>
      <c r="K25" s="77"/>
      <c r="L25" s="83"/>
    </row>
    <row r="26" spans="1:12" ht="15.75" thickBot="1" x14ac:dyDescent="0.3">
      <c r="E26" s="86"/>
      <c r="F26" s="87"/>
      <c r="G26" s="87"/>
      <c r="H26" s="87"/>
      <c r="I26" s="87"/>
      <c r="J26" s="87"/>
      <c r="K26" s="87"/>
      <c r="L26" s="88"/>
    </row>
  </sheetData>
  <pageMargins left="0.70866141732283472" right="0.70866141732283472" top="0.74803149606299213" bottom="0.74803149606299213" header="0.31496062992125984" footer="0.31496062992125984"/>
  <pageSetup scale="62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C341D-7877-4A82-9172-085AC9996EC2}">
  <sheetPr codeName="Feuil5"/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0DD749F3087C4F8284B0DFEC13FA1C" ma:contentTypeVersion="0" ma:contentTypeDescription="Crée un document." ma:contentTypeScope="" ma:versionID="a07c45405a4593de3339154fe7954336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3d6ca9f312fcd1c0ab10337cdbdb729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4744CB6-E75E-4373-ACD2-CD94DA860A0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9AF5ACE-3321-43B0-88E8-4ACC6415FC3D}">
  <ds:schemaRefs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911B0364-454A-416D-879A-82B971F1834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Master</vt:lpstr>
      <vt:lpstr>Individual Summary</vt:lpstr>
      <vt:lpstr>New Summary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Josée Morin</dc:creator>
  <cp:lastModifiedBy>Utilisateur</cp:lastModifiedBy>
  <dcterms:created xsi:type="dcterms:W3CDTF">2020-08-10T12:23:49Z</dcterms:created>
  <dcterms:modified xsi:type="dcterms:W3CDTF">2020-08-11T22:15:51Z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0x010100640DD749F3087C4F8284B0DFEC13FA1C</vt:lpwstr>
  </property>
</Properties>
</file>