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1"/>
  <workbookPr defaultThemeVersion="166925"/>
  <mc:AlternateContent xmlns:mc="http://schemas.openxmlformats.org/markup-compatibility/2006">
    <mc:Choice Requires="x15">
      <x15ac:absPath xmlns:x15ac="http://schemas.microsoft.com/office/spreadsheetml/2010/11/ac" url="/Users/philippevesin/Documents/Podexpert/Fiche article/"/>
    </mc:Choice>
  </mc:AlternateContent>
  <xr:revisionPtr revIDLastSave="0" documentId="13_ncr:1_{F552ACE8-A6CF-254C-8283-928F6A7389E5}" xr6:coauthVersionLast="45" xr6:coauthVersionMax="45" xr10:uidLastSave="{00000000-0000-0000-0000-000000000000}"/>
  <bookViews>
    <workbookView xWindow="16560" yWindow="1700" windowWidth="30940" windowHeight="23300" activeTab="3" xr2:uid="{67A4EFBB-736F-3145-85BF-706FD6FBCB78}"/>
  </bookViews>
  <sheets>
    <sheet name="Caractéristiques" sheetId="1" r:id="rId1"/>
    <sheet name="Fiche FR" sheetId="2" r:id="rId2"/>
    <sheet name="Fiche EN" sheetId="5" r:id="rId3"/>
    <sheet name="Config" sheetId="3" r:id="rId4"/>
  </sheets>
  <definedNames>
    <definedName name="Absence_de_couture">Config!$B$173</definedName>
    <definedName name="Avant_extensible">Config!$B$96:$B$96</definedName>
    <definedName name="Bout_protection">Config!$B$158</definedName>
    <definedName name="Contrefort">Config!$B$120:$B$128</definedName>
    <definedName name="Couleur">Config!$B$36:$B$45</definedName>
    <definedName name="Dessus">Config!$B$139:$B$152</definedName>
    <definedName name="Doublure">Config!$B$161:$B$166</definedName>
    <definedName name="Fermeture">Config!$B$104:$B$114</definedName>
    <definedName name="Genre">Config!$B$16:$B$19</definedName>
    <definedName name="Grande_pointure">Config!$B$59:$B$69</definedName>
    <definedName name="Haut_de_tige">Config!$B$131:$B$133</definedName>
    <definedName name="L_Volume_variable">Config!$B$92:$B$93</definedName>
    <definedName name="Largeur">Config!$B$87:$B$89</definedName>
    <definedName name="M_Absence_de_couture">Config!$B$173:$Z$173</definedName>
    <definedName name="M_Avant_extensible">Config!$B$96:$Z$96</definedName>
    <definedName name="M_Bout_protection">Config!$B$158:$Z$158</definedName>
    <definedName name="M_Contrefort">Config!$B$120:$Z$128</definedName>
    <definedName name="M_Couleur">Config!$B$36:$Z$45</definedName>
    <definedName name="M_Dessus">Config!$B$139:$Z$152</definedName>
    <definedName name="M_Doublure">Config!$B$161:$Z$166</definedName>
    <definedName name="M_Fermeture">Config!$B$104:$Z$114</definedName>
    <definedName name="M_Genre">Config!$B$16:$Z$19</definedName>
    <definedName name="M_Grande_pointure">Config!$B$59:$Z$69</definedName>
    <definedName name="M_Haut_de_tige">Config!$B$131:$Z$133</definedName>
    <definedName name="M_Largeur">Config!$B$87:$Z$89</definedName>
    <definedName name="M_Ouverture_totale">Config!$B$99:$Z$101</definedName>
    <definedName name="M_Pathologie">Config!$B$72:$Z$78</definedName>
    <definedName name="M_Petite_pointure">Config!$B$48:$Z$56</definedName>
    <definedName name="M_Phrase_supplémentaire">Config!$B$81:$Z$84</definedName>
    <definedName name="M_Pointure">Config!$B$214:$Z$216</definedName>
    <definedName name="M_Rembourrage_supplémentaire">Config!$B$176:$Z$179</definedName>
    <definedName name="M_Semelle_amovible">Config!$B$193:$Z$194</definedName>
    <definedName name="M_Semelle_cousue">Config!$B$211:$Z$211</definedName>
    <definedName name="M_Semelle_externe">Config!$B$197:$Z$200</definedName>
    <definedName name="M_Semelle_interne">Config!$B$182:$Z$190</definedName>
    <definedName name="M_Semelle_technique">Config!$B$206:$Z$208</definedName>
    <definedName name="M_Stabilité">Config!$B$203:$Z$203</definedName>
    <definedName name="M_Tirette">Config!$B$136:$Z$136</definedName>
    <definedName name="M_Traitement_doublure">Config!$B$169:$Z$170</definedName>
    <definedName name="M_Type_chaussure">Config!$B$22:$Z$33</definedName>
    <definedName name="M_Velcros_coupables">Config!$B$117:$Z$117</definedName>
    <definedName name="M_Volume_variable">Config!$B$92:$Z$93</definedName>
    <definedName name="M_Waterproof">Config!$B$155:$Z$155</definedName>
    <definedName name="Marque">Config!$B$3:$B$13</definedName>
    <definedName name="Onsteam">Doublure</definedName>
    <definedName name="Ouverture_totale">Config!$B$99:$B$101</definedName>
    <definedName name="Pathologie">Config!$B$72:$B$78</definedName>
    <definedName name="Petite_pointure">Config!$B$48:$B$56</definedName>
    <definedName name="Phrase_supplémentaire">Config!$B$81:$B$84</definedName>
    <definedName name="Pointure">Config!$B$214:$B$216</definedName>
    <definedName name="R_Absence_de_couture">Caractéristiques!$D$43</definedName>
    <definedName name="R_Avant_extensible">Caractéristiques!$D$26</definedName>
    <definedName name="R_Bout_protection">Caractéristiques!$D$39</definedName>
    <definedName name="R_Contrefort">Caractéristiques!$D$31</definedName>
    <definedName name="R_Couleur">Caractéristiques!$D$8</definedName>
    <definedName name="R_Dessus1">Caractéristiques!$D$35</definedName>
    <definedName name="R_Dessus2">Caractéristiques!$D$36</definedName>
    <definedName name="R_Dessus3">Caractéristiques!$D$37</definedName>
    <definedName name="R_Doublure">Caractéristiques!$D$40</definedName>
    <definedName name="R_Fermeture">Caractéristiques!$D$28</definedName>
    <definedName name="R_Genre">Caractéristiques!$D$5</definedName>
    <definedName name="R_Grande_pointure">Caractéristiques!$D$10</definedName>
    <definedName name="R_Haut_de_tige">Caractéristiques!$D$32</definedName>
    <definedName name="R_Hauteur_talon">Caractéristiques!$D$54</definedName>
    <definedName name="R_Largeur">Caractéristiques!$D$22</definedName>
    <definedName name="R_Marque">Caractéristiques!$D$4</definedName>
    <definedName name="R_Modèle">Caractéristiques!$D$3</definedName>
    <definedName name="R_Ouverture_totale">Caractéristiques!$D$23</definedName>
    <definedName name="R_Pathologie1">Caractéristiques!$D$12</definedName>
    <definedName name="R_Pathologie2">Caractéristiques!$D$13</definedName>
    <definedName name="R_Pathologie3">Caractéristiques!$D$14</definedName>
    <definedName name="R_Pathologie4">Caractéristiques!$D$15</definedName>
    <definedName name="R_Pathologie5">Caractéristiques!$D$16</definedName>
    <definedName name="R_Pathologie6">Caractéristiques!$D$17</definedName>
    <definedName name="R_Petite_pointure">Caractéristiques!$D$9</definedName>
    <definedName name="R_Phrase_patho">Caractéristiques!$D$19</definedName>
    <definedName name="R_Phrase_Supplémentaire">Caractéristiques!$D$20</definedName>
    <definedName name="R_Pointure">Caractéristiques!$D$56</definedName>
    <definedName name="R_Rembourrage_supplémentaire">Caractéristiques!$D$44</definedName>
    <definedName name="R_Semelle_amovible">Caractéristiques!$D$47</definedName>
    <definedName name="R_Semelle_cousue">Caractéristiques!$D$53</definedName>
    <definedName name="R_Semelle_externe">Caractéristiques!$D$50</definedName>
    <definedName name="R_Semelle_interne">Caractéristiques!$D$46</definedName>
    <definedName name="R_Semelle_technique">Caractéristiques!$D$52</definedName>
    <definedName name="R_Stabilité">Caractéristiques!$D$51</definedName>
    <definedName name="R_Tirette">Caractéristiques!$D$33</definedName>
    <definedName name="R_Traitement_doublure">Caractéristiques!$D$41</definedName>
    <definedName name="R_Type_chaussure">Caractéristiques!$D$6</definedName>
    <definedName name="R_Velcros_coupables">Caractéristiques!$D$29</definedName>
    <definedName name="R_Volume_variable">Caractéristiques!$D$25</definedName>
    <definedName name="R_Waterproof">Caractéristiques!$D$38</definedName>
    <definedName name="Rembourrage_supplémentaire">Config!$B$176:$B$179</definedName>
    <definedName name="Semelle_amovible">Config!$B$193:$B$194</definedName>
    <definedName name="Semelle_cousue">Config!$B$211</definedName>
    <definedName name="Semelle_externe">Config!$B$197:$B$200</definedName>
    <definedName name="Semelle_interne">Config!$B$182:$B$190</definedName>
    <definedName name="Semelle_technique">Config!$B$206:$B$208</definedName>
    <definedName name="Stabilité">Config!$B$203</definedName>
    <definedName name="Tirette">Config!$B$136</definedName>
    <definedName name="Traitement_doublure">Config!$B$169:$B$170</definedName>
    <definedName name="Type_chaussure">Config!$B$22:$B$33</definedName>
    <definedName name="Velcros_coupables">Config!$B$117:$B$117</definedName>
    <definedName name="Volume_variable">Config!$B$92:$B$93</definedName>
    <definedName name="Waterproof">Config!$B$155</definedName>
  </definedName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45" i="5" l="1"/>
  <c r="C45" i="2"/>
  <c r="C2" i="5"/>
  <c r="C2" i="2" l="1"/>
  <c r="C30" i="2" l="1"/>
  <c r="P2" i="5" l="1"/>
  <c r="M2" i="5"/>
  <c r="E2" i="5"/>
  <c r="G13" i="5"/>
  <c r="D13" i="5"/>
  <c r="N15" i="5"/>
  <c r="L15" i="5"/>
  <c r="J15" i="5"/>
  <c r="H15" i="5"/>
  <c r="E15" i="5"/>
  <c r="C15" i="5"/>
  <c r="C17" i="5"/>
  <c r="K20" i="5"/>
  <c r="J20" i="5"/>
  <c r="E20" i="5"/>
  <c r="C20" i="5"/>
  <c r="C23" i="5"/>
  <c r="C26" i="5"/>
  <c r="C29" i="5"/>
  <c r="F73" i="5"/>
  <c r="F73" i="2"/>
  <c r="C29" i="2"/>
  <c r="C26" i="2"/>
  <c r="C23" i="2"/>
  <c r="K20" i="2"/>
  <c r="J20" i="2"/>
  <c r="E20" i="2"/>
  <c r="C20" i="2"/>
  <c r="C17" i="2"/>
  <c r="N15" i="2"/>
  <c r="L15" i="2"/>
  <c r="J15" i="2"/>
  <c r="H15" i="2"/>
  <c r="E15" i="2"/>
  <c r="C15" i="2"/>
  <c r="G13" i="2"/>
  <c r="D13" i="2"/>
  <c r="P2" i="2"/>
  <c r="M2" i="2"/>
  <c r="E2" i="2"/>
  <c r="C7" i="2"/>
  <c r="D23" i="5" l="1"/>
  <c r="D23" i="2"/>
  <c r="C21" i="2"/>
  <c r="D17" i="2" l="1"/>
  <c r="C40" i="5" l="1"/>
  <c r="C40" i="2"/>
  <c r="C38" i="2"/>
  <c r="C48" i="2"/>
  <c r="G73" i="5"/>
  <c r="C73" i="5"/>
  <c r="C69" i="5"/>
  <c r="C67" i="5"/>
  <c r="C66" i="5"/>
  <c r="C62" i="5"/>
  <c r="C57" i="5"/>
  <c r="C56" i="5"/>
  <c r="C55" i="5"/>
  <c r="C54" i="5"/>
  <c r="C51" i="5"/>
  <c r="C52" i="5"/>
  <c r="C50" i="5"/>
  <c r="C48" i="5"/>
  <c r="C47" i="5"/>
  <c r="C43" i="5"/>
  <c r="C38" i="5"/>
  <c r="C36" i="5"/>
  <c r="C35" i="5"/>
  <c r="C34" i="5"/>
  <c r="C31" i="5"/>
  <c r="C30" i="5"/>
  <c r="C27" i="2"/>
  <c r="C27" i="5"/>
  <c r="C24" i="5"/>
  <c r="C21" i="5"/>
  <c r="D17" i="5"/>
  <c r="F13" i="5"/>
  <c r="C11" i="5"/>
  <c r="C10" i="5"/>
  <c r="C9" i="5"/>
  <c r="C8" i="5"/>
  <c r="C7" i="5"/>
  <c r="K2" i="5"/>
  <c r="J2" i="5"/>
  <c r="I2" i="5"/>
  <c r="H2" i="5"/>
  <c r="G2" i="5"/>
  <c r="G2" i="2"/>
  <c r="D73" i="5"/>
  <c r="C68" i="5"/>
  <c r="D58" i="5"/>
  <c r="F15" i="5"/>
  <c r="C12" i="5"/>
  <c r="O2" i="5"/>
  <c r="D58" i="2"/>
  <c r="C24" i="2" l="1"/>
  <c r="K2" i="2"/>
  <c r="J2" i="2"/>
  <c r="I2" i="2"/>
  <c r="H2" i="2"/>
  <c r="C11" i="2"/>
  <c r="C10" i="2"/>
  <c r="C9" i="2"/>
  <c r="C8" i="2"/>
  <c r="F15" i="2"/>
  <c r="E13" i="2"/>
  <c r="D73" i="2"/>
  <c r="C43" i="2"/>
  <c r="C31" i="2"/>
  <c r="G73" i="2" l="1"/>
  <c r="C69" i="2"/>
  <c r="O2" i="2"/>
  <c r="C73" i="2"/>
  <c r="C68" i="2"/>
  <c r="C67" i="2"/>
  <c r="C66" i="2"/>
  <c r="C36" i="2"/>
  <c r="C35" i="2"/>
  <c r="C34" i="2"/>
  <c r="C62" i="2"/>
  <c r="C57" i="2"/>
  <c r="C56" i="2"/>
  <c r="C55" i="2"/>
  <c r="C54" i="2"/>
  <c r="C47" i="2"/>
  <c r="C51" i="2"/>
  <c r="C52" i="2"/>
  <c r="C50" i="2"/>
  <c r="C12" i="2" l="1"/>
  <c r="C18" i="2"/>
  <c r="C18" i="5"/>
</calcChain>
</file>

<file path=xl/sharedStrings.xml><?xml version="1.0" encoding="utf-8"?>
<sst xmlns="http://schemas.openxmlformats.org/spreadsheetml/2006/main" count="987" uniqueCount="659">
  <si>
    <t>Nom du modèle</t>
  </si>
  <si>
    <t>Marque</t>
  </si>
  <si>
    <t>Anatomic Shoes</t>
  </si>
  <si>
    <t>Dr Comfort</t>
  </si>
  <si>
    <t>Finn Comfort</t>
  </si>
  <si>
    <t>Goldkrone</t>
  </si>
  <si>
    <t>Neut</t>
  </si>
  <si>
    <t>Orthoady by Schein</t>
  </si>
  <si>
    <t>Podartis</t>
  </si>
  <si>
    <t>Podoline</t>
  </si>
  <si>
    <t>Podowell</t>
  </si>
  <si>
    <t>Solidus</t>
  </si>
  <si>
    <t xml:space="preserve">Couleur  </t>
  </si>
  <si>
    <t>Noir</t>
  </si>
  <si>
    <t>Marine</t>
  </si>
  <si>
    <t>Perle</t>
  </si>
  <si>
    <t>Gris</t>
  </si>
  <si>
    <t>Beige</t>
  </si>
  <si>
    <t>Marron</t>
  </si>
  <si>
    <t>Rose</t>
  </si>
  <si>
    <t>Rouge</t>
  </si>
  <si>
    <t>Blanc</t>
  </si>
  <si>
    <t>Petite pointure</t>
  </si>
  <si>
    <t>Grande pointure</t>
  </si>
  <si>
    <t>Couleur</t>
  </si>
  <si>
    <t>Pathologie 1</t>
  </si>
  <si>
    <t>Pathologie 2</t>
  </si>
  <si>
    <t>Pathologie 3</t>
  </si>
  <si>
    <t>Pathologie 4</t>
  </si>
  <si>
    <t>Pathologie 5</t>
  </si>
  <si>
    <t>Pathologie 6</t>
  </si>
  <si>
    <t>Pathologie</t>
  </si>
  <si>
    <t>Pied sensible</t>
  </si>
  <si>
    <t>Pied diabétique</t>
  </si>
  <si>
    <t>Pied gonflé</t>
  </si>
  <si>
    <t>Orteils en griffe</t>
  </si>
  <si>
    <t>Hallux valgus</t>
  </si>
  <si>
    <t>Post-opératoire</t>
  </si>
  <si>
    <t>Type de chaussure</t>
  </si>
  <si>
    <t>Type chaussure</t>
  </si>
  <si>
    <t>Chaussure confort</t>
  </si>
  <si>
    <t>Chaussure orthopédique</t>
  </si>
  <si>
    <t>Chausson confort</t>
  </si>
  <si>
    <t>Sandale confort</t>
  </si>
  <si>
    <t>Sandale orthopédique</t>
  </si>
  <si>
    <t>Largeur</t>
  </si>
  <si>
    <t>Normal</t>
  </si>
  <si>
    <t>Large</t>
  </si>
  <si>
    <t>Extra-large</t>
  </si>
  <si>
    <t>Volume variable</t>
  </si>
  <si>
    <t>Oui</t>
  </si>
  <si>
    <t>Non</t>
  </si>
  <si>
    <t>Fermeture</t>
  </si>
  <si>
    <t>Lacets</t>
  </si>
  <si>
    <t>1 velcro</t>
  </si>
  <si>
    <t>2 velcros</t>
  </si>
  <si>
    <t>3 velcros</t>
  </si>
  <si>
    <t>FAG + lacets</t>
  </si>
  <si>
    <t>Dessus</t>
  </si>
  <si>
    <t>Avant-extensible</t>
  </si>
  <si>
    <t>Cuir</t>
  </si>
  <si>
    <t>Velcros coupables</t>
  </si>
  <si>
    <t>Cuir stretch</t>
  </si>
  <si>
    <t>Microfibre</t>
  </si>
  <si>
    <t>Maille extensible</t>
  </si>
  <si>
    <t>Doublure</t>
  </si>
  <si>
    <t>Onsteam</t>
  </si>
  <si>
    <t>Laine</t>
  </si>
  <si>
    <t>Sanitized</t>
  </si>
  <si>
    <t>Contrefort</t>
  </si>
  <si>
    <t>Bonne tenue</t>
  </si>
  <si>
    <t>Léger</t>
  </si>
  <si>
    <t>Semelle interne</t>
  </si>
  <si>
    <t>Semelle externe</t>
  </si>
  <si>
    <t>Semelle amovible</t>
  </si>
  <si>
    <t>Foot problem</t>
  </si>
  <si>
    <t>Diabetic</t>
  </si>
  <si>
    <t>Swollen feet</t>
  </si>
  <si>
    <t>Wide toe box</t>
  </si>
  <si>
    <t>Bunions</t>
  </si>
  <si>
    <t>Post-op</t>
  </si>
  <si>
    <t>beige</t>
  </si>
  <si>
    <t>blanc</t>
  </si>
  <si>
    <t>gris</t>
  </si>
  <si>
    <t>marine</t>
  </si>
  <si>
    <t>marron</t>
  </si>
  <si>
    <t>noir</t>
  </si>
  <si>
    <t>perle</t>
  </si>
  <si>
    <t>rose</t>
  </si>
  <si>
    <t>rouge</t>
  </si>
  <si>
    <t>white</t>
  </si>
  <si>
    <t>grey</t>
  </si>
  <si>
    <t>navy</t>
  </si>
  <si>
    <t>brown</t>
  </si>
  <si>
    <t>black</t>
  </si>
  <si>
    <t>pearl</t>
  </si>
  <si>
    <t>pink</t>
  </si>
  <si>
    <t>red</t>
  </si>
  <si>
    <t>Chausson orthopédique</t>
  </si>
  <si>
    <t>2 UK - 3 US</t>
  </si>
  <si>
    <t>2,5 UK - 4 US</t>
  </si>
  <si>
    <t>3,5 UK - 5 US</t>
  </si>
  <si>
    <t>4 UK - 5,5 US</t>
  </si>
  <si>
    <t>5 UK - 6,5 US</t>
  </si>
  <si>
    <t>5,5 UK - 7,5 US</t>
  </si>
  <si>
    <t>6,5 UK - 8 US</t>
  </si>
  <si>
    <t>Les chaussures orthopédiques</t>
  </si>
  <si>
    <t>Les chaussures confortables</t>
  </si>
  <si>
    <t>Les chaussons confortables</t>
  </si>
  <si>
    <t>Les chaussons orthopédiques</t>
  </si>
  <si>
    <t>Les sandales confortables</t>
  </si>
  <si>
    <t>Les sandales orthopédiques</t>
  </si>
  <si>
    <t>Chaussure hallux valgus</t>
  </si>
  <si>
    <t>Chaussure pied gonflé</t>
  </si>
  <si>
    <t>Chaussure pied large</t>
  </si>
  <si>
    <t>Chaussure pied diabétique</t>
  </si>
  <si>
    <t>Chaussure de décharge</t>
  </si>
  <si>
    <t>Chaussure de sécurité</t>
  </si>
  <si>
    <t>Les chaussures hallux valgus</t>
  </si>
  <si>
    <t>Les chaussures pour pied gonflé</t>
  </si>
  <si>
    <t>Les chaussures pieds larges</t>
  </si>
  <si>
    <t>La chaussure de décharge</t>
  </si>
  <si>
    <t>La chaussure de sécurité confortable</t>
  </si>
  <si>
    <t>The orthopedic shoes</t>
  </si>
  <si>
    <t>The shoes for bunions</t>
  </si>
  <si>
    <t>The orthopedic slippers</t>
  </si>
  <si>
    <t>The confortable slippers</t>
  </si>
  <si>
    <t>The comfortable sandals</t>
  </si>
  <si>
    <t>The orthopedic sandals</t>
  </si>
  <si>
    <t>The shoes for swollen feet</t>
  </si>
  <si>
    <t>The wide width shoes</t>
  </si>
  <si>
    <t>The diabetic shoes</t>
  </si>
  <si>
    <t>The post op shoe</t>
  </si>
  <si>
    <t>The comfortable work shoes</t>
  </si>
  <si>
    <t>Les chaussures orthopédiques pour diabétiques</t>
  </si>
  <si>
    <t>Chausson confortable</t>
  </si>
  <si>
    <t>Sandale confortable</t>
  </si>
  <si>
    <t>Chaussure pour pied gonflé</t>
  </si>
  <si>
    <t>Chaussure pour diabétique</t>
  </si>
  <si>
    <t>Chaussure de sécurité confortable</t>
  </si>
  <si>
    <t>Shoe for bunions</t>
  </si>
  <si>
    <t>Shoe for swollen feet</t>
  </si>
  <si>
    <t>Orthopedic shoe</t>
  </si>
  <si>
    <t>Confortable slipper</t>
  </si>
  <si>
    <t>Orthopedic slipper</t>
  </si>
  <si>
    <t>Comfortable sandal</t>
  </si>
  <si>
    <t>Orthopedic sandal</t>
  </si>
  <si>
    <t>Wide width shoe</t>
  </si>
  <si>
    <t>Diabetic shoe</t>
  </si>
  <si>
    <t>Post op shoe</t>
  </si>
  <si>
    <t>Comfortable work shoe</t>
  </si>
  <si>
    <t>le pied sensible</t>
  </si>
  <si>
    <t>le pied diabétique</t>
  </si>
  <si>
    <t>le pied gonflé</t>
  </si>
  <si>
    <t>les orteils en griffe</t>
  </si>
  <si>
    <t>l'hallux valgus</t>
  </si>
  <si>
    <t>le pied opéré</t>
  </si>
  <si>
    <t>Genre</t>
  </si>
  <si>
    <t>Femme</t>
  </si>
  <si>
    <t>Homme</t>
  </si>
  <si>
    <t>Mixte</t>
  </si>
  <si>
    <t>femme</t>
  </si>
  <si>
    <t>homme</t>
  </si>
  <si>
    <t>femme et homme</t>
  </si>
  <si>
    <t>women</t>
  </si>
  <si>
    <t>men</t>
  </si>
  <si>
    <t>women and men</t>
  </si>
  <si>
    <t>H2</t>
  </si>
  <si>
    <t>pour</t>
  </si>
  <si>
    <t>-</t>
  </si>
  <si>
    <t>Phrase accroche marque</t>
  </si>
  <si>
    <t>H3</t>
  </si>
  <si>
    <t>Pour quelles pathologies ?</t>
  </si>
  <si>
    <t>de la chaussure</t>
  </si>
  <si>
    <t>du chausson</t>
  </si>
  <si>
    <t>de la sandale</t>
  </si>
  <si>
    <t>FR Les 2</t>
  </si>
  <si>
    <t>FR 3</t>
  </si>
  <si>
    <t>FR 4</t>
  </si>
  <si>
    <t>de chez</t>
  </si>
  <si>
    <t>FR 5</t>
  </si>
  <si>
    <t>EN 6</t>
  </si>
  <si>
    <t>La chaussure de confort</t>
  </si>
  <si>
    <t>La chaussure orthopédique</t>
  </si>
  <si>
    <t>Le chausson confortable</t>
  </si>
  <si>
    <t>Le chausson orthopédique</t>
  </si>
  <si>
    <t>La sandale de confort</t>
  </si>
  <si>
    <t>La sandale orthopédique</t>
  </si>
  <si>
    <t>La chaussure hallux valgus</t>
  </si>
  <si>
    <t>La chaussure pour pied gonflé</t>
  </si>
  <si>
    <t>La chaussure pour pied large</t>
  </si>
  <si>
    <t>La chaussure pour diabétique</t>
  </si>
  <si>
    <t>de la marque</t>
  </si>
  <si>
    <t>est disponible en couleur</t>
  </si>
  <si>
    <t>et de la pointure</t>
  </si>
  <si>
    <t>à</t>
  </si>
  <si>
    <t>FR 6</t>
  </si>
  <si>
    <t>Elle</t>
  </si>
  <si>
    <t>Il</t>
  </si>
  <si>
    <t>a</t>
  </si>
  <si>
    <t>FR 2</t>
  </si>
  <si>
    <t>de la chaussure de décharge</t>
  </si>
  <si>
    <t>de la chaussure de sécurité</t>
  </si>
  <si>
    <t>FR 7</t>
  </si>
  <si>
    <t>chaussure</t>
  </si>
  <si>
    <t>chausson</t>
  </si>
  <si>
    <t>sandale</t>
  </si>
  <si>
    <t>FR 8</t>
  </si>
  <si>
    <t>Cette chaussure</t>
  </si>
  <si>
    <t>Ce chausson</t>
  </si>
  <si>
    <t>Cette sandale</t>
  </si>
  <si>
    <t>a un maintien optimal de l'avant-pied pour plus de stabilité.</t>
  </si>
  <si>
    <t>Avant extensible</t>
  </si>
  <si>
    <t>Le système de fermeture est efficace et rapide grâce à l'association du lacet et de la fermeture à glissière.
Le lacet permet un réglage optimal du chaussant. La fermeture à glissière permet une ouverture large et facilite le chaussage.</t>
  </si>
  <si>
    <t xml:space="preserve">Les velcros sont rallongés et vous pourrez les découper à la longueur adéquate grâce aux guides de coupe présents. L'adaptation sera parfaite même pour un pied avec de l'œdème. </t>
  </si>
  <si>
    <t>Couleur - Pointure</t>
  </si>
  <si>
    <t>Velcro coupable</t>
  </si>
  <si>
    <t>Genre FR 2</t>
  </si>
  <si>
    <t>Genre EN 3</t>
  </si>
  <si>
    <t>EN 3</t>
  </si>
  <si>
    <t>L'absence de contrefort permet de ne pas agresser les talons délicats.</t>
  </si>
  <si>
    <t>Bride postérieure</t>
  </si>
  <si>
    <t>Le maintien de l'arrière pied est assuré par une bride postérieure réglable pour plus de stabilité.</t>
  </si>
  <si>
    <t>Non (mule)</t>
  </si>
  <si>
    <t>Ouverture totale</t>
  </si>
  <si>
    <t>On retrouve une ouverture totale permettant un chaussage facile. Ce type d'ouverture est particulièrement adaptée pour les pieds douloureux ou peu mobiles.</t>
  </si>
  <si>
    <t>Dessus :</t>
  </si>
  <si>
    <t>Cuir stretch : assemblage d'un cuir technique d'une grande finesse et d'un textile élastiqué à base de coton et d'élasthanne. Il protège ainsi vos pieds comme une seconde peau tout en conservant ses performances techniques et esthétique.</t>
  </si>
  <si>
    <t>Textile respirant et lavable. Ce type de textile permet d'avoir une chaussure très légère et souple.</t>
  </si>
  <si>
    <t>Bourrelet mousse</t>
  </si>
  <si>
    <t>On retrouve en haut de tige, un petit boudin mousse pour ne pas agresser vos chevilles et éviter gênes et blessures.</t>
  </si>
  <si>
    <t>Maille 3D</t>
  </si>
  <si>
    <t>Maille 3D: Lisse sur l'intérieur pour éviter les frottements et en relief sur l'extérieur pour favoriser l'évaporation.</t>
  </si>
  <si>
    <t>Maille tréssée extensible et élastique qui épousera sans compression la forme de vos pieds.</t>
  </si>
  <si>
    <t>Zone stretch hallux valgus</t>
  </si>
  <si>
    <t>Stretch : tissu auto-modelant qui s'adaptera parfaitement à vos déformations d'avant-pied. Ce tissu permettra aussi de loger des pieds qui ont tendance à gonfler dans la journée ou avec de l'œdème suite à une opération.</t>
  </si>
  <si>
    <t>Stretch avant-pied</t>
  </si>
  <si>
    <t>Zone stretch griffes d'orteils</t>
  </si>
  <si>
    <t>Zone en tissu extensible auto-modelant au niveau du gros orteil qui s'adaptera à votre hallux valgus et qui réduira considérablement les frottements et les douleurs.</t>
  </si>
  <si>
    <t>Zone en tissu extensible auto-modelant sur le dessus du pied qui s'adaptera à vos griffes d'orteils et qui réduira considérablement les frottements et les douleurs.</t>
  </si>
  <si>
    <t>Doublure :</t>
  </si>
  <si>
    <t>La doublure "Haute technologie" Onsteam® contribue à maintenir les pieds secs par tous les temps grâce à une absorption et une élimination maximale de la transpiration et un effet thermorégulateur. C'est une doublure traitée anti-microbien et antibactérien, anti-odeur et hypoallergénique.</t>
  </si>
  <si>
    <t>Microfibre polaire</t>
  </si>
  <si>
    <t>Doublure en microfibre polaire pour garder vos pieds au chaud.</t>
  </si>
  <si>
    <t>Cuir utilisé dans la fabrication pour obtenir un produit souple et durable.</t>
  </si>
  <si>
    <t>Extérieur</t>
  </si>
  <si>
    <t>Le contrefort extérieur thermoformé et résistant permet un maintien durable et confortable du talon.</t>
  </si>
  <si>
    <t>Les textiles sont particulièrement sensibles aux problèmes d'hygiène (Les mauvaises odeurs dues à la sueur ou à la moisissure). L'antimicrobien Sanitized empêche durablement la croissance de bactéries, levures et champignons et protège donc la chaussure de manière sûre et durable.</t>
  </si>
  <si>
    <t>Supplément patho</t>
  </si>
  <si>
    <t>Limitation des pressions par un rembourrage supplémentaire du col de la chaussure et de la languette.</t>
  </si>
  <si>
    <t>Absence de couture</t>
  </si>
  <si>
    <t>Absence couture</t>
  </si>
  <si>
    <t>Phrase patho</t>
  </si>
  <si>
    <t>Podomed</t>
  </si>
  <si>
    <t>Podostyl</t>
  </si>
  <si>
    <t>Semelle intercalaire</t>
  </si>
  <si>
    <t>Base</t>
  </si>
  <si>
    <t>PU</t>
  </si>
  <si>
    <t>La semelle externe est légère, antidérapante, amortissante et souple.</t>
  </si>
  <si>
    <t>Elastomére</t>
  </si>
  <si>
    <t>La semelle externe est en élastomère. Elle est amortissante, flexible et ultra-légère.</t>
  </si>
  <si>
    <t>Biomécanique</t>
  </si>
  <si>
    <t>La semelle externe est une semelle biomécanique semi-rigide, épaisse avec technologie "Wellwalk" qui favorise un déroulement naturel du pas sans pliage de la chaussure. Cette semelle permet une uniformisation des pressions sur le pied pendant toute la phase d'appui du pas.
Les personnes souffrant d'arthrose des pieds seront tout de suite soulagées par le port de ces chaussures.</t>
  </si>
  <si>
    <t>Stabilité</t>
  </si>
  <si>
    <t>peut accueillir des pieds fins ou d'une largeur standard.</t>
  </si>
  <si>
    <t>peut accueillir des pieds larges comme des pieds standards.</t>
  </si>
  <si>
    <t>On retrouve une matière extensible sur l'avant pour protéger les zones sensibles liées à votre pathologie. Cette matière extensible s'adapte parfaitement à des déformations d'orteils comme les hallux valgus ou les griffes d'orteils.</t>
  </si>
  <si>
    <t>Un contrefort en cuir à l'arrière-pied permet un maintien optimal du talon et une stabilité accrue.</t>
  </si>
  <si>
    <t>Le contrefort postérieur est de bonne tenue pour une meilleure stabilité de l'arrière-pied.</t>
  </si>
  <si>
    <t>Un léger contrefort souple assure le maintien de l'arrière pied sans trop de pression sur le talon.</t>
  </si>
  <si>
    <t>L'arrière de type mule permet un enfilage aisé sans avoir à se baisser.</t>
  </si>
  <si>
    <t>Doublure laine naturellement chaude et antibactérienne.</t>
  </si>
  <si>
    <t>Les semelles sont amovibles et peuvent être retirées et remplacées par des semelles orthopédiques.</t>
  </si>
  <si>
    <t>Rembourrage supplémentaire</t>
  </si>
  <si>
    <t>Col et languette</t>
  </si>
  <si>
    <t>Meilleure répartition des pressions grâce à la doublure intégrale sur mousse haute densité.</t>
  </si>
  <si>
    <t>Semelle technique Podowell</t>
  </si>
  <si>
    <t>La semelle antidérapante et non bloquante possède 2 pastilles antidérapantes sur les zones d'appui. Le contour permet de ne pas freiner le pied lors du contact au sol.</t>
  </si>
  <si>
    <t>Semelle technique</t>
  </si>
  <si>
    <t>Semelle cousue</t>
  </si>
  <si>
    <t>Hauteur talon</t>
  </si>
  <si>
    <t>La semelle est cousue sur tout le tour pour plus de résistance.</t>
  </si>
  <si>
    <t>Hauteur de talon</t>
  </si>
  <si>
    <t>La hauteur de talon est de</t>
  </si>
  <si>
    <t>mm.</t>
  </si>
  <si>
    <t>Mode d'emploi</t>
  </si>
  <si>
    <t>Vous pouvez ajuster le volume de la chaussure en laissant ou enlevant la semelle intérieure.</t>
  </si>
  <si>
    <t>Oui + intercalaire</t>
  </si>
  <si>
    <t>Vous pouvez adapter le volume chaussant intérieur en laissant ou en enlevant la semelle intérieure et/ou l'intercalaire.</t>
  </si>
  <si>
    <t>H4</t>
  </si>
  <si>
    <t>Conseil d'entretien</t>
  </si>
  <si>
    <t>Autre</t>
  </si>
  <si>
    <t>La semelle interne est confortable et respirante.</t>
  </si>
  <si>
    <t>Nettoyer les semelles internes avec un chiffon humide et laisser sécher à l'air libre.</t>
  </si>
  <si>
    <t>Dépoussiérer le cuir, appliquer un cirage uniformément et laisser sécher. Vous pourrez ensuite lustrer avec un chiffon doux.</t>
  </si>
  <si>
    <t>Le stretch peut se nettoyer avec un chiffon humide.</t>
  </si>
  <si>
    <t>Tissu chausson lavable machine</t>
  </si>
  <si>
    <t>Dessus en textile résistant et lavable facilement. Ce type de tissus garde les pieds au chaud.</t>
  </si>
  <si>
    <t>Lavable en machine à 30°C maximum</t>
  </si>
  <si>
    <t>Choix de la pointure</t>
  </si>
  <si>
    <t>Pointure</t>
  </si>
  <si>
    <t>Petit</t>
  </si>
  <si>
    <t>Grand</t>
  </si>
  <si>
    <t>chaussent petit. Nous vous conseillons donc de choisir une pointure de plus que votre pointure habituelle.</t>
  </si>
  <si>
    <t>chaussent grand. Nous vous conseillons donc de choisir une pointure de moins que votre pointure habituelle.</t>
  </si>
  <si>
    <t>chaussent normalement. Nous vous conseillons donc de choisir votre pointure habituelle.</t>
  </si>
  <si>
    <t>41.</t>
  </si>
  <si>
    <t>42.</t>
  </si>
  <si>
    <t>43.</t>
  </si>
  <si>
    <t>44.</t>
  </si>
  <si>
    <t>45.</t>
  </si>
  <si>
    <t>46.</t>
  </si>
  <si>
    <t>47.</t>
  </si>
  <si>
    <t>48.</t>
  </si>
  <si>
    <t>49.</t>
  </si>
  <si>
    <t>50.</t>
  </si>
  <si>
    <t>FR 9</t>
  </si>
  <si>
    <t>Ces chaussures</t>
  </si>
  <si>
    <t>Ces chaussons</t>
  </si>
  <si>
    <t>Ces sandales</t>
  </si>
  <si>
    <t>FR 10</t>
  </si>
  <si>
    <t>Elles</t>
  </si>
  <si>
    <t>Ils</t>
  </si>
  <si>
    <t>pour pied diabétique protège les pieds vis-à-vis des éléments extérieurs, limite les frottements et les zones de surpression, évacue l'humidité et prévient les zones de lésions.</t>
  </si>
  <si>
    <t>avec un grand confort garanti apporte un minimum de contraintes pour les pieds les plus sensibles.</t>
  </si>
  <si>
    <t>peut accueillir des pieds larges ou très larges.</t>
  </si>
  <si>
    <t>a un volume variable sur l'avant-pied qui donne l'aisance nécessaire à un pied fatigué qui prend du volume en fin de journée.</t>
  </si>
  <si>
    <t>FR 11</t>
  </si>
  <si>
    <t>Cette chaussure confort</t>
  </si>
  <si>
    <t>Cette chaussure orthopédique</t>
  </si>
  <si>
    <t>Ce chausson confortable</t>
  </si>
  <si>
    <t>Ce chausson orthopédique</t>
  </si>
  <si>
    <t>Cette sandale confortable</t>
  </si>
  <si>
    <t>Cette sandale orthopédique</t>
  </si>
  <si>
    <t>Cette chaussure hallux valgus</t>
  </si>
  <si>
    <t>Cette chaussure pour pied gonflé</t>
  </si>
  <si>
    <t>Cette chaussure pied large</t>
  </si>
  <si>
    <t>Cette chaussure pour diabétique</t>
  </si>
  <si>
    <t>Cette chaussure de décharge</t>
  </si>
  <si>
    <t>Cette chaussure de sécurité confortable</t>
  </si>
  <si>
    <t>Antidérapante Wetgrip</t>
  </si>
  <si>
    <t>Le design de la semelle externe a été étudié pour évacuer l'eau entre le sol et la semelle. Cette semelle possède 2 pastilles antidérapantes sur les zones d'appui. Le contour permet de ne pas freiner le pied lors du contact au sol. La forme et la cambrure ont été conçu pour assurer confort et stabilité.</t>
  </si>
  <si>
    <t>Les semelles sont amovibles et peuvent être retirées et remplacées par des semelles orthopédiques. Un intercalaire supplémentaire amovible est présent pour pouvoir ajuster parfaitement la chaussure au volume de votre pied ou loger des semelles orthopédiques épaisses.</t>
  </si>
  <si>
    <t>Tirette</t>
  </si>
  <si>
    <t>La tirette postérieure permet de faciliter le chaussage.</t>
  </si>
  <si>
    <t>Waterproof</t>
  </si>
  <si>
    <t>L'association de matériaux déperlants et d'un assemblage tige-semelle soudé permet de réduire la pénétration de l'eau et ainsi garder les pieds aux secs même sous la pluie.</t>
  </si>
  <si>
    <t>La semelle intérieure de confort est en microfibre sur mousse amortissante avec traitement antibactérien. Elle est perforée pour une circulation optimale de l'air et une évacuation rapide de l'humidité.</t>
  </si>
  <si>
    <t>Podowash</t>
  </si>
  <si>
    <t>La semelle intérieure est en mousse à mémoire de forme et est lavable en machine à 30°C.</t>
  </si>
  <si>
    <t>La semelle interne est lavable en machine à 30°C.</t>
  </si>
  <si>
    <t>La semelle interne est lavable à la main à 30°C.</t>
  </si>
  <si>
    <t>Mémoire de forme</t>
  </si>
  <si>
    <t>La semelle intérieure est montée sur mousse à mémoire de forme pour un confort optimal.</t>
  </si>
  <si>
    <t>Pied large</t>
  </si>
  <si>
    <t>le pied large</t>
  </si>
  <si>
    <t>adaptée pour</t>
  </si>
  <si>
    <t>Caractéristiques</t>
  </si>
  <si>
    <t>Microfibre : une fibre textile synthétique extrêmement fine et légère et très facile à entretenir.</t>
  </si>
  <si>
    <t>La semelle externe est en polyuréthane. Vous pourrez marcher en toute sécurité avec cette semelle ultra-légère, souple, amortissante et antidérapante.</t>
  </si>
  <si>
    <t>EN 12</t>
  </si>
  <si>
    <t>EN The 13</t>
  </si>
  <si>
    <t>EN This 14</t>
  </si>
  <si>
    <t>This post op shoe</t>
  </si>
  <si>
    <t>This shoe for bunions</t>
  </si>
  <si>
    <t>This shoe for swollen feet</t>
  </si>
  <si>
    <t>This wide width shoe</t>
  </si>
  <si>
    <t>This diabetic shoe</t>
  </si>
  <si>
    <t>This comfortable work shoe</t>
  </si>
  <si>
    <t>These orthopedic shoes</t>
  </si>
  <si>
    <t>These confortable slippers</t>
  </si>
  <si>
    <t>These orthopedic slippers</t>
  </si>
  <si>
    <t>These comfortable sandals</t>
  </si>
  <si>
    <t>These orthopedic sandals</t>
  </si>
  <si>
    <t>These shoes for bunions</t>
  </si>
  <si>
    <t>These shoes for swollen feet</t>
  </si>
  <si>
    <t>These wide width shoes</t>
  </si>
  <si>
    <t>These diabetic shoes</t>
  </si>
  <si>
    <t>These post op shoe</t>
  </si>
  <si>
    <t>These comfortable work shoes</t>
  </si>
  <si>
    <t>for</t>
  </si>
  <si>
    <t>suitable for</t>
  </si>
  <si>
    <t>EN 5</t>
  </si>
  <si>
    <t>sensitive foot</t>
  </si>
  <si>
    <t>diabetic foot</t>
  </si>
  <si>
    <t>Wide width</t>
  </si>
  <si>
    <t>post-op foot</t>
  </si>
  <si>
    <t>claw toes</t>
  </si>
  <si>
    <t>swollen foot</t>
  </si>
  <si>
    <t>wide width</t>
  </si>
  <si>
    <t>For which pathologies ?</t>
  </si>
  <si>
    <t>Features of the</t>
  </si>
  <si>
    <t>s</t>
  </si>
  <si>
    <t>shoe</t>
  </si>
  <si>
    <t>slipper</t>
  </si>
  <si>
    <t>sandal</t>
  </si>
  <si>
    <t>work shoe</t>
  </si>
  <si>
    <t>EN These 15</t>
  </si>
  <si>
    <t>EN 16</t>
  </si>
  <si>
    <t>from</t>
  </si>
  <si>
    <t>is available in</t>
  </si>
  <si>
    <t>color and from size</t>
  </si>
  <si>
    <t>to</t>
  </si>
  <si>
    <t>This shoe</t>
  </si>
  <si>
    <t>This slipper</t>
  </si>
  <si>
    <t>This comfortable sandal</t>
  </si>
  <si>
    <t>This orthopedic sandal</t>
  </si>
  <si>
    <t>This orthopedic slipper</t>
  </si>
  <si>
    <t>This confortable slipper</t>
  </si>
  <si>
    <t>This orthopedic shoe</t>
  </si>
  <si>
    <t>This sandal</t>
  </si>
  <si>
    <t>These shoes</t>
  </si>
  <si>
    <t>These slippers</t>
  </si>
  <si>
    <t>EN This 17</t>
  </si>
  <si>
    <t>EN These 18</t>
  </si>
  <si>
    <t>These sandals</t>
  </si>
  <si>
    <t>EN 7</t>
  </si>
  <si>
    <t>with a guaranteed great comfort brings a minimum of stress for the most sensitive feet.</t>
  </si>
  <si>
    <t>for diabetic foot protects the feet from the outside elements, limits friction and areas of overpressure, evacuates moisture and prevents areas of lesions.</t>
  </si>
  <si>
    <t>respects your bunion and avoids all the pain due to this pathology.</t>
  </si>
  <si>
    <t>EN 4</t>
  </si>
  <si>
    <t>can accommodate wide or very wide feet.</t>
  </si>
  <si>
    <t>EN It 19</t>
  </si>
  <si>
    <t>It</t>
  </si>
  <si>
    <t>has</t>
  </si>
  <si>
    <t>There is a stretch material on the front to protect sensitive areas related to your pathology. This stretchy material adapts perfectly to toe deformities such as hallux valgus or hammertoes.</t>
  </si>
  <si>
    <t>There is a very large opening allowing easy entry. This type of opening is particularly suitable for painful or poorly mobile feet.</t>
  </si>
  <si>
    <t>The closure is done with a lace for an optimal adjustment of the tightening of the foot even in the event of a strong instep.</t>
  </si>
  <si>
    <t>The Velcro closure allows an optimal adjustment of the tightening even for people with a strong instep. This type of closure also allows easy donning and optimal support.</t>
  </si>
  <si>
    <t>The closure with 2 velcros allows an optimal adjustment of the tightening even for people with a strong instep. This type of closure also allows easy donning and optimal support.</t>
  </si>
  <si>
    <t>The closure with 3 velcros allows an optimal adjustment of the tightening even for people with a strong instep. This type of closure also allows easy donning and optimal support.</t>
  </si>
  <si>
    <t xml:space="preserve">The closure system is efficient and quick thanks to the combination of the lace and the zipper.
The lace allows an optimal adjustment of the fit. The zipper allows a wide opening and makes it easier to put on. </t>
  </si>
  <si>
    <t>The velcros are extended and you can cut them to the appropriate length using the cutting guides present. The adaptation will be perfect even for a foot with edema.</t>
  </si>
  <si>
    <t>The absence of a counter-back means that delicate heels are not attacked.</t>
  </si>
  <si>
    <t>A leather heel counter-back at the rearfoot provides optimal heel support and increased stability.</t>
  </si>
  <si>
    <t>For better stability, the counter-back supports the rearfoot.</t>
  </si>
  <si>
    <t>A light, flexible counter-back provides support for the rear foot without too much pressure on the heel.</t>
  </si>
  <si>
    <t>The rear foot is maintained by an adjustable rear strap for more stability.</t>
  </si>
  <si>
    <t>The mule-style rear allows for easy donning without having to bend down.</t>
  </si>
  <si>
    <t>The thermoformed and resistant outer counter-back provides durable and comfortable heel support.</t>
  </si>
  <si>
    <t>The rear zipper makes it easier to put on.</t>
  </si>
  <si>
    <t>Entretien FR 3</t>
  </si>
  <si>
    <t>Entretien EN 5</t>
  </si>
  <si>
    <t>Leather used in manufacturing to obtain a flexible and durable product.</t>
  </si>
  <si>
    <t>Stretch leather: assembly of a very fine technical leather and an elasticated textile made from cotton and elastane. It thus protects your feet like a second skin while maintaining its technical and aesthetic performance.</t>
  </si>
  <si>
    <t>Breathable and washable textile. This type of textile makes it possible to have a very light and flexible shoe.</t>
  </si>
  <si>
    <t>Stretch: self-shaping fabric that will adapt perfectly to your forefoot deformations. This fabric will also accommodate feet that tend to swell during the day or with edema following an operation.</t>
  </si>
  <si>
    <t>Self-modeling stretch fabric area on the big toe that will adapt to your hallux valgus and considerably reduce friction and pain.</t>
  </si>
  <si>
    <t>Self-shaping stretch fabric area on top of the foot that will adapt to your toe claws and significantly reduce friction and pain.</t>
  </si>
  <si>
    <t>3D mesh: Smooth on the inside to prevent friction and embossed on the outside to promote evaporation.</t>
  </si>
  <si>
    <t>Stretch and elastic braided mesh that will conform to the shape of your feet without compression.</t>
  </si>
  <si>
    <t>Microfiber: an extremely fine and light synthetic textile fiber that is very easy to maintain.</t>
  </si>
  <si>
    <t>Resistant and easily washable textile upper. This type of fabric keeps the feet warm.</t>
  </si>
  <si>
    <t>Dust off the leather, apply a shoe polish evenly and let dry. You can then polish with a soft cloth.</t>
  </si>
  <si>
    <t>The stretch can be cleaned with a damp cloth.</t>
  </si>
  <si>
    <t>The combination of water-repellent materials and a welded upper-sole assembly helps reduce water penetration and thus keep feet dry even in the rain.</t>
  </si>
  <si>
    <t>Breathable microfiber lining for more lightness and easy maintenance.</t>
  </si>
  <si>
    <t>Naturally warm and antibacterial wool lining.</t>
  </si>
  <si>
    <t>Fleece microfiber lining to keep your feet warm.</t>
  </si>
  <si>
    <t>Textiles are particularly sensitive to hygiene problems (bad odors due to sweat or mold). The Sanitized antimicrobial durably prevents the growth of bacteria, yeasts and fungi and therefore protects the shoe in a safe and lasting way.</t>
  </si>
  <si>
    <t>There are no protruding internal seams, which prevents conflicts between the foot and the shoe and thus friction and irritation.</t>
  </si>
  <si>
    <t>Pressure limitation by additional padding of the shoe collar and tongue.</t>
  </si>
  <si>
    <t>Better pressure distribution thanks to the full lining on high density foam.</t>
  </si>
  <si>
    <t>The comfort insole is microfiber on cushioning foam with antibacterial treatment. It is perforated for optimal air circulation and rapid moisture evacuation.</t>
  </si>
  <si>
    <t>The insole is made of memory foam and is machine washable at 30 ° C.</t>
  </si>
  <si>
    <t>The insole is ventilated leather and mounted on foam for more comfort</t>
  </si>
  <si>
    <t>The insole is mounted on memory foam for optimal comfort.</t>
  </si>
  <si>
    <t>The insole is comfortable and breathable.</t>
  </si>
  <si>
    <t>Clean the insoles with a damp cloth and allow to air dry.</t>
  </si>
  <si>
    <t>Mode d'emploi EN 5</t>
  </si>
  <si>
    <t>Mode d'emploi FR 3</t>
  </si>
  <si>
    <t>The insoles are removable and can be removed and replaced with orthopedic insoles.</t>
  </si>
  <si>
    <t>The insoles are removable and can be removed and replaced with orthopedic insoles. An additional removable midsole is present to be able to perfectly adjust the shoe to the volume of your foot or to accommodate thick orthopedic insoles.</t>
  </si>
  <si>
    <t>You can adjust the volume of the shoe by leaving or removing the insole.</t>
  </si>
  <si>
    <t>You can adapt the interior fit volume by leaving or removing the insole and / or midsole.</t>
  </si>
  <si>
    <t>The outer sole is light, non-slip, cushioning and flexible.</t>
  </si>
  <si>
    <t>The outer sole is made of polyurethane. You can walk in complete safety with this ultra-light, flexible, shock-absorbing and non-slip sole.</t>
  </si>
  <si>
    <t>The outer sole is made of elastomer. It is cushioning, flexible and ultra-light.</t>
  </si>
  <si>
    <t xml:space="preserve">The outer sole is a semi-rigid, thick biomechanical sole with" Wellwalk "technology which promotes a natural course of the step without folding the shoe. This sole allows a uniformization of the pressures on the foot during the entire stance phase not. People suffering from osteoarthritis of the feet will be immediately relieved by wearing these shoes. </t>
  </si>
  <si>
    <t>The wide casing allows better stability when walking.</t>
  </si>
  <si>
    <t>The non-slip and non-blocking sole has 2 non-slip pads on the support areas. The contour allows not to brake the foot during contact with the ground.</t>
  </si>
  <si>
    <t>The design of the outsole has been studied to evacuate water between the ground and the sole. This sole has 2 non-slip pads on the support areas. The contour allows not to brake the foot during contact with the ground. The shape and the arch were designed to provide comfort and stability.</t>
  </si>
  <si>
    <t>The sole is sewn all the way around for more resistance.</t>
  </si>
  <si>
    <t>fit normally. We therefore advise you to choose your usual size.</t>
  </si>
  <si>
    <t>fit small. We therefore advise you to choose a size larger than your usual size.</t>
  </si>
  <si>
    <t>fit big. We therefore advise you to choose a size smaller than your usual size.</t>
  </si>
  <si>
    <t>have a variable volume on the forefoot which gives the necessary ease to a tired foot which takes volume at the end of the day.</t>
  </si>
  <si>
    <t>have optimal forefoot support for more stability.</t>
  </si>
  <si>
    <t>Lining :</t>
  </si>
  <si>
    <t>Top :</t>
  </si>
  <si>
    <t>Shoe size</t>
  </si>
  <si>
    <t>Maintenance recommendation</t>
  </si>
  <si>
    <t>Instructions for use</t>
  </si>
  <si>
    <t>Comfortable shoe</t>
  </si>
  <si>
    <t>The comfortable shoes</t>
  </si>
  <si>
    <t>This comfortable shoe</t>
  </si>
  <si>
    <t>These comfortable shoes</t>
  </si>
  <si>
    <t>7,5 UK - 8 US.</t>
  </si>
  <si>
    <t>8 UK - 8,5 US.</t>
  </si>
  <si>
    <t>9 UK - 9,5 US.</t>
  </si>
  <si>
    <t>9,5 UK - 10 US.</t>
  </si>
  <si>
    <t>10,5 UK - 11 US.</t>
  </si>
  <si>
    <t>11 UK - 11,5 US.</t>
  </si>
  <si>
    <t>12 UK - 12,5 US.</t>
  </si>
  <si>
    <t>13 UK - 13,5 US.</t>
  </si>
  <si>
    <t>14 UK - 14,5 US.</t>
  </si>
  <si>
    <t>15 UK - 15,5 US.</t>
  </si>
  <si>
    <t>The Onsteam® "High-tech" lining helps keep feet dry in all weathers thanks to maximum absorption and elimination of perspiration and a thermoregulation effect. It is an anti-microbial and antibacterial, anti-odor and hypoallergenic treated lining.</t>
  </si>
  <si>
    <t>Heel height is</t>
  </si>
  <si>
    <t>Pour trouver votre pointure facilement, consultez notre guide des tailles.</t>
  </si>
  <si>
    <t>Et si vous avez encore un doute sur le choix de la pointure et de la largeur, n'hésitez pas à nous contacter.</t>
  </si>
  <si>
    <t>To find your size easily, look at our size guide.</t>
  </si>
  <si>
    <t>And if you still have any doubts about the choice of size and width, do not hesitate to contact us.</t>
  </si>
  <si>
    <t>Bout de protection</t>
  </si>
  <si>
    <t>Bout protection</t>
  </si>
  <si>
    <t>Un bout de protection sur l'avant-pied protégera vos orteils.</t>
  </si>
  <si>
    <t>A protective tip on the forefoot will protect your toes.</t>
  </si>
  <si>
    <t>Doublure en microfibre respirante pour plus de légèreté et un entretien facilité.</t>
  </si>
  <si>
    <t>Il n'y a pas de coutures intérieures saillantes ce qui permet d'éviter les conflits entre le pied et la chaussure et ainsi les frottements et irritations.</t>
  </si>
  <si>
    <t>Bleu</t>
  </si>
  <si>
    <t>bleu</t>
  </si>
  <si>
    <t>blue</t>
  </si>
  <si>
    <t>Podobio</t>
  </si>
  <si>
    <t>La semelle intérieure de confort est en microfibre sur mousse amortissante avec une structure en liège. Elle est perforée pour une circulation optimale de l'air et une évacuation rapide de l'humidité.</t>
  </si>
  <si>
    <t>The comfort insole is microfiber on shock absorbing foam with a cork structure. It is perforated for optimal air circulation and rapid moisture evacuation.</t>
  </si>
  <si>
    <t>bunions</t>
  </si>
  <si>
    <t>Phrase supplémentaire</t>
  </si>
  <si>
    <t>Légère</t>
  </si>
  <si>
    <t>Une des principales qualités de cette chaussure est sa légèreté. Elle vous permettra de marcher pendant un long moment sans sentir aucune fatigue.</t>
  </si>
  <si>
    <t>One of the main quality of this shoe is its lightness. It will allow you to walk for a long time without feeling any fatigue.</t>
  </si>
  <si>
    <t>Semelle semi-flexible</t>
  </si>
  <si>
    <t>La semelle externe semi-flexible permet de diminuer les contraintes sur l'avant-pied tout en facilitant le déroulé du pied.</t>
  </si>
  <si>
    <t>The semi-flexible outer sole reduces stress on the forefoot while making it easier to roll the foot.</t>
  </si>
  <si>
    <t>L'emboitage large permet une meilleure stabilité à la marche.</t>
  </si>
  <si>
    <t>Enfant</t>
  </si>
  <si>
    <t>enfant</t>
  </si>
  <si>
    <t>kid</t>
  </si>
  <si>
    <t>8,5 UK - 9,5 US</t>
  </si>
  <si>
    <t>Le textile peut se nettoyer à l'aide d'une éponge ou d'un chiffon humide. Laisser sécher à l'air libre.</t>
  </si>
  <si>
    <t>La maille 3D peut se nettoyer à l'aide d'une éponge ou d'un chiffon humide. Laisser sécher à l'air libre.</t>
  </si>
  <si>
    <t>La maille extensible peut se nettoyer à l'aide d'une éponge ou d'un chiffon humide. Laisser sécher à l'air libre.</t>
  </si>
  <si>
    <t>La microfibre peut se nettoyer à l'aide d'une éponge ou d'un chiffon humide. Laisser sécher à l'air libre.</t>
  </si>
  <si>
    <t>You can clean microfiber with a damp sponge or cloth. Allow to dry in the open air.</t>
  </si>
  <si>
    <t>You can clean 3D mesh with a damp sponge or cloth. Allow to dry in the open air.</t>
  </si>
  <si>
    <t>You can clean strech mesh with a damp sponge or cloth. Allow to dry in the open air.</t>
  </si>
  <si>
    <t>You can clean textile with a damp sponge or cloth. Allow to dry in the open air.</t>
  </si>
  <si>
    <t>Recouvert cuir</t>
  </si>
  <si>
    <t>La semelle interne est en mousse recouverte de cuir.</t>
  </si>
  <si>
    <t>The insole is foam covered with leather.</t>
  </si>
  <si>
    <t>respecte vos orteils avec un matériau souple à l'aplomb des orteils.</t>
  </si>
  <si>
    <t>respects your toes with a flexible material directly above the toes.</t>
  </si>
  <si>
    <t>can accommodate wide feet as well as standard feet.</t>
  </si>
  <si>
    <t>can accommodate slim feet or standard width.</t>
  </si>
  <si>
    <t>Tige montante</t>
  </si>
  <si>
    <t>On retrouve une tige montante qui permet de stabiliser et de protéger les chevilles.</t>
  </si>
  <si>
    <t>There is a high upper that stabilizes and protects the ankles.</t>
  </si>
  <si>
    <t>Elastique</t>
  </si>
  <si>
    <t>Textile basket</t>
  </si>
  <si>
    <t>Textile synthétique. Ce type de textile permet d'avoir une chaussure très légère et souple qui n'agressera pas vos pieds sensibles.</t>
  </si>
  <si>
    <t>Le textile est lavable à 30°C à la main. Laisser sécher à l'air libre.</t>
  </si>
  <si>
    <t>Synthetic textile. This type of textile allows for a very light and flexible shoe that will not attack your sensitive feet.</t>
  </si>
  <si>
    <t>Textile (Synthétique)</t>
  </si>
  <si>
    <t>Doublure en textile synthétique pour une chaussure respirante et légère.</t>
  </si>
  <si>
    <t>Synthetic textile lining for a breathable and lightweight shoe.</t>
  </si>
  <si>
    <t>The fabric is hand washable at 30°C. Allow to dry in the open air.</t>
  </si>
  <si>
    <t>Machine washable at 30°C maximum</t>
  </si>
  <si>
    <t>Extensible</t>
  </si>
  <si>
    <t>Un tissu extensible sur le cou-de-pied permettra un chaussage facile.</t>
  </si>
  <si>
    <t>A stretch fabric on the instep will allow easy entry.</t>
  </si>
  <si>
    <t>Cette chaussure est pratique à chausser grâce à son élastique sur le cou-de-pied.</t>
  </si>
  <si>
    <t>This shoe is practical to put on thanks to its elastic on the instep.</t>
  </si>
  <si>
    <t>Col matellasé</t>
  </si>
  <si>
    <t>Bourellet mousse</t>
  </si>
  <si>
    <t>Le col matelassé en haut de tige permet un maintien confortable même en cas de cheville gonflé.</t>
  </si>
  <si>
    <t>with a large fit on the forefoot to accommodate feet with edema.</t>
  </si>
  <si>
    <t>Large ouverture</t>
  </si>
  <si>
    <t>On retrouve une large ouverture permettant un chaussage facile. Ce type d'ouverture est particulièrement adaptée pour les pieds douloureux ou peu mobiles.</t>
  </si>
  <si>
    <t>Microfibre (Nubuck)</t>
  </si>
  <si>
    <t>Microfibre style nubuck : une fibre textile synthétique extrêmement fine et légère et très facile à entretenir.</t>
  </si>
  <si>
    <t>Nubuck microfiber : an extremely fine and light synthetic textile fiber that is very easy to maintain.</t>
  </si>
  <si>
    <t>avec un grand volume chaussant sur l'avant-pied permet d'accueillir des pieds avec de l'œdème.</t>
  </si>
  <si>
    <t>The insole is hand washable at 30°C.</t>
  </si>
  <si>
    <t>The insole is machine washable at 30°C.</t>
  </si>
  <si>
    <t>Haut de tige</t>
  </si>
  <si>
    <t>Elastique d'aisance</t>
  </si>
  <si>
    <t>On retrouve en haut de tige, un élastique d'aisance qui apporte le volume nécessaire à une cheville qui prend du volume au cours de la journée.</t>
  </si>
  <si>
    <t>The quilted collar at the top of the upper provides comfortable support even with a swollen ankle.</t>
  </si>
  <si>
    <t>To avoid discomfort and injury there is a flexible foam bead at the top of the upper.</t>
  </si>
  <si>
    <t>At the top of the upper, we find an elastic band which provides the necessary volume for an ankle which gains volume during the day.</t>
  </si>
  <si>
    <t>FAG interne</t>
  </si>
  <si>
    <t>FAG double</t>
  </si>
  <si>
    <t>FAG externe</t>
  </si>
  <si>
    <t>Zone stretch orteils</t>
  </si>
  <si>
    <t>Zone en tissu extensible auto-modelant au niveau des orteils qui s'adaptera à votre hallux valgus et/ou vos orteils en griffe et qui réduira considérablement les frottements et les douleurs.</t>
  </si>
  <si>
    <t>Self-modeling stretch fabric area on the toes that will adapt to your bunion and/or your toe claws and considerably reduce friction and pain.</t>
  </si>
  <si>
    <t>La fermeture se fait à l'aide d'une double fermeture à glissière. Ce type de fermeture permettra une ouverture très large, un chaussage aisé et un maintien optimal.</t>
  </si>
  <si>
    <t>The closure is done using an external side zipper. This type of closure will allow easy entry and optimal support.</t>
  </si>
  <si>
    <t>La fermeture se fait à l'aide d'une fermeture à glissière en latéral externe. Ce type de fermeture permettra un chaussage aisé et un maintien optimal.</t>
  </si>
  <si>
    <t>La fermeture se fait à l'aide d'une fermeture à glissière en latéral interne. Ce type de fermeture permettra un chaussage aisé et un maintien optimal.</t>
  </si>
  <si>
    <t>The closure is done using an internal side zipper. This type of closure will allow easy entry and optimal support.</t>
  </si>
  <si>
    <t>The closure is done using a double zipper. This type of closure will allow a very wide opening, easy entry and optimal support.</t>
  </si>
  <si>
    <t>respecte vos hallux valgus et évite toutes les douleurs dues à cette pathologie.</t>
  </si>
  <si>
    <t>La semelle intérieure est en cuir ventilée et montée sur mousse pour plus de confort.</t>
  </si>
  <si>
    <t>Elten</t>
  </si>
  <si>
    <t>Prophylaxe</t>
  </si>
  <si>
    <t>Cette chaussure est une chaussure de prophylaxie développé par Finn Comfort en collaboration avec des médecins et techniciens orthopédiques après beaucoup de recherches approfondies. Elle permet de réduire considérablement les pressions sur les pieds sensibles.</t>
  </si>
  <si>
    <t>This shoe is a prophylactic shoe developed by Finn Comfort in collaboration with doctors and orthopedic technicians after extensive research. It considerably reduces pressure on sensitive feet.</t>
  </si>
  <si>
    <t>Les pieds sont dirigés de manière optimale par le contrefort prolongé des deux côtés garantissant également un déroulé naturel du pied.</t>
  </si>
  <si>
    <t>The feet are optimally directed by the extended buttress on both sides, which also guarantees a natural rolling out of the foot.</t>
  </si>
  <si>
    <t>Veau</t>
  </si>
  <si>
    <t>Confort - Finn Comfort</t>
  </si>
  <si>
    <t>La semelle interne est en liège/latex indéformable. La première en cuir tannage végétal conviendra particulièrement aux pieds sensibles. Elle possède des orifices pour une ventilation optimale. Enfin, la voûte anatomique et la cuvette au niveau du talon assurera une parfaite stabilité du pied.</t>
  </si>
  <si>
    <t>The insole is made of non-deformable cork/latex. The insole is made of vegetable-tanned leather and is particularly suitable for sensitive feet. It has holes for optimal ventilation. Finally, the anatomical arch and heel cup will ensure perfect stability of the foot.</t>
  </si>
  <si>
    <t>Nettoyer les semelles internes à la main à 30°C. Les laisser sécher à l'air libre. Il est conseillé de les sortir pendant la nuit pour les aérer.</t>
  </si>
  <si>
    <t>Clean the insoles by hand at 30°C. Let them air dry. It is advisable to take them out at night to ventilate them.</t>
  </si>
  <si>
    <t>La doublure intérieure est en veau. Ce type de doublure permet un confort parfait, un bon maintien du pied et une meilleure aération.</t>
  </si>
  <si>
    <t>The inner lining is made of calfskin. This type of lining allows a perfect comfort, a good support of the foot and a better ventilation.</t>
  </si>
  <si>
    <t>L'avant-pied entièrement rembourré empêche les points de pression. La languette est, elle aussi, rembourrée pour soulager la zone du cou-de-pied. On retrouve aussi un rembourrage supplémentaire autour de la cheville pour empêcher les frottements et assurer un bon maintien de la cheville.</t>
  </si>
  <si>
    <t>The fully padded forefoot prevents pressure points. The tongue is also padded to relieve the instep area. There is also extra padding around the ankle to prevent rubbing and ensure good ankle support.</t>
  </si>
  <si>
    <t>La fermeture se fait à l'aide d'un lacet pour un réglage optimal du serrage du pied même en cas de cou-de-pied fort.</t>
  </si>
  <si>
    <t>La fermeture avec un velcro permet un réglage optimal du serrage même pour les personnes avec un cou-de-pied fort. Ce type de fermeture permet aussi un enfilage aisé et un maintien optimal.</t>
  </si>
  <si>
    <t>La fermeture avec 2 velcros permet un réglage optimal du serrage même pour les personnes avec un cou-de-pied fort. Ce type de fermeture permet aussi un enfilage aisé et un maintien optimal.</t>
  </si>
  <si>
    <t>La fermeture avec 3 velcros permet un réglage optimal du serrage même pour les personnes avec un cou-de-pied fort. Ce type de fermeture permet aussi un enfilage aisé et un maintien optimal.</t>
  </si>
  <si>
    <t>Finntara</t>
  </si>
  <si>
    <t>Avant-pied doublée en Finntara antiseptique pour une hygiène irréprochable.</t>
  </si>
  <si>
    <t>Forefoot lined in antiseptic Finntara for impeccable hygiene.</t>
  </si>
  <si>
    <t>Nubuck</t>
  </si>
  <si>
    <t>Le cuir nubuck doit être brossé doucement pour ne pas abimer ou enlever les poils présents à la surface du nubuck.</t>
  </si>
  <si>
    <t>Nubuck leather should be brushed gently so as not to damage or remove the hair on the surface of the nubuck.</t>
  </si>
  <si>
    <t>Nubuck : cuir dont le côté fleur (surface externe de la peau) a été finement poncé.</t>
  </si>
  <si>
    <t>Nubuck: leather whose grain side (outer surface of the skin) has been finely sanded.</t>
  </si>
  <si>
    <t>Traitement doublure</t>
  </si>
  <si>
    <t>avec une largeur conséquente à l'avant-pied permettant de soulager les personnes avec des pieds plus larges que la normale.</t>
  </si>
  <si>
    <t>with a consequent width at the forefoot to relieve people with wider feet than normal..</t>
  </si>
  <si>
    <t>Ouverture totale enfant</t>
  </si>
  <si>
    <t>On retrouve une ouverture totale permettant un chaussage facile. Ce type d'ouverture est particulièrement adaptée pour les coques talonnières.</t>
  </si>
  <si>
    <t>We find a total opening allowing an easy slipping on. This type of opening is particularly adapted for heel cups.</t>
  </si>
  <si>
    <t>FAG double + lacets</t>
  </si>
  <si>
    <t>La fermeture se fait à l'aide d'une double fermeture à glissière. Ce type de fermeture permettra une ouverture très large, un chaussage aisé et un maintien optimal. Avec le laçage, il sera aisé de régler le volume intérieur de la chaussure.</t>
  </si>
  <si>
    <t>Closing is done with a double zipper. This type of closure will allow for a very wide opening, easy donning and optimal support. With the lacing, it will be easy to adjust the interior volume of the shoe.</t>
  </si>
  <si>
    <t>Prolongé</t>
  </si>
  <si>
    <t>The buttress is extended on each side of the foot for better stability.</t>
  </si>
  <si>
    <t>La chaussure a un grand volume chaussant permettant le port d'orthèses volumineuses comme les appareils releveurs ou les coques talonnières.</t>
  </si>
  <si>
    <t>The shoe has a large footwear volume allowing the wearing of voluminous orthotics such as lifting devices or heel shells.</t>
  </si>
  <si>
    <t>Languette</t>
  </si>
  <si>
    <t>La languette est capitonnée pour plus de confort.</t>
  </si>
  <si>
    <t>The tongue is padded for more comfort.</t>
  </si>
  <si>
    <t>Antidérapante Podowell</t>
  </si>
  <si>
    <t>Frenchy</t>
  </si>
  <si>
    <t>40.</t>
  </si>
  <si>
    <t>6,5 UK - 8 US.</t>
  </si>
  <si>
    <t>4,5 UK - 5 US</t>
  </si>
  <si>
    <t>Le contrefort est prolongé de chaque côté du pied permettant une meilleure stabilité.</t>
  </si>
  <si>
    <t>plus de volume pour préserver des pieds fragiles, douloureux, gonflés ou déformés. La largeur supérieure à la normale permettra de soulager vos métatarsalgies en ne compressant pas vos orteils latéralement. Cela correspond à une largeur H ou J.</t>
  </si>
  <si>
    <t>un volume chaussant standard et confortable. Cela correspond à une largeur F ou G.</t>
  </si>
  <si>
    <t>un maximum de place pour loger un pied très gonflé, diabétique ou récemment opéré. Cela correspond à une largeur K ou M.</t>
  </si>
  <si>
    <t>a standard and comfortable footwear volume. This corresponds to a width F or G.</t>
  </si>
  <si>
    <t>more volume to preserve fragile, painful, swollen or deformed feet. The greater than normal width will help relieve your metatarsalgia by not compressing your toes laterally. This corresponds to an H or J width.</t>
  </si>
  <si>
    <t>maximum space to accommodate a very swollen, diabetic or recently operated foot. This corresponds to a K or M width.</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</si>
</sst>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
  </numFmts>
  <fonts count="7">
    <font>
      <sz val="12"/>
      <color theme="1"/>
      <name val="Calibri"/>
      <family val="2"/>
      <scheme val="minor"/>
    </font>
    <font>
      <b/>
      <sz val="12"/>
      <color theme="1"/>
      <name val="Calibri"/>
      <family val="2"/>
      <scheme val="minor"/>
    </font>
    <font>
      <sz val="12"/>
      <color rgb="FF000000"/>
      <name val="Calibri"/>
      <family val="2"/>
      <scheme val="minor"/>
    </font>
    <font>
      <b/>
      <sz val="12"/>
      <color rgb="FF000000"/>
      <name val="Calibri"/>
      <family val="2"/>
      <scheme val="minor"/>
    </font>
    <font>
      <sz val="8"/>
      <name val="Calibri"/>
      <family val="2"/>
      <scheme val="minor"/>
    </font>
    <font>
      <sz val="12"/>
      <color rgb="FF222222"/>
      <name val="Arial"/>
      <family val="2"/>
    </font>
    <font>
      <u/>
      <sz val="12"/>
      <color theme="1"/>
      <name val="Calibri"/>
      <family val="2"/>
      <scheme val="minor"/>
    </font>
  </fonts>
  <fills count="3">
    <fill>
      <patternFill patternType="none"/>
    </fill>
    <fill>
      <patternFill patternType="gray125"/>
    </fill>
    <fill>
      <patternFill patternType="solid">
        <fgColor theme="0"/>
        <bgColor indexed="64"/>
      </patternFill>
    </fill>
  </fills>
  <borders count="16">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
      <left style="thin">
        <color indexed="64"/>
      </left>
      <right style="thin">
        <color indexed="64"/>
      </right>
      <top style="thin">
        <color indexed="64"/>
      </top>
      <bottom/>
      <diagonal/>
    </border>
    <border>
      <left style="thin">
        <color auto="1"/>
      </left>
      <right style="thin">
        <color auto="1"/>
      </right>
      <top/>
      <bottom/>
      <diagonal/>
    </border>
    <border>
      <left/>
      <right/>
      <top style="thin">
        <color indexed="64"/>
      </top>
      <bottom/>
      <diagonal/>
    </border>
    <border>
      <left style="medium">
        <color indexed="64"/>
      </left>
      <right style="medium">
        <color indexed="64"/>
      </right>
      <top style="medium">
        <color indexed="64"/>
      </top>
      <bottom style="medium">
        <color indexed="64"/>
      </bottom>
      <diagonal/>
    </border>
    <border>
      <left style="medium">
        <color indexed="64"/>
      </left>
      <right style="thin">
        <color auto="1"/>
      </right>
      <top style="medium">
        <color indexed="64"/>
      </top>
      <bottom style="medium">
        <color indexed="64"/>
      </bottom>
      <diagonal/>
    </border>
    <border>
      <left style="thin">
        <color auto="1"/>
      </left>
      <right style="thin">
        <color auto="1"/>
      </right>
      <top style="medium">
        <color indexed="64"/>
      </top>
      <bottom style="medium">
        <color indexed="64"/>
      </bottom>
      <diagonal/>
    </border>
    <border>
      <left style="thin">
        <color auto="1"/>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right style="medium">
        <color indexed="64"/>
      </right>
      <top style="medium">
        <color indexed="64"/>
      </top>
      <bottom style="medium">
        <color indexed="64"/>
      </bottom>
      <diagonal/>
    </border>
    <border>
      <left/>
      <right style="thin">
        <color indexed="64"/>
      </right>
      <top/>
      <bottom style="thin">
        <color indexed="64"/>
      </bottom>
      <diagonal/>
    </border>
    <border>
      <left style="thin">
        <color auto="1"/>
      </left>
      <right style="thin">
        <color auto="1"/>
      </right>
      <top style="medium">
        <color indexed="64"/>
      </top>
      <bottom style="thin">
        <color auto="1"/>
      </bottom>
      <diagonal/>
    </border>
    <border>
      <left style="thin">
        <color auto="1"/>
      </left>
      <right/>
      <top style="medium">
        <color indexed="64"/>
      </top>
      <bottom style="medium">
        <color indexed="64"/>
      </bottom>
      <diagonal/>
    </border>
    <border>
      <left style="thin">
        <color auto="1"/>
      </left>
      <right style="thin">
        <color auto="1"/>
      </right>
      <top style="medium">
        <color indexed="64"/>
      </top>
      <bottom/>
      <diagonal/>
    </border>
  </borders>
  <cellStyleXfs count="1">
    <xf numFmtId="0" fontId="0" fillId="0" borderId="0"/>
  </cellStyleXfs>
  <cellXfs count="73">
    <xf numFmtId="0" fontId="0" fillId="0" borderId="0" xfId="0"/>
    <xf numFmtId="164" fontId="0" fillId="0" borderId="0" xfId="0" applyNumberFormat="1"/>
    <xf numFmtId="0" fontId="0" fillId="0" borderId="0" xfId="0" applyNumberFormat="1"/>
    <xf numFmtId="0" fontId="2" fillId="0" borderId="0" xfId="0" applyFont="1"/>
    <xf numFmtId="0" fontId="0" fillId="0" borderId="2" xfId="0" applyBorder="1" applyAlignment="1">
      <alignment wrapText="1"/>
    </xf>
    <xf numFmtId="0" fontId="0" fillId="0" borderId="1" xfId="0" applyBorder="1" applyAlignment="1">
      <alignment wrapText="1"/>
    </xf>
    <xf numFmtId="0" fontId="0" fillId="0" borderId="1" xfId="0" applyFont="1" applyBorder="1" applyAlignment="1">
      <alignment wrapText="1"/>
    </xf>
    <xf numFmtId="0" fontId="0" fillId="0" borderId="0" xfId="0" applyAlignment="1">
      <alignment wrapText="1"/>
    </xf>
    <xf numFmtId="0" fontId="1" fillId="0" borderId="9" xfId="0" applyFont="1" applyBorder="1" applyAlignment="1">
      <alignment wrapText="1"/>
    </xf>
    <xf numFmtId="0" fontId="0" fillId="0" borderId="0" xfId="0" applyBorder="1" applyAlignment="1">
      <alignment wrapText="1"/>
    </xf>
    <xf numFmtId="0" fontId="0" fillId="0" borderId="5" xfId="0" applyBorder="1" applyAlignment="1">
      <alignment wrapText="1"/>
    </xf>
    <xf numFmtId="0" fontId="2" fillId="0" borderId="0" xfId="0" applyFont="1" applyAlignment="1">
      <alignment wrapText="1"/>
    </xf>
    <xf numFmtId="0" fontId="0" fillId="0" borderId="2" xfId="0" applyBorder="1" applyAlignment="1">
      <alignment vertical="top" wrapText="1"/>
    </xf>
    <xf numFmtId="0" fontId="0" fillId="0" borderId="1" xfId="0" applyBorder="1" applyAlignment="1">
      <alignment vertical="top" wrapText="1"/>
    </xf>
    <xf numFmtId="0" fontId="2" fillId="0" borderId="0" xfId="0" applyFont="1" applyAlignment="1">
      <alignment vertical="top" wrapText="1"/>
    </xf>
    <xf numFmtId="0" fontId="1" fillId="0" borderId="9" xfId="0" applyFont="1" applyBorder="1" applyAlignment="1">
      <alignment vertical="top" wrapText="1"/>
    </xf>
    <xf numFmtId="0" fontId="3" fillId="0" borderId="9" xfId="0" applyFont="1" applyBorder="1" applyAlignment="1">
      <alignment vertical="top" wrapText="1"/>
    </xf>
    <xf numFmtId="0" fontId="2" fillId="0" borderId="2" xfId="0" applyFont="1" applyBorder="1" applyAlignment="1">
      <alignment vertical="top" wrapText="1"/>
    </xf>
    <xf numFmtId="0" fontId="2" fillId="0" borderId="1" xfId="0" applyFont="1" applyBorder="1" applyAlignment="1">
      <alignment vertical="top" wrapText="1"/>
    </xf>
    <xf numFmtId="0" fontId="0" fillId="0" borderId="1" xfId="0" applyBorder="1" applyAlignment="1">
      <alignment horizontal="left" vertical="top" wrapText="1"/>
    </xf>
    <xf numFmtId="0" fontId="0" fillId="0" borderId="0" xfId="0" applyBorder="1" applyAlignment="1">
      <alignment horizontal="left" vertical="top" wrapText="1"/>
    </xf>
    <xf numFmtId="0" fontId="0" fillId="0" borderId="2" xfId="0" applyBorder="1" applyAlignment="1">
      <alignment horizontal="left" vertical="top" wrapText="1"/>
    </xf>
    <xf numFmtId="0" fontId="0" fillId="0" borderId="13" xfId="0" applyBorder="1" applyAlignment="1">
      <alignment vertical="top" wrapText="1"/>
    </xf>
    <xf numFmtId="0" fontId="2" fillId="0" borderId="1" xfId="0" applyFont="1" applyFill="1" applyBorder="1" applyAlignment="1">
      <alignment vertical="top" wrapText="1"/>
    </xf>
    <xf numFmtId="0" fontId="3" fillId="0" borderId="14" xfId="0" applyFont="1" applyBorder="1" applyAlignment="1">
      <alignment vertical="top" wrapText="1"/>
    </xf>
    <xf numFmtId="0" fontId="2" fillId="0" borderId="3" xfId="0" applyFont="1" applyBorder="1" applyAlignment="1">
      <alignment vertical="top" wrapText="1"/>
    </xf>
    <xf numFmtId="0" fontId="2" fillId="0" borderId="0" xfId="0" applyFont="1" applyBorder="1" applyAlignment="1">
      <alignment vertical="top" wrapText="1"/>
    </xf>
    <xf numFmtId="0" fontId="0" fillId="0" borderId="15" xfId="0" applyBorder="1" applyAlignment="1">
      <alignment vertical="top" wrapText="1"/>
    </xf>
    <xf numFmtId="0" fontId="2" fillId="0" borderId="1" xfId="0" applyFont="1" applyBorder="1" applyAlignment="1">
      <alignment horizontal="left" vertical="top" wrapText="1"/>
    </xf>
    <xf numFmtId="0" fontId="0" fillId="0" borderId="1" xfId="0" applyFont="1" applyBorder="1" applyAlignment="1">
      <alignment vertical="top" wrapText="1"/>
    </xf>
    <xf numFmtId="0" fontId="0" fillId="0" borderId="0" xfId="0" applyBorder="1" applyAlignment="1">
      <alignment vertical="top" wrapText="1"/>
    </xf>
    <xf numFmtId="0" fontId="1" fillId="0" borderId="6" xfId="0" applyFont="1" applyBorder="1" applyAlignment="1">
      <alignment wrapText="1"/>
    </xf>
    <xf numFmtId="0" fontId="1" fillId="0" borderId="7" xfId="0" applyFont="1" applyFill="1" applyBorder="1" applyAlignment="1">
      <alignment vertical="top" wrapText="1"/>
    </xf>
    <xf numFmtId="0" fontId="1" fillId="0" borderId="8" xfId="0" applyFont="1" applyBorder="1" applyAlignment="1">
      <alignment wrapText="1"/>
    </xf>
    <xf numFmtId="0" fontId="0" fillId="0" borderId="2" xfId="0" applyFill="1" applyBorder="1" applyAlignment="1">
      <alignment vertical="top" wrapText="1"/>
    </xf>
    <xf numFmtId="0" fontId="0" fillId="0" borderId="1" xfId="0" applyFill="1" applyBorder="1" applyAlignment="1">
      <alignment vertical="top" wrapText="1"/>
    </xf>
    <xf numFmtId="0" fontId="3" fillId="0" borderId="7" xfId="0" applyFont="1" applyBorder="1" applyAlignment="1">
      <alignment vertical="top" wrapText="1"/>
    </xf>
    <xf numFmtId="0" fontId="2" fillId="0" borderId="12" xfId="0" applyFont="1" applyBorder="1" applyAlignment="1">
      <alignment wrapText="1"/>
    </xf>
    <xf numFmtId="0" fontId="0" fillId="0" borderId="0" xfId="0" applyAlignment="1">
      <alignment vertical="top" wrapText="1"/>
    </xf>
    <xf numFmtId="0" fontId="1" fillId="0" borderId="7" xfId="0" applyFont="1" applyBorder="1" applyAlignment="1">
      <alignment vertical="top" wrapText="1"/>
    </xf>
    <xf numFmtId="0" fontId="0" fillId="0" borderId="2" xfId="0" applyFont="1" applyBorder="1" applyAlignment="1">
      <alignment wrapText="1"/>
    </xf>
    <xf numFmtId="0" fontId="0" fillId="0" borderId="0" xfId="0" applyFont="1" applyBorder="1" applyAlignment="1">
      <alignment wrapText="1"/>
    </xf>
    <xf numFmtId="0" fontId="1" fillId="0" borderId="10" xfId="0" applyFont="1" applyBorder="1" applyAlignment="1">
      <alignment wrapText="1"/>
    </xf>
    <xf numFmtId="0" fontId="2" fillId="0" borderId="2" xfId="0" applyFont="1" applyBorder="1" applyAlignment="1">
      <alignment horizontal="left" vertical="top" wrapText="1"/>
    </xf>
    <xf numFmtId="0" fontId="2" fillId="0" borderId="0" xfId="0" applyFont="1" applyBorder="1" applyAlignment="1">
      <alignment wrapText="1"/>
    </xf>
    <xf numFmtId="0" fontId="3" fillId="0" borderId="0" xfId="0" applyFont="1" applyBorder="1" applyAlignment="1">
      <alignment vertical="top" wrapText="1"/>
    </xf>
    <xf numFmtId="0" fontId="2" fillId="0" borderId="4" xfId="0" applyFont="1" applyBorder="1" applyAlignment="1">
      <alignment vertical="top" wrapText="1"/>
    </xf>
    <xf numFmtId="0" fontId="2" fillId="0" borderId="13" xfId="0" applyFont="1" applyBorder="1" applyAlignment="1">
      <alignment vertical="top" wrapText="1"/>
    </xf>
    <xf numFmtId="0" fontId="2" fillId="0" borderId="15" xfId="0" applyFont="1" applyBorder="1" applyAlignment="1">
      <alignment vertical="top" wrapText="1"/>
    </xf>
    <xf numFmtId="0" fontId="2" fillId="0" borderId="1" xfId="0" applyFont="1" applyBorder="1" applyAlignment="1">
      <alignment wrapText="1"/>
    </xf>
    <xf numFmtId="0" fontId="2" fillId="0" borderId="2" xfId="0" applyFont="1" applyBorder="1" applyAlignment="1">
      <alignment wrapText="1"/>
    </xf>
    <xf numFmtId="0" fontId="3" fillId="0" borderId="8" xfId="0" applyFont="1" applyBorder="1" applyAlignment="1">
      <alignment wrapText="1"/>
    </xf>
    <xf numFmtId="0" fontId="3" fillId="0" borderId="14" xfId="0" applyFont="1" applyBorder="1" applyAlignment="1">
      <alignment wrapText="1"/>
    </xf>
    <xf numFmtId="0" fontId="2" fillId="0" borderId="0" xfId="0" applyFont="1" applyFill="1" applyBorder="1" applyAlignment="1">
      <alignment vertical="top" wrapText="1"/>
    </xf>
    <xf numFmtId="0" fontId="1" fillId="0" borderId="11" xfId="0" applyFont="1" applyBorder="1" applyAlignment="1">
      <alignment wrapText="1"/>
    </xf>
    <xf numFmtId="0" fontId="3" fillId="0" borderId="10" xfId="0" applyFont="1" applyBorder="1" applyAlignment="1">
      <alignment wrapText="1"/>
    </xf>
    <xf numFmtId="49" fontId="0" fillId="0" borderId="0" xfId="0" quotePrefix="1" applyNumberFormat="1"/>
    <xf numFmtId="0" fontId="5" fillId="0" borderId="0" xfId="0" applyFont="1"/>
    <xf numFmtId="0" fontId="0" fillId="0" borderId="13" xfId="0" applyFont="1" applyBorder="1" applyAlignment="1">
      <alignment vertical="top" wrapText="1"/>
    </xf>
    <xf numFmtId="0" fontId="0" fillId="0" borderId="13" xfId="0" applyFont="1" applyBorder="1" applyAlignment="1">
      <alignment wrapText="1"/>
    </xf>
    <xf numFmtId="0" fontId="6" fillId="0" borderId="0" xfId="0" applyFont="1"/>
    <xf numFmtId="0" fontId="0" fillId="2" borderId="0" xfId="0" applyFill="1" applyAlignment="1" applyProtection="1">
      <alignment horizontal="right" vertical="center"/>
      <protection hidden="1"/>
    </xf>
    <xf numFmtId="0" fontId="0" fillId="2" borderId="0" xfId="0" applyFill="1" applyProtection="1">
      <protection hidden="1"/>
    </xf>
    <xf numFmtId="0" fontId="0" fillId="2" borderId="0" xfId="0" applyNumberFormat="1" applyFill="1" applyBorder="1" applyProtection="1">
      <protection hidden="1"/>
    </xf>
    <xf numFmtId="0" fontId="0" fillId="2" borderId="0" xfId="0" applyNumberFormat="1" applyFill="1" applyProtection="1">
      <protection hidden="1"/>
    </xf>
    <xf numFmtId="0" fontId="0" fillId="2" borderId="1" xfId="0" applyNumberFormat="1" applyFill="1" applyBorder="1" applyProtection="1">
      <protection locked="0"/>
    </xf>
    <xf numFmtId="0" fontId="0" fillId="2" borderId="1" xfId="0" applyNumberFormat="1" applyFill="1" applyBorder="1" applyAlignment="1" applyProtection="1">
      <alignment wrapText="1"/>
      <protection locked="0"/>
    </xf>
    <xf numFmtId="0" fontId="0" fillId="2" borderId="1" xfId="0" applyNumberFormat="1" applyFont="1" applyFill="1" applyBorder="1" applyProtection="1">
      <protection locked="0"/>
    </xf>
    <xf numFmtId="0" fontId="0" fillId="2" borderId="2" xfId="0" applyNumberFormat="1" applyFill="1" applyBorder="1" applyProtection="1">
      <protection locked="0"/>
    </xf>
    <xf numFmtId="0" fontId="2" fillId="0" borderId="12" xfId="0" applyFont="1" applyBorder="1" applyAlignment="1">
      <alignment vertical="top" wrapText="1"/>
    </xf>
    <xf numFmtId="0" fontId="0" fillId="0" borderId="13" xfId="0" applyBorder="1" applyAlignment="1">
      <alignment horizontal="left" vertical="top" wrapText="1"/>
    </xf>
    <xf numFmtId="49" fontId="0" fillId="2" borderId="1" xfId="0" applyNumberFormat="1" applyFill="1" applyBorder="1" applyProtection="1">
      <protection locked="0"/>
    </xf>
    <xf numFmtId="49" fontId="0" fillId="0" borderId="2" xfId="0" applyNumberFormat="1" applyBorder="1"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4D91A7A-1A37-2E40-BAD2-599A6D590B69}">
  <dimension ref="B3:D56"/>
  <sheetViews>
    <sheetView workbookViewId="0">
      <selection activeCell="D56" sqref="D56"/>
    </sheetView>
  </sheetViews>
  <sheetFormatPr baseColWidth="10" defaultRowHeight="16"/>
  <cols>
    <col min="1" max="1" width="10.83203125" style="62"/>
    <col min="2" max="2" width="25.83203125" style="61" bestFit="1" customWidth="1"/>
    <col min="3" max="3" width="4" style="62" customWidth="1"/>
    <col min="4" max="4" width="30" style="64" customWidth="1"/>
    <col min="5" max="16384" width="10.83203125" style="62"/>
  </cols>
  <sheetData>
    <row r="3" spans="2:4">
      <c r="B3" s="61" t="s">
        <v>0</v>
      </c>
      <c r="D3" s="71" t="s">
        <v>648</v>
      </c>
    </row>
    <row r="4" spans="2:4" ht="17">
      <c r="B4" s="61" t="s">
        <v>1</v>
      </c>
      <c r="D4" s="66" t="s">
        <v>6</v>
      </c>
    </row>
    <row r="5" spans="2:4" ht="17">
      <c r="B5" s="61" t="s">
        <v>157</v>
      </c>
      <c r="D5" s="66" t="s">
        <v>534</v>
      </c>
    </row>
    <row r="6" spans="2:4">
      <c r="B6" s="61" t="s">
        <v>38</v>
      </c>
      <c r="D6" s="67" t="s">
        <v>41</v>
      </c>
    </row>
    <row r="8" spans="2:4">
      <c r="B8" s="61" t="s">
        <v>12</v>
      </c>
      <c r="D8" s="65" t="s">
        <v>519</v>
      </c>
    </row>
    <row r="9" spans="2:4">
      <c r="B9" s="61" t="s">
        <v>22</v>
      </c>
      <c r="D9" s="65">
        <v>21</v>
      </c>
    </row>
    <row r="10" spans="2:4">
      <c r="B10" s="61" t="s">
        <v>23</v>
      </c>
      <c r="D10" s="68">
        <v>40</v>
      </c>
    </row>
    <row r="12" spans="2:4">
      <c r="B12" s="61" t="s">
        <v>25</v>
      </c>
      <c r="D12" s="65" t="s">
        <v>32</v>
      </c>
    </row>
    <row r="13" spans="2:4">
      <c r="B13" s="61" t="s">
        <v>26</v>
      </c>
      <c r="D13" s="65" t="s">
        <v>354</v>
      </c>
    </row>
    <row r="14" spans="2:4">
      <c r="B14" s="61" t="s">
        <v>27</v>
      </c>
      <c r="D14" s="65" t="s">
        <v>35</v>
      </c>
    </row>
    <row r="15" spans="2:4">
      <c r="B15" s="61" t="s">
        <v>28</v>
      </c>
      <c r="D15" s="65"/>
    </row>
    <row r="16" spans="2:4">
      <c r="B16" s="61" t="s">
        <v>29</v>
      </c>
      <c r="D16" s="65"/>
    </row>
    <row r="17" spans="2:4">
      <c r="B17" s="61" t="s">
        <v>30</v>
      </c>
      <c r="D17" s="65"/>
    </row>
    <row r="19" spans="2:4">
      <c r="B19" s="61" t="s">
        <v>252</v>
      </c>
      <c r="D19" s="65" t="s">
        <v>32</v>
      </c>
    </row>
    <row r="20" spans="2:4">
      <c r="B20" s="61" t="s">
        <v>526</v>
      </c>
      <c r="D20" s="65" t="s">
        <v>534</v>
      </c>
    </row>
    <row r="22" spans="2:4">
      <c r="B22" s="61" t="s">
        <v>45</v>
      </c>
      <c r="D22" s="65" t="s">
        <v>48</v>
      </c>
    </row>
    <row r="23" spans="2:4">
      <c r="B23" s="61" t="s">
        <v>224</v>
      </c>
      <c r="D23" s="65" t="s">
        <v>634</v>
      </c>
    </row>
    <row r="25" spans="2:4">
      <c r="B25" s="61" t="s">
        <v>49</v>
      </c>
      <c r="D25" s="65" t="s">
        <v>50</v>
      </c>
    </row>
    <row r="26" spans="2:4">
      <c r="B26" s="61" t="s">
        <v>59</v>
      </c>
      <c r="D26" s="65"/>
    </row>
    <row r="28" spans="2:4">
      <c r="B28" s="61" t="s">
        <v>52</v>
      </c>
      <c r="D28" s="65" t="s">
        <v>637</v>
      </c>
    </row>
    <row r="29" spans="2:4">
      <c r="B29" s="61" t="s">
        <v>61</v>
      </c>
      <c r="D29" s="65"/>
    </row>
    <row r="30" spans="2:4">
      <c r="D30" s="63"/>
    </row>
    <row r="31" spans="2:4">
      <c r="B31" s="61" t="s">
        <v>69</v>
      </c>
      <c r="D31" s="65" t="s">
        <v>640</v>
      </c>
    </row>
    <row r="32" spans="2:4">
      <c r="B32" s="61" t="s">
        <v>583</v>
      </c>
      <c r="D32" s="65" t="s">
        <v>572</v>
      </c>
    </row>
    <row r="33" spans="2:4">
      <c r="B33" s="61" t="s">
        <v>343</v>
      </c>
      <c r="D33" s="65" t="s">
        <v>50</v>
      </c>
    </row>
    <row r="34" spans="2:4" ht="15" customHeight="1"/>
    <row r="35" spans="2:4">
      <c r="B35" s="61" t="s">
        <v>58</v>
      </c>
      <c r="D35" s="65" t="s">
        <v>561</v>
      </c>
    </row>
    <row r="36" spans="2:4">
      <c r="B36" s="61" t="s">
        <v>58</v>
      </c>
      <c r="D36" s="65"/>
    </row>
    <row r="37" spans="2:4">
      <c r="B37" s="61" t="s">
        <v>58</v>
      </c>
      <c r="D37" s="65"/>
    </row>
    <row r="38" spans="2:4">
      <c r="B38" s="61" t="s">
        <v>345</v>
      </c>
      <c r="D38" s="65"/>
    </row>
    <row r="39" spans="2:4">
      <c r="B39" s="61" t="s">
        <v>513</v>
      </c>
      <c r="D39" s="65"/>
    </row>
    <row r="40" spans="2:4">
      <c r="B40" s="61" t="s">
        <v>65</v>
      </c>
      <c r="D40" s="65" t="s">
        <v>561</v>
      </c>
    </row>
    <row r="41" spans="2:4">
      <c r="B41" s="61" t="s">
        <v>631</v>
      </c>
      <c r="D41" s="65"/>
    </row>
    <row r="43" spans="2:4">
      <c r="B43" s="61" t="s">
        <v>250</v>
      </c>
      <c r="D43" s="65" t="s">
        <v>50</v>
      </c>
    </row>
    <row r="44" spans="2:4">
      <c r="B44" s="61" t="s">
        <v>273</v>
      </c>
      <c r="D44" s="65" t="s">
        <v>644</v>
      </c>
    </row>
    <row r="46" spans="2:4">
      <c r="B46" s="61" t="s">
        <v>72</v>
      </c>
      <c r="D46" s="65" t="s">
        <v>291</v>
      </c>
    </row>
    <row r="47" spans="2:4">
      <c r="B47" s="61" t="s">
        <v>74</v>
      </c>
      <c r="D47" s="65" t="s">
        <v>50</v>
      </c>
    </row>
    <row r="48" spans="2:4">
      <c r="B48" s="61" t="s">
        <v>255</v>
      </c>
      <c r="D48" s="65"/>
    </row>
    <row r="50" spans="2:4">
      <c r="B50" s="61" t="s">
        <v>73</v>
      </c>
      <c r="D50" s="65" t="s">
        <v>257</v>
      </c>
    </row>
    <row r="51" spans="2:4">
      <c r="B51" s="61" t="s">
        <v>263</v>
      </c>
      <c r="D51" s="65" t="s">
        <v>50</v>
      </c>
    </row>
    <row r="52" spans="2:4">
      <c r="B52" s="61" t="s">
        <v>278</v>
      </c>
      <c r="D52" s="65"/>
    </row>
    <row r="53" spans="2:4">
      <c r="B53" s="61" t="s">
        <v>279</v>
      </c>
      <c r="D53" s="65" t="s">
        <v>50</v>
      </c>
    </row>
    <row r="54" spans="2:4">
      <c r="B54" s="61" t="s">
        <v>282</v>
      </c>
      <c r="D54" s="65">
        <v>17</v>
      </c>
    </row>
    <row r="56" spans="2:4">
      <c r="B56" s="61" t="s">
        <v>300</v>
      </c>
      <c r="D56" s="65" t="s">
        <v>46</v>
      </c>
    </row>
  </sheetData>
  <sheetProtection selectLockedCells="1"/>
  <dataConsolidate/>
  <dataValidations count="33">
    <dataValidation type="list" allowBlank="1" sqref="D4" xr:uid="{5C3A7C7C-B75A-FF4B-B5A9-8C8F95E4C80B}">
      <formula1>Marque</formula1>
    </dataValidation>
    <dataValidation type="list" allowBlank="1" showInputMessage="1" showErrorMessage="1" sqref="D8" xr:uid="{2EEC90EA-9030-F34C-BBCD-6A85BB964213}">
      <formula1>Couleur</formula1>
    </dataValidation>
    <dataValidation type="list" allowBlank="1" sqref="D5" xr:uid="{36A88D48-A109-2545-8B98-FF3EA9DFE951}">
      <formula1>Genre</formula1>
    </dataValidation>
    <dataValidation type="list" allowBlank="1" sqref="D6" xr:uid="{D8197EF8-DD1C-EC4F-8A46-1E39AFBC6168}">
      <formula1>Type_chaussure</formula1>
    </dataValidation>
    <dataValidation type="list" allowBlank="1" showInputMessage="1" showErrorMessage="1" sqref="D12 D13 D14 D15 D16 D17 D19" xr:uid="{A1EF0A84-CA9E-2F41-91E4-47E5854FAAA8}">
      <formula1>Pathologie</formula1>
    </dataValidation>
    <dataValidation type="list" allowBlank="1" showInputMessage="1" showErrorMessage="1" sqref="D9" xr:uid="{4B4BD922-7EF8-334D-95FC-AE1225D18EBD}">
      <formula1>Petite_pointure</formula1>
    </dataValidation>
    <dataValidation type="list" allowBlank="1" showInputMessage="1" showErrorMessage="1" sqref="D10" xr:uid="{5200F447-CEBF-EB4C-916A-FB9ED4EB94D8}">
      <formula1>Grande_pointure</formula1>
    </dataValidation>
    <dataValidation type="list" allowBlank="1" showInputMessage="1" showErrorMessage="1" sqref="D22" xr:uid="{772B7CB8-D51F-6B46-B2C5-4F46C9F623F8}">
      <formula1>Largeur</formula1>
    </dataValidation>
    <dataValidation type="list" allowBlank="1" showInputMessage="1" showErrorMessage="1" sqref="D25" xr:uid="{821F35F6-CCB0-8B45-A5FC-D56EEC9AB69A}">
      <formula1>Volume_variable</formula1>
    </dataValidation>
    <dataValidation type="list" allowBlank="1" showInputMessage="1" showErrorMessage="1" sqref="D26" xr:uid="{FC34390A-EEA8-734A-AACE-6F9CB753F253}">
      <formula1>Avant_extensible</formula1>
    </dataValidation>
    <dataValidation type="list" allowBlank="1" showInputMessage="1" showErrorMessage="1" sqref="D28" xr:uid="{3EDCE83E-CE82-9A48-B7C0-56F287E2C444}">
      <formula1>Fermeture</formula1>
    </dataValidation>
    <dataValidation type="list" allowBlank="1" showInputMessage="1" showErrorMessage="1" sqref="D29:D30" xr:uid="{3F7A0143-DB7E-FE4F-A81B-AA199C71D7E7}">
      <formula1>Velcros_coupables</formula1>
    </dataValidation>
    <dataValidation type="list" allowBlank="1" showInputMessage="1" showErrorMessage="1" sqref="D23 D23" xr:uid="{9BB40080-C59B-2946-9CCE-DBB35FD9FA15}">
      <formula1>Ouverture_totale</formula1>
    </dataValidation>
    <dataValidation type="list" allowBlank="1" showInputMessage="1" showErrorMessage="1" sqref="D31" xr:uid="{24131577-BDAA-834A-A365-47F48DCDFFEF}">
      <formula1>Contrefort</formula1>
    </dataValidation>
    <dataValidation type="list" allowBlank="1" showInputMessage="1" showErrorMessage="1" sqref="D32" xr:uid="{246D5CF4-5EDD-8442-B4A1-ECABD19D7505}">
      <formula1>Haut_de_tige</formula1>
    </dataValidation>
    <dataValidation type="list" allowBlank="1" showInputMessage="1" showErrorMessage="1" sqref="D35 D36 D37" xr:uid="{6077E2BF-DBD6-964A-94CA-60CC8DD8FAB8}">
      <formula1>Dessus</formula1>
    </dataValidation>
    <dataValidation type="list" allowBlank="1" showInputMessage="1" showErrorMessage="1" sqref="D40" xr:uid="{486FC258-820A-0C44-876C-F20B42FEA763}">
      <formula1>Doublure</formula1>
    </dataValidation>
    <dataValidation type="list" allowBlank="1" showInputMessage="1" showErrorMessage="1" sqref="D43" xr:uid="{DBC05825-3A26-BE4A-9758-97A9ACCBC614}">
      <formula1>Absence_de_couture</formula1>
    </dataValidation>
    <dataValidation type="list" allowBlank="1" showInputMessage="1" showErrorMessage="1" sqref="D46" xr:uid="{336ECF40-8ADE-504F-B3D4-1439D01A8DEB}">
      <formula1>Semelle_interne</formula1>
    </dataValidation>
    <dataValidation type="list" allowBlank="1" showInputMessage="1" showErrorMessage="1" sqref="D47" xr:uid="{1B01AC42-69B0-2D4C-B5D7-E5E485762E83}">
      <formula1>Semelle_amovible</formula1>
    </dataValidation>
    <dataValidation type="list" allowBlank="1" showInputMessage="1" showErrorMessage="1" sqref="D48" xr:uid="{E0B4768B-A3C3-9C4B-AF02-15F32E04199D}">
      <formula1>Semelle_intercalaire</formula1>
    </dataValidation>
    <dataValidation type="list" allowBlank="1" showInputMessage="1" showErrorMessage="1" sqref="D50" xr:uid="{78614F07-FA6B-0C44-8FD6-CCB619E3DFA9}">
      <formula1>Semelle_externe</formula1>
    </dataValidation>
    <dataValidation type="list" allowBlank="1" showInputMessage="1" showErrorMessage="1" sqref="D44" xr:uid="{03D2A95D-EBF7-AC45-ABF6-67ADDFCC8A94}">
      <formula1>Rembourrage_supplémentaire</formula1>
    </dataValidation>
    <dataValidation type="list" allowBlank="1" showInputMessage="1" showErrorMessage="1" sqref="D51" xr:uid="{00591924-A30E-7042-A0E6-BAB2B8EC2895}">
      <formula1>Stabilité</formula1>
    </dataValidation>
    <dataValidation type="list" allowBlank="1" showInputMessage="1" showErrorMessage="1" sqref="D52" xr:uid="{89318321-9E6C-9B4E-8FB7-D65EF8E26553}">
      <formula1>Semelle_technique</formula1>
    </dataValidation>
    <dataValidation type="list" allowBlank="1" showInputMessage="1" showErrorMessage="1" sqref="D53" xr:uid="{FD762E6F-44C9-944A-BC00-E92B4E47A907}">
      <formula1>Semelle_cousue</formula1>
    </dataValidation>
    <dataValidation type="list" allowBlank="1" showInputMessage="1" showErrorMessage="1" sqref="D56" xr:uid="{BEB5CEBA-3FE9-8F46-982A-E436E9CBD0EE}">
      <formula1>Pointure</formula1>
    </dataValidation>
    <dataValidation type="list" allowBlank="1" showInputMessage="1" showErrorMessage="1" sqref="D33" xr:uid="{7B773AFF-5A25-D64E-A9D9-C306448D1F52}">
      <formula1>Tirette</formula1>
    </dataValidation>
    <dataValidation type="list" allowBlank="1" showInputMessage="1" showErrorMessage="1" sqref="D38" xr:uid="{4F3CF2C9-391A-D44B-A0F1-0E98BF13094B}">
      <formula1>Sanitized</formula1>
    </dataValidation>
    <dataValidation type="list" allowBlank="1" showInputMessage="1" showErrorMessage="1" sqref="D38:D39" xr:uid="{A8262C75-8652-164C-977D-03E7816EF1EA}">
      <formula1>Waterproof</formula1>
    </dataValidation>
    <dataValidation type="list" allowBlank="1" showInputMessage="1" showErrorMessage="1" sqref="D39" xr:uid="{35A43A2C-E785-644A-8639-8F9BF58A3CA4}">
      <formula1>Bout_protection</formula1>
    </dataValidation>
    <dataValidation type="list" allowBlank="1" showInputMessage="1" showErrorMessage="1" sqref="D20" xr:uid="{B2DBC874-A11E-1348-873B-F8DBB5D3CB66}">
      <formula1>Phrase_supplémentaire</formula1>
    </dataValidation>
    <dataValidation type="list" allowBlank="1" showInputMessage="1" showErrorMessage="1" sqref="D41" xr:uid="{707DB4AF-FDE0-A946-B387-FA84D2BBA990}">
      <formula1>Traitement_doublure</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347484B-6B1B-924B-8F70-09A185082BB4}">
  <dimension ref="A2:P75"/>
  <sheetViews>
    <sheetView zoomScale="99" workbookViewId="0">
      <selection activeCell="C6" sqref="C6"/>
    </sheetView>
  </sheetViews>
  <sheetFormatPr baseColWidth="10" defaultRowHeight="16"/>
  <cols>
    <col min="1" max="1" width="25.83203125" bestFit="1" customWidth="1"/>
    <col min="2" max="2" width="6.83203125" customWidth="1"/>
    <col min="3" max="3" width="24.83203125" customWidth="1"/>
    <col min="4" max="4" width="16.6640625" customWidth="1"/>
    <col min="5" max="5" width="27" customWidth="1"/>
    <col min="6" max="6" width="15.6640625" customWidth="1"/>
    <col min="7" max="7" width="13.83203125" bestFit="1" customWidth="1"/>
    <col min="8" max="8" width="12.6640625" bestFit="1" customWidth="1"/>
    <col min="9" max="9" width="21.83203125" bestFit="1" customWidth="1"/>
    <col min="10" max="10" width="14.1640625" bestFit="1" customWidth="1"/>
    <col min="11" max="11" width="14.6640625" bestFit="1" customWidth="1"/>
  </cols>
  <sheetData>
    <row r="2" spans="1:16">
      <c r="A2" t="s">
        <v>167</v>
      </c>
      <c r="C2" t="str">
        <f>IFERROR(VLOOKUP(R_Type_chaussure,M_Type_chaussure,3,0),"")</f>
        <v>Chaussure orthopédique</v>
      </c>
      <c r="D2" t="s">
        <v>168</v>
      </c>
      <c r="E2" t="str">
        <f>IFERROR(VLOOKUP(R_Genre,M_Genre,2,0),"")</f>
        <v>enfant</v>
      </c>
      <c r="F2" t="s">
        <v>356</v>
      </c>
      <c r="G2" t="str">
        <f>IFERROR(VLOOKUP(R_Pathologie1,M_Pathologie,3,0),"")</f>
        <v>le pied sensible</v>
      </c>
      <c r="H2" t="str">
        <f>IFERROR(VLOOKUP(R_Pathologie2,M_Pathologie,3,0),"")</f>
        <v>le pied large</v>
      </c>
      <c r="I2" t="str">
        <f>IFERROR(VLOOKUP(R_Pathologie3,M_Pathologie,3,0),"")</f>
        <v>les orteils en griffe</v>
      </c>
      <c r="J2" t="str">
        <f>IFERROR(VLOOKUP(R_Pathologie4,M_Pathologie,3,0),"")</f>
        <v/>
      </c>
      <c r="K2" t="str">
        <f>IFERROR(VLOOKUP(R_Pathologie5,M_Pathologie,3,0),"")</f>
        <v/>
      </c>
      <c r="L2" t="s">
        <v>169</v>
      </c>
      <c r="M2" s="3" t="str">
        <f>IFERROR(VLOOKUP(R_Marque,Marque,1,0),"")</f>
        <v>Neut</v>
      </c>
      <c r="N2" t="s">
        <v>169</v>
      </c>
      <c r="O2" t="str">
        <f>IF(R_Modèle="","",R_Modèle)</f>
        <v>Frenchy</v>
      </c>
      <c r="P2" t="str">
        <f>IFERROR(VLOOKUP(R_Couleur,M_Couleur,2,0),"")</f>
        <v>bleu</v>
      </c>
    </row>
    <row r="4" spans="1:16">
      <c r="C4" s="1" t="s">
        <v>170</v>
      </c>
    </row>
    <row r="5" spans="1:16">
      <c r="C5" s="1"/>
    </row>
    <row r="6" spans="1:16">
      <c r="A6" t="s">
        <v>171</v>
      </c>
      <c r="C6" s="1" t="s">
        <v>172</v>
      </c>
    </row>
    <row r="7" spans="1:16">
      <c r="C7" s="1" t="str">
        <f>IFERROR(VLOOKUP(R_Pathologie1,M_Pathologie,2,0),"")</f>
        <v>Pied sensible</v>
      </c>
    </row>
    <row r="8" spans="1:16">
      <c r="C8" s="1" t="str">
        <f>IFERROR(VLOOKUP(R_Pathologie2,M_Pathologie,2,0),"")</f>
        <v>Pied large</v>
      </c>
    </row>
    <row r="9" spans="1:16">
      <c r="C9" s="1" t="str">
        <f>IFERROR(VLOOKUP(R_Pathologie3,M_Pathologie,2,0),"")</f>
        <v>Orteils en griffe</v>
      </c>
    </row>
    <row r="10" spans="1:16">
      <c r="C10" s="1" t="str">
        <f>IFERROR(VLOOKUP(R_Pathologie4,M_Pathologie,2,0),"")</f>
        <v/>
      </c>
    </row>
    <row r="11" spans="1:16">
      <c r="C11" s="1" t="str">
        <f>IFERROR(VLOOKUP(R_Pathologie5,M_Pathologie,2,0),"")</f>
        <v/>
      </c>
    </row>
    <row r="12" spans="1:16">
      <c r="C12" s="1">
        <f>IFERROR(VLOOKUP(Caractéristiques!D17,Config!B78:D89,2,0),0)</f>
        <v>0</v>
      </c>
    </row>
    <row r="13" spans="1:16">
      <c r="A13" t="s">
        <v>171</v>
      </c>
      <c r="C13" t="s">
        <v>357</v>
      </c>
      <c r="D13" t="str">
        <f>IFERROR(VLOOKUP(R_Type_chaussure,M_Type_chaussure,4,0),"")</f>
        <v>de la chaussure</v>
      </c>
      <c r="E13" t="str">
        <f>IF(R_Modèle="","",R_Modèle)</f>
        <v>Frenchy</v>
      </c>
      <c r="F13" t="s">
        <v>179</v>
      </c>
      <c r="G13" t="str">
        <f>IFERROR(VLOOKUP(R_Marque,Marque,1,0),"")</f>
        <v>Neut</v>
      </c>
    </row>
    <row r="15" spans="1:16">
      <c r="A15" t="s">
        <v>215</v>
      </c>
      <c r="C15" t="str">
        <f>IFERROR(VLOOKUP(R_Type_chaussure,M_Type_chaussure,5,0),"")</f>
        <v>La chaussure orthopédique</v>
      </c>
      <c r="D15" t="s">
        <v>168</v>
      </c>
      <c r="E15" t="str">
        <f>IFERROR(VLOOKUP(R_Genre,M_Genre,2,0),"")</f>
        <v>enfant</v>
      </c>
      <c r="F15" t="str">
        <f>IF(R_Modèle="","",R_Modèle)</f>
        <v>Frenchy</v>
      </c>
      <c r="G15" t="s">
        <v>192</v>
      </c>
      <c r="H15" t="str">
        <f>IFERROR(VLOOKUP(R_Marque,Marque,1,0),"")</f>
        <v>Neut</v>
      </c>
      <c r="I15" t="s">
        <v>193</v>
      </c>
      <c r="J15" t="str">
        <f>IFERROR(VLOOKUP(R_Couleur,M_Couleur,2,0),"")</f>
        <v>bleu</v>
      </c>
      <c r="K15" t="s">
        <v>194</v>
      </c>
      <c r="L15">
        <f>IFERROR(VLOOKUP(R_Petite_pointure,M_Petite_pointure,2,0),"")</f>
        <v>21</v>
      </c>
      <c r="M15" t="s">
        <v>195</v>
      </c>
      <c r="N15" t="str">
        <f>IFERROR(VLOOKUP(R_Grande_pointure,M_Grande_pointure,2,0),"")</f>
        <v>40.</v>
      </c>
    </row>
    <row r="17" spans="1:11">
      <c r="A17" t="s">
        <v>248</v>
      </c>
      <c r="C17" t="str">
        <f>IFERROR(VLOOKUP(R_Type_chaussure,M_Type_chaussure,8,0),"")</f>
        <v>Cette chaussure</v>
      </c>
      <c r="D17" t="str">
        <f>IFERROR(VLOOKUP(R_Phrase_patho,M_Pathologie,4,0),"")</f>
        <v>avec un grand confort garanti apporte un minimum de contraintes pour les pieds les plus sensibles.</v>
      </c>
    </row>
    <row r="18" spans="1:11">
      <c r="A18" t="s">
        <v>526</v>
      </c>
      <c r="C18" t="str">
        <f>IFERROR(VLOOKUP(R_Phrase_Supplémentaire,M_Phrase_supplémentaire,2,0),"")</f>
        <v>La chaussure a un grand volume chaussant permettant le port d'orthèses volumineuses comme les appareils releveurs ou les coques talonnières.</v>
      </c>
    </row>
    <row r="20" spans="1:11">
      <c r="A20" t="s">
        <v>45</v>
      </c>
      <c r="C20" t="str">
        <f>IFERROR(VLOOKUP(R_Type_chaussure,M_Type_chaussure,6,0),"")</f>
        <v>Elle</v>
      </c>
      <c r="D20" t="s">
        <v>199</v>
      </c>
      <c r="E20" t="str">
        <f>IFERROR(VLOOKUP(R_Largeur,M_Largeur,2,0),"")</f>
        <v>un maximum de place pour loger un pied très gonflé, diabétique ou récemment opéré. Cela correspond à une largeur K ou M.</v>
      </c>
      <c r="J20" t="str">
        <f>IFERROR(VLOOKUP(R_Type_chaussure,M_Type_chaussure,8,0),"")</f>
        <v>Cette chaussure</v>
      </c>
      <c r="K20" t="str">
        <f>IFERROR(VLOOKUP(R_Largeur,M_Largeur,3,0),"")</f>
        <v>peut accueillir des pieds larges ou très larges.</v>
      </c>
    </row>
    <row r="21" spans="1:11">
      <c r="A21" t="s">
        <v>224</v>
      </c>
      <c r="C21" t="str">
        <f>IFERROR(VLOOKUP(R_Ouverture_totale,M_Ouverture_totale,2,0),"")</f>
        <v>On retrouve une ouverture totale permettant un chaussage facile. Ce type d'ouverture est particulièrement adaptée pour les coques talonnières.</v>
      </c>
    </row>
    <row r="23" spans="1:11">
      <c r="A23" t="s">
        <v>49</v>
      </c>
      <c r="C23" t="str">
        <f>IFERROR(VLOOKUP(R_Type_chaussure,M_Type_chaussure,11,0),"")</f>
        <v>Cette chaussure orthopédique</v>
      </c>
      <c r="D23" t="str">
        <f>IFERROR(VLOOKUP(R_Volume_variable,M_Volume_variable,2,0),"")</f>
        <v>a un volume variable sur l'avant-pied qui donne l'aisance nécessaire à un pied fatigué qui prend du volume en fin de journée.</v>
      </c>
    </row>
    <row r="24" spans="1:11">
      <c r="A24" t="s">
        <v>59</v>
      </c>
      <c r="C24" t="str">
        <f>IFERROR(VLOOKUP(R_Avant_extensible,M_Avant_extensible,2,0),"")</f>
        <v/>
      </c>
    </row>
    <row r="26" spans="1:11">
      <c r="A26" t="s">
        <v>52</v>
      </c>
      <c r="C26" t="str">
        <f>IFERROR(VLOOKUP(R_Fermeture,M_Fermeture,2,0),"")</f>
        <v>La fermeture se fait à l'aide d'une double fermeture à glissière. Ce type de fermeture permettra une ouverture très large, un chaussage aisé et un maintien optimal. Avec le laçage, il sera aisé de régler le volume intérieur de la chaussure.</v>
      </c>
    </row>
    <row r="27" spans="1:11">
      <c r="A27" t="s">
        <v>216</v>
      </c>
      <c r="C27" t="str">
        <f>IFERROR(VLOOKUP(R_Velcro_coupable,M_Velcro_coupable,2,0),"")</f>
        <v/>
      </c>
    </row>
    <row r="29" spans="1:11">
      <c r="A29" t="s">
        <v>69</v>
      </c>
      <c r="C29" t="str">
        <f>IFERROR(VLOOKUP(R_Contrefort,M_Contrefort,2,0),"")</f>
        <v>Le contrefort est prolongé de chaque côté du pied permettant une meilleure stabilité.</v>
      </c>
    </row>
    <row r="30" spans="1:11">
      <c r="A30" t="s">
        <v>583</v>
      </c>
      <c r="C30" t="str">
        <f>IFERROR(VLOOKUP(R_Haut_de_tige,M_Haut_de_tige,2,0),"")</f>
        <v>On retrouve en haut de tige, un petit boudin mousse pour ne pas agresser vos chevilles et éviter gênes et blessures.</v>
      </c>
    </row>
    <row r="31" spans="1:11">
      <c r="A31" t="s">
        <v>343</v>
      </c>
      <c r="C31" t="str">
        <f>IFERROR(VLOOKUP(R_Tirette,M_Tirette,2,0),"")</f>
        <v>La tirette postérieure permet de faciliter le chaussage.</v>
      </c>
    </row>
    <row r="33" spans="1:3">
      <c r="A33" t="s">
        <v>58</v>
      </c>
      <c r="C33" s="60" t="s">
        <v>226</v>
      </c>
    </row>
    <row r="34" spans="1:3">
      <c r="C34" t="str">
        <f>IFERROR(VLOOKUP(R_Dessus1,M_Dessus,2,0),"")</f>
        <v>Textile synthétique. Ce type de textile permet d'avoir une chaussure très légère et souple qui n'agressera pas vos pieds sensibles.</v>
      </c>
    </row>
    <row r="35" spans="1:3">
      <c r="C35" t="str">
        <f>IFERROR(VLOOKUP(R_Dessus2,M_Dessus,2,0),"")</f>
        <v/>
      </c>
    </row>
    <row r="36" spans="1:3">
      <c r="C36" t="str">
        <f>IFERROR(VLOOKUP(R_Dessus3,M_Dessus,2,0),"")</f>
        <v/>
      </c>
    </row>
    <row r="38" spans="1:3">
      <c r="A38" t="s">
        <v>345</v>
      </c>
      <c r="C38" t="str">
        <f>IFERROR(VLOOKUP(R_Waterproof,M_Waterproof,2,0),"")</f>
        <v/>
      </c>
    </row>
    <row r="40" spans="1:3">
      <c r="A40" t="s">
        <v>513</v>
      </c>
      <c r="C40" t="str">
        <f>IFERROR(VLOOKUP(R_Bout_protection,M_Bout_protection,2,0),"")</f>
        <v/>
      </c>
    </row>
    <row r="41" spans="1:3" ht="15" customHeight="1"/>
    <row r="42" spans="1:3">
      <c r="A42" t="s">
        <v>65</v>
      </c>
      <c r="C42" s="60" t="s">
        <v>240</v>
      </c>
    </row>
    <row r="43" spans="1:3">
      <c r="C43" t="str">
        <f>IFERROR(VLOOKUP(R_Doublure,M_Doublure,2,0),"")</f>
        <v>Doublure en textile synthétique pour une chaussure respirante et légère.</v>
      </c>
    </row>
    <row r="45" spans="1:3">
      <c r="A45" t="s">
        <v>631</v>
      </c>
      <c r="C45" s="2" t="str">
        <f>IFERROR(VLOOKUP(R_Traitement_doublure,M_Traitement_doublure,2,0),"")</f>
        <v/>
      </c>
    </row>
    <row r="47" spans="1:3">
      <c r="A47" t="s">
        <v>251</v>
      </c>
      <c r="C47" t="str">
        <f>IFERROR(VLOOKUP(R_Absence_de_couture,M_Absence_de_couture,2,0),"")</f>
        <v>Il n'y a pas de coutures intérieures saillantes ce qui permet d'éviter les conflits entre le pied et la chaussure et ainsi les frottements et irritations.</v>
      </c>
    </row>
    <row r="48" spans="1:3">
      <c r="A48" t="s">
        <v>273</v>
      </c>
      <c r="C48" t="str">
        <f>IFERROR(VLOOKUP(R_Rembourrage_supplémentaire,M_Rembourrage_supplémentaire,2,0),"")</f>
        <v>La languette est capitonnée pour plus de confort.</v>
      </c>
    </row>
    <row r="50" spans="1:5">
      <c r="A50" t="s">
        <v>72</v>
      </c>
      <c r="C50" t="str">
        <f>IFERROR(VLOOKUP(R_Semelle_interne,M_Semelle_interne,2,0),"")</f>
        <v>La semelle interne est confortable et respirante.</v>
      </c>
    </row>
    <row r="51" spans="1:5">
      <c r="A51" t="s">
        <v>74</v>
      </c>
      <c r="C51" t="str">
        <f>IFERROR(VLOOKUP(R_Semelle_amovible,M_Semelle_amovible,2,0),"")</f>
        <v>Les semelles sont amovibles et peuvent être retirées et remplacées par des semelles orthopédiques.</v>
      </c>
    </row>
    <row r="52" spans="1:5">
      <c r="A52" t="s">
        <v>255</v>
      </c>
      <c r="C52" t="str">
        <f>IFERROR(VLOOKUP(R_Semelle_intercalaire,M_Semelle_intercalaire,2,0),"")</f>
        <v/>
      </c>
    </row>
    <row r="54" spans="1:5">
      <c r="A54" t="s">
        <v>73</v>
      </c>
      <c r="C54" t="str">
        <f>IFERROR(VLOOKUP(R_Semelle_externe,M_Semelle_externe,2,0),"")</f>
        <v>La semelle externe est en polyuréthane. Vous pourrez marcher en toute sécurité avec cette semelle ultra-légère, souple, amortissante et antidérapante.</v>
      </c>
    </row>
    <row r="55" spans="1:5">
      <c r="A55" t="s">
        <v>263</v>
      </c>
      <c r="C55" t="str">
        <f>IFERROR(VLOOKUP(R_Stabilité,M_Stabilité,2,0),"")</f>
        <v>L'emboitage large permet une meilleure stabilité à la marche.</v>
      </c>
    </row>
    <row r="56" spans="1:5">
      <c r="A56" t="s">
        <v>278</v>
      </c>
      <c r="C56" t="str">
        <f>IFERROR(VLOOKUP(R_Semelle_technique,M_Semelle_technique,2,0),"")</f>
        <v/>
      </c>
    </row>
    <row r="57" spans="1:5">
      <c r="A57" t="s">
        <v>279</v>
      </c>
      <c r="C57" t="str">
        <f>IFERROR(VLOOKUP(R_Semelle_cousue,M_Semelle_cousue,2,0),"")</f>
        <v>La semelle est cousue sur tout le tour pour plus de résistance.</v>
      </c>
    </row>
    <row r="58" spans="1:5">
      <c r="A58" t="s">
        <v>280</v>
      </c>
      <c r="C58" t="s">
        <v>283</v>
      </c>
      <c r="D58">
        <f>R_Hauteur_talon</f>
        <v>17</v>
      </c>
      <c r="E58" t="s">
        <v>284</v>
      </c>
    </row>
    <row r="60" spans="1:5">
      <c r="A60" t="s">
        <v>289</v>
      </c>
      <c r="C60" t="s">
        <v>285</v>
      </c>
    </row>
    <row r="62" spans="1:5">
      <c r="C62" t="str">
        <f>IFERROR(VLOOKUP(R_Semelle_amovible,M_Semelle_amovible,3,0),"")</f>
        <v>Vous pouvez ajuster le volume de la chaussure en laissant ou enlevant la semelle intérieure.</v>
      </c>
    </row>
    <row r="64" spans="1:5">
      <c r="A64" t="s">
        <v>289</v>
      </c>
      <c r="C64" t="s">
        <v>290</v>
      </c>
    </row>
    <row r="66" spans="1:7">
      <c r="C66" t="str">
        <f>IFERROR(VLOOKUP(R_Dessus1,M_Dessus,3,0),"")</f>
        <v>Le textile est lavable à 30°C à la main. Laisser sécher à l'air libre.</v>
      </c>
    </row>
    <row r="67" spans="1:7">
      <c r="C67" t="str">
        <f>IFERROR(VLOOKUP(R_Dessus2,M_Dessus,3,0),"")</f>
        <v/>
      </c>
    </row>
    <row r="68" spans="1:7">
      <c r="C68" t="str">
        <f>IFERROR(VLOOKUP(R_Dessus3,M_Dessus,3,0),"")</f>
        <v/>
      </c>
    </row>
    <row r="69" spans="1:7">
      <c r="C69" t="str">
        <f>IFERROR(VLOOKUP(R_Semelle_interne,M_Semelle_interne,3,0),"")</f>
        <v>Nettoyer les semelles internes avec un chiffon humide et laisser sécher à l'air libre.</v>
      </c>
    </row>
    <row r="71" spans="1:7">
      <c r="A71" t="s">
        <v>289</v>
      </c>
      <c r="C71" t="s">
        <v>299</v>
      </c>
    </row>
    <row r="73" spans="1:7">
      <c r="C73" t="str">
        <f>IFERROR(VLOOKUP(R_Type_chaussure,M_Type_chaussure,2,0),"")</f>
        <v>Les chaussures orthopédiques</v>
      </c>
      <c r="D73" t="str">
        <f>IF(R_Modèle="","",R_Modèle)</f>
        <v>Frenchy</v>
      </c>
      <c r="E73" t="s">
        <v>192</v>
      </c>
      <c r="F73" t="str">
        <f>IFERROR(VLOOKUP(R_Marque,Marque,1,0),"")</f>
        <v>Neut</v>
      </c>
      <c r="G73" t="str">
        <f>IFERROR(VLOOKUP(R_Pointure,M_Pointure,2,0),"")</f>
        <v>chaussent normalement. Nous vous conseillons donc de choisir votre pointure habituelle.</v>
      </c>
    </row>
    <row r="74" spans="1:7">
      <c r="C74" t="s">
        <v>509</v>
      </c>
    </row>
    <row r="75" spans="1:7">
      <c r="C75" t="s">
        <v>510</v>
      </c>
    </row>
  </sheetData>
  <pageMargins left="0.7" right="0.7" top="0.75" bottom="0.75" header="0.3" footer="0.3"/>
  <pageSetup paperSize="9" orientation="portrait" horizontalDpi="0" verticalDpi="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08F6255-2CD6-3942-A392-54DE4D39BF2A}">
  <dimension ref="A2:P75"/>
  <sheetViews>
    <sheetView workbookViewId="0">
      <selection activeCell="C2" sqref="C2:T75"/>
    </sheetView>
  </sheetViews>
  <sheetFormatPr baseColWidth="10" defaultRowHeight="16"/>
  <cols>
    <col min="1" max="1" width="25.83203125" bestFit="1" customWidth="1"/>
    <col min="2" max="2" width="6.83203125" customWidth="1"/>
    <col min="3" max="3" width="24.83203125" customWidth="1"/>
    <col min="4" max="4" width="16.6640625" customWidth="1"/>
    <col min="5" max="5" width="27" customWidth="1"/>
    <col min="6" max="6" width="15.6640625" customWidth="1"/>
    <col min="7" max="7" width="13.83203125" bestFit="1" customWidth="1"/>
    <col min="8" max="8" width="19" customWidth="1"/>
    <col min="9" max="9" width="21.83203125" bestFit="1" customWidth="1"/>
    <col min="10" max="10" width="14.1640625" bestFit="1" customWidth="1"/>
    <col min="11" max="11" width="17.5" customWidth="1"/>
  </cols>
  <sheetData>
    <row r="2" spans="1:16">
      <c r="A2" t="s">
        <v>167</v>
      </c>
      <c r="C2" t="str">
        <f>IFERROR(VLOOKUP(R_Type_chaussure,M_Type_chaussure,12,0),"")</f>
        <v>Orthopedic shoe</v>
      </c>
      <c r="D2" t="s">
        <v>380</v>
      </c>
      <c r="E2" t="str">
        <f>IFERROR(VLOOKUP(R_Genre,M_Genre,3,0),"")</f>
        <v>kid</v>
      </c>
      <c r="F2" t="s">
        <v>381</v>
      </c>
      <c r="G2" t="str">
        <f>IFERROR(VLOOKUP(R_Pathologie1,M_Pathologie,6,0),"")</f>
        <v>sensitive foot</v>
      </c>
      <c r="H2" t="str">
        <f>IFERROR(VLOOKUP(R_Pathologie2,M_Pathologie,6,0),"")</f>
        <v>wide width</v>
      </c>
      <c r="I2" t="str">
        <f>IFERROR(VLOOKUP(R_Pathologie3,M_Pathologie,6,0),"")</f>
        <v>claw toes</v>
      </c>
      <c r="J2" t="str">
        <f>IFERROR(VLOOKUP(R_Pathologie4,M_Pathologie,6,0),"")</f>
        <v/>
      </c>
      <c r="K2" t="str">
        <f>IFERROR(VLOOKUP(R_Pathologie5,M_Pathologie,6,0),"")</f>
        <v/>
      </c>
      <c r="L2" t="s">
        <v>169</v>
      </c>
      <c r="M2" s="3" t="str">
        <f>IFERROR(VLOOKUP(R_Marque,Marque,1,0),"")</f>
        <v>Neut</v>
      </c>
      <c r="N2" t="s">
        <v>169</v>
      </c>
      <c r="O2" t="str">
        <f>IF(R_Modèle="","",R_Modèle)</f>
        <v>Frenchy</v>
      </c>
      <c r="P2" t="str">
        <f>IFERROR(VLOOKUP(R_Couleur,M_Couleur,3,0),"")</f>
        <v>blue</v>
      </c>
    </row>
    <row r="4" spans="1:16">
      <c r="C4" s="1" t="s">
        <v>170</v>
      </c>
    </row>
    <row r="5" spans="1:16">
      <c r="C5" s="1"/>
    </row>
    <row r="6" spans="1:16">
      <c r="A6" t="s">
        <v>171</v>
      </c>
      <c r="C6" s="1" t="s">
        <v>390</v>
      </c>
    </row>
    <row r="7" spans="1:16">
      <c r="C7" s="1" t="str">
        <f>IFERROR(VLOOKUP(R_Pathologie1,M_Pathologie,5,0),"")</f>
        <v>Foot problem</v>
      </c>
    </row>
    <row r="8" spans="1:16">
      <c r="C8" s="1" t="str">
        <f>IFERROR(VLOOKUP(R_Pathologie2,M_Pathologie,5,0),"")</f>
        <v>Wide width</v>
      </c>
    </row>
    <row r="9" spans="1:16">
      <c r="C9" s="1" t="str">
        <f>IFERROR(VLOOKUP(R_Pathologie3,M_Pathologie,5,0),"")</f>
        <v>Wide toe box</v>
      </c>
    </row>
    <row r="10" spans="1:16">
      <c r="C10" s="1" t="str">
        <f>IFERROR(VLOOKUP(R_Pathologie4,M_Pathologie,5,0),"")</f>
        <v/>
      </c>
    </row>
    <row r="11" spans="1:16">
      <c r="C11" s="1" t="str">
        <f>IFERROR(VLOOKUP(R_Pathologie5,M_Pathologie,5,0),"")</f>
        <v/>
      </c>
    </row>
    <row r="12" spans="1:16">
      <c r="C12" s="1">
        <f>IFERROR(VLOOKUP(Caractéristiques!D17,Config!B78:D89,2,0),0)</f>
        <v>0</v>
      </c>
    </row>
    <row r="13" spans="1:16">
      <c r="A13" t="s">
        <v>171</v>
      </c>
      <c r="C13" t="s">
        <v>391</v>
      </c>
      <c r="D13" t="str">
        <f>IFERROR(VLOOKUP(R_Marque,Marque,1,0),"")</f>
        <v>Neut</v>
      </c>
      <c r="E13" s="56" t="s">
        <v>392</v>
      </c>
      <c r="F13" t="str">
        <f>IF(R_Modèle="","",R_Modèle)</f>
        <v>Frenchy</v>
      </c>
      <c r="G13" t="str">
        <f>IFERROR(VLOOKUP(R_Type_chaussure,M_Type_chaussure,16,0),"")</f>
        <v>shoe</v>
      </c>
    </row>
    <row r="15" spans="1:16">
      <c r="A15" t="s">
        <v>215</v>
      </c>
      <c r="C15" t="str">
        <f>IFERROR(VLOOKUP(R_Type_chaussure,M_Type_chaussure,14,0),"")</f>
        <v>This orthopedic shoe</v>
      </c>
      <c r="D15" t="s">
        <v>380</v>
      </c>
      <c r="E15" t="str">
        <f>IFERROR(VLOOKUP(R_Genre,M_Genre,3,0),"")</f>
        <v>kid</v>
      </c>
      <c r="F15" t="str">
        <f>IF(R_Modèle="","",R_Modèle)</f>
        <v>Frenchy</v>
      </c>
      <c r="G15" t="s">
        <v>399</v>
      </c>
      <c r="H15" t="str">
        <f>IFERROR(VLOOKUP(R_Marque,Marque,1,0),"")</f>
        <v>Neut</v>
      </c>
      <c r="I15" t="s">
        <v>400</v>
      </c>
      <c r="J15" t="str">
        <f>IFERROR(VLOOKUP(R_Couleur,M_Couleur,3,0),"")</f>
        <v>blue</v>
      </c>
      <c r="K15" t="s">
        <v>401</v>
      </c>
      <c r="L15" t="str">
        <f>IFERROR(VLOOKUP(R_Petite_pointure,M_Petite_pointure,3,0),"")</f>
        <v>4,5 UK - 5 US</v>
      </c>
      <c r="M15" t="s">
        <v>402</v>
      </c>
      <c r="N15" t="str">
        <f>IFERROR(VLOOKUP(R_Grande_pointure,M_Grande_pointure,3,0),"")</f>
        <v>6,5 UK - 8 US.</v>
      </c>
    </row>
    <row r="17" spans="1:11">
      <c r="A17" t="s">
        <v>248</v>
      </c>
      <c r="C17" t="str">
        <f>IFERROR(VLOOKUP(R_Type_chaussure,M_Type_chaussure,17,0),"")</f>
        <v>This shoe</v>
      </c>
      <c r="D17" t="str">
        <f>IFERROR(VLOOKUP(R_Phrase_patho,M_Pathologie,7,0),"")</f>
        <v>with a guaranteed great comfort brings a minimum of stress for the most sensitive feet.</v>
      </c>
    </row>
    <row r="18" spans="1:11">
      <c r="A18" t="s">
        <v>526</v>
      </c>
      <c r="C18" t="str">
        <f>IFERROR(VLOOKUP(R_Phrase_Supplémentaire,M_Phrase_supplémentaire,3,0),"")</f>
        <v>The shoe has a large footwear volume allowing the wearing of voluminous orthotics such as lifting devices or heel shells.</v>
      </c>
    </row>
    <row r="20" spans="1:11">
      <c r="A20" t="s">
        <v>45</v>
      </c>
      <c r="C20" t="str">
        <f>IFERROR(VLOOKUP(R_Type_chaussure,M_Type_chaussure,19,0),"")</f>
        <v>It</v>
      </c>
      <c r="D20" t="s">
        <v>424</v>
      </c>
      <c r="E20" t="str">
        <f>IFERROR(VLOOKUP(R_Largeur,M_Largeur,4,0),"")</f>
        <v>maximum space to accommodate a very swollen, diabetic or recently operated foot. This corresponds to a K or M width.</v>
      </c>
      <c r="J20" t="str">
        <f>IFERROR(VLOOKUP(R_Type_chaussure,M_Type_chaussure,17,0),"")</f>
        <v>This shoe</v>
      </c>
      <c r="K20" t="str">
        <f>IFERROR(VLOOKUP(R_Largeur,M_Largeur,5,0),"")</f>
        <v>can accommodate wide or very wide feet.</v>
      </c>
    </row>
    <row r="21" spans="1:11">
      <c r="A21" t="s">
        <v>224</v>
      </c>
      <c r="C21" t="str">
        <f>IFERROR(VLOOKUP(R_Ouverture_totale,M_Ouverture_totale,3,0),"")</f>
        <v>We find a total opening allowing an easy slipping on. This type of opening is particularly adapted for heel cups.</v>
      </c>
    </row>
    <row r="23" spans="1:11">
      <c r="A23" t="s">
        <v>49</v>
      </c>
      <c r="C23" t="str">
        <f>IFERROR(VLOOKUP(R_Type_chaussure,M_Type_chaussure,15,0),"")</f>
        <v>These orthopedic shoes</v>
      </c>
      <c r="D23" t="str">
        <f>IFERROR(VLOOKUP(R_Volume_variable,M_Volume_variable,3,0),"")</f>
        <v>have a variable volume on the forefoot which gives the necessary ease to a tired foot which takes volume at the end of the day.</v>
      </c>
    </row>
    <row r="24" spans="1:11">
      <c r="A24" t="s">
        <v>59</v>
      </c>
      <c r="C24" t="str">
        <f>IFERROR(VLOOKUP(R_Avant_extensible,M_Avant_extensible,3,0),"")</f>
        <v/>
      </c>
    </row>
    <row r="26" spans="1:11">
      <c r="A26" t="s">
        <v>52</v>
      </c>
      <c r="C26" t="str">
        <f>IFERROR(VLOOKUP(R_Fermeture,M_Fermeture,3,0),"")</f>
        <v>Closing is done with a double zipper. This type of closure will allow for a very wide opening, easy donning and optimal support. With the lacing, it will be easy to adjust the interior volume of the shoe.</v>
      </c>
    </row>
    <row r="27" spans="1:11">
      <c r="A27" t="s">
        <v>216</v>
      </c>
      <c r="C27" t="str">
        <f>IFERROR(VLOOKUP(R_Velcro_coupable,M_Velcro_coupable,3,0),"")</f>
        <v/>
      </c>
    </row>
    <row r="29" spans="1:11">
      <c r="A29" t="s">
        <v>69</v>
      </c>
      <c r="C29" t="str">
        <f>IFERROR(VLOOKUP(R_Contrefort,M_Contrefort,3,0),"")</f>
        <v>The buttress is extended on each side of the foot for better stability.</v>
      </c>
    </row>
    <row r="30" spans="1:11">
      <c r="A30" t="s">
        <v>229</v>
      </c>
      <c r="C30" t="str">
        <f>IFERROR(VLOOKUP(R_Bourrelet_mousse,M_Bourrelet_mousse,3,0),"")</f>
        <v/>
      </c>
    </row>
    <row r="31" spans="1:11">
      <c r="A31" t="s">
        <v>343</v>
      </c>
      <c r="C31" t="str">
        <f>IFERROR(VLOOKUP(R_Tirette,M_Tirette,3,0),"")</f>
        <v>The rear zipper makes it easier to put on.</v>
      </c>
    </row>
    <row r="33" spans="1:3">
      <c r="A33" t="s">
        <v>58</v>
      </c>
      <c r="C33" s="60" t="s">
        <v>489</v>
      </c>
    </row>
    <row r="34" spans="1:3">
      <c r="C34" t="str">
        <f>IFERROR(VLOOKUP(R_Dessus1,M_Dessus,4,0),"")</f>
        <v>Synthetic textile. This type of textile allows for a very light and flexible shoe that will not attack your sensitive feet.</v>
      </c>
    </row>
    <row r="35" spans="1:3">
      <c r="C35" t="str">
        <f>IFERROR(VLOOKUP(R_Dessus2,M_Dessus,4,0),"")</f>
        <v/>
      </c>
    </row>
    <row r="36" spans="1:3">
      <c r="C36" t="str">
        <f>IFERROR(VLOOKUP(R_Dessus3,M_Dessus,4,0),"")</f>
        <v/>
      </c>
    </row>
    <row r="38" spans="1:3">
      <c r="A38" t="s">
        <v>345</v>
      </c>
      <c r="C38" t="str">
        <f>IFERROR(VLOOKUP(R_Waterproof,M_Waterproof,3,0),"")</f>
        <v/>
      </c>
    </row>
    <row r="40" spans="1:3">
      <c r="A40" t="s">
        <v>513</v>
      </c>
      <c r="C40" t="str">
        <f>IFERROR(VLOOKUP(R_Bout_protection,M_Bout_protection,3,0),"")</f>
        <v/>
      </c>
    </row>
    <row r="41" spans="1:3" ht="15" customHeight="1"/>
    <row r="42" spans="1:3">
      <c r="A42" t="s">
        <v>65</v>
      </c>
      <c r="C42" s="60" t="s">
        <v>488</v>
      </c>
    </row>
    <row r="43" spans="1:3">
      <c r="C43" t="str">
        <f>IFERROR(VLOOKUP(R_Doublure,M_Doublure,3,0),"")</f>
        <v>Synthetic textile lining for a breathable and lightweight shoe.</v>
      </c>
    </row>
    <row r="45" spans="1:3">
      <c r="A45" t="s">
        <v>68</v>
      </c>
      <c r="C45" s="2" t="str">
        <f>IFERROR(VLOOKUP(R_Traitement_doublure,M_Traitement_doublure,3,0),"")</f>
        <v/>
      </c>
    </row>
    <row r="47" spans="1:3">
      <c r="A47" t="s">
        <v>251</v>
      </c>
      <c r="C47" t="str">
        <f>IFERROR(VLOOKUP(R_Absence_de_couture,M_Absence_de_couture,3,0),"")</f>
        <v>There are no protruding internal seams, which prevents conflicts between the foot and the shoe and thus friction and irritation.</v>
      </c>
    </row>
    <row r="48" spans="1:3">
      <c r="A48" t="s">
        <v>273</v>
      </c>
      <c r="C48" t="str">
        <f>IFERROR(VLOOKUP(R_Rembourrage_supplémentaire,M_Rembourrage_supplémentaire,3,0),"")</f>
        <v>The tongue is padded for more comfort.</v>
      </c>
    </row>
    <row r="50" spans="1:5">
      <c r="A50" t="s">
        <v>72</v>
      </c>
      <c r="C50" t="str">
        <f>IFERROR(VLOOKUP(R_Semelle_interne,M_Semelle_interne,4,0),"")</f>
        <v>The insole is comfortable and breathable.</v>
      </c>
    </row>
    <row r="51" spans="1:5">
      <c r="A51" t="s">
        <v>74</v>
      </c>
      <c r="C51" t="str">
        <f>IFERROR(VLOOKUP(R_Semelle_amovible,M_Semelle_amovible,4,0),"")</f>
        <v>The insoles are removable and can be removed and replaced with orthopedic insoles.</v>
      </c>
    </row>
    <row r="52" spans="1:5">
      <c r="A52" t="s">
        <v>255</v>
      </c>
      <c r="C52" t="str">
        <f>IFERROR(VLOOKUP(R_Semelle_intercalaire,M_Semelle_intercalaire,3,0),"")</f>
        <v/>
      </c>
    </row>
    <row r="54" spans="1:5">
      <c r="A54" t="s">
        <v>73</v>
      </c>
      <c r="C54" t="str">
        <f>IFERROR(VLOOKUP(R_Semelle_externe,M_Semelle_externe,3,0),"")</f>
        <v>The outer sole is made of polyurethane. You can walk in complete safety with this ultra-light, flexible, shock-absorbing and non-slip sole.</v>
      </c>
    </row>
    <row r="55" spans="1:5">
      <c r="A55" t="s">
        <v>263</v>
      </c>
      <c r="C55" t="str">
        <f>IFERROR(VLOOKUP(R_Stabilité,M_Stabilité,3,0),"")</f>
        <v>The wide casing allows better stability when walking.</v>
      </c>
    </row>
    <row r="56" spans="1:5">
      <c r="A56" t="s">
        <v>278</v>
      </c>
      <c r="C56" t="str">
        <f>IFERROR(VLOOKUP(R_Semelle_technique,M_Semelle_technique,3,0),"")</f>
        <v/>
      </c>
    </row>
    <row r="57" spans="1:5">
      <c r="A57" t="s">
        <v>279</v>
      </c>
      <c r="C57" t="str">
        <f>IFERROR(VLOOKUP(R_Semelle_cousue,M_Semelle_cousue,3,0),"")</f>
        <v>The sole is sewn all the way around for more resistance.</v>
      </c>
    </row>
    <row r="58" spans="1:5">
      <c r="A58" t="s">
        <v>280</v>
      </c>
      <c r="C58" t="s">
        <v>508</v>
      </c>
      <c r="D58">
        <f>R_Hauteur_talon</f>
        <v>17</v>
      </c>
      <c r="E58" t="s">
        <v>284</v>
      </c>
    </row>
    <row r="60" spans="1:5">
      <c r="A60" t="s">
        <v>289</v>
      </c>
      <c r="C60" t="s">
        <v>492</v>
      </c>
    </row>
    <row r="62" spans="1:5">
      <c r="C62" t="str">
        <f>IFERROR(VLOOKUP(R_Semelle_amovible,M_Semelle_amovible,5,0),"")</f>
        <v>You can adjust the volume of the shoe by leaving or removing the insole.</v>
      </c>
    </row>
    <row r="64" spans="1:5">
      <c r="A64" t="s">
        <v>289</v>
      </c>
      <c r="C64" t="s">
        <v>491</v>
      </c>
    </row>
    <row r="66" spans="1:7">
      <c r="C66" t="str">
        <f>IFERROR(VLOOKUP(R_Dessus1,M_Dessus,5,0),"")</f>
        <v>The fabric is hand washable at 30°C. Allow to dry in the open air.</v>
      </c>
    </row>
    <row r="67" spans="1:7">
      <c r="C67" t="str">
        <f>IFERROR(VLOOKUP(R_Dessus2,M_Dessus,5,0),"")</f>
        <v/>
      </c>
    </row>
    <row r="68" spans="1:7">
      <c r="C68" t="str">
        <f>IFERROR(VLOOKUP(R_Dessus3,M_Dessus,3,0),"")</f>
        <v/>
      </c>
    </row>
    <row r="69" spans="1:7">
      <c r="C69" t="str">
        <f>IFERROR(VLOOKUP(R_Semelle_interne,M_Semelle_interne,5,0),"")</f>
        <v>Clean the insoles with a damp cloth and allow to air dry.</v>
      </c>
    </row>
    <row r="71" spans="1:7">
      <c r="A71" t="s">
        <v>289</v>
      </c>
      <c r="C71" t="s">
        <v>490</v>
      </c>
    </row>
    <row r="73" spans="1:7">
      <c r="C73" t="str">
        <f>IFERROR(VLOOKUP(R_Type_chaussure,M_Type_chaussure,13,0),"")</f>
        <v>The orthopedic shoes</v>
      </c>
      <c r="D73" t="str">
        <f>IF(R_Modèle="","",R_Modèle)</f>
        <v>Frenchy</v>
      </c>
      <c r="E73" t="s">
        <v>399</v>
      </c>
      <c r="F73" t="str">
        <f>IFERROR(VLOOKUP(R_Marque,Marque,1,0),"")</f>
        <v>Neut</v>
      </c>
      <c r="G73" t="str">
        <f>IFERROR(VLOOKUP(R_Pointure,M_Pointure,3,0),"")</f>
        <v>fit normally. We therefore advise you to choose your usual size.</v>
      </c>
    </row>
    <row r="74" spans="1:7">
      <c r="C74" s="57" t="s">
        <v>511</v>
      </c>
    </row>
    <row r="75" spans="1:7">
      <c r="C75" s="57" t="s">
        <v>512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03BBFE9-42C8-CD40-A48E-72C053BA1CE5}">
  <dimension ref="A1:V216"/>
  <sheetViews>
    <sheetView tabSelected="1" topLeftCell="A82" workbookViewId="0">
      <selection activeCell="E89" sqref="E89"/>
    </sheetView>
  </sheetViews>
  <sheetFormatPr baseColWidth="10" defaultRowHeight="16"/>
  <cols>
    <col min="1" max="1" width="10.83203125" style="7"/>
    <col min="2" max="2" width="26.33203125" style="7" bestFit="1" customWidth="1"/>
    <col min="3" max="3" width="49.6640625" style="7" customWidth="1"/>
    <col min="4" max="4" width="44.5" style="7" customWidth="1"/>
    <col min="5" max="5" width="35.6640625" style="7" customWidth="1"/>
    <col min="6" max="6" width="31.5" style="7" customWidth="1"/>
    <col min="7" max="7" width="25.1640625" style="7" customWidth="1"/>
    <col min="8" max="8" width="24.1640625" style="7" customWidth="1"/>
    <col min="9" max="9" width="14.1640625" style="7" bestFit="1" customWidth="1"/>
    <col min="10" max="10" width="14.1640625" style="7" customWidth="1"/>
    <col min="11" max="11" width="12.1640625" style="7" bestFit="1" customWidth="1"/>
    <col min="12" max="12" width="29.5" style="7" bestFit="1" customWidth="1"/>
    <col min="13" max="13" width="20.33203125" style="7" bestFit="1" customWidth="1"/>
    <col min="14" max="14" width="35.1640625" style="7" customWidth="1"/>
    <col min="15" max="16" width="23.1640625" style="7" bestFit="1" customWidth="1"/>
    <col min="17" max="17" width="40.83203125" style="7" bestFit="1" customWidth="1"/>
    <col min="18" max="18" width="24.1640625" style="7" customWidth="1"/>
    <col min="19" max="19" width="29.5" style="7" customWidth="1"/>
    <col min="20" max="20" width="18.1640625" style="7" customWidth="1"/>
    <col min="21" max="21" width="4.33203125" style="7" customWidth="1"/>
    <col min="22" max="22" width="18.5" style="7" customWidth="1"/>
    <col min="23" max="16384" width="10.83203125" style="7"/>
  </cols>
  <sheetData>
    <row r="1" spans="2:14" ht="17" thickBot="1"/>
    <row r="2" spans="2:14" ht="18" thickBot="1">
      <c r="B2" s="31" t="s">
        <v>1</v>
      </c>
    </row>
    <row r="3" spans="2:14" ht="17">
      <c r="B3" s="12" t="s">
        <v>2</v>
      </c>
    </row>
    <row r="4" spans="2:14" ht="17">
      <c r="B4" s="13" t="s">
        <v>3</v>
      </c>
    </row>
    <row r="5" spans="2:14" ht="17">
      <c r="B5" s="13" t="s">
        <v>603</v>
      </c>
    </row>
    <row r="6" spans="2:14" ht="17">
      <c r="B6" s="13" t="s">
        <v>4</v>
      </c>
    </row>
    <row r="7" spans="2:14" ht="17">
      <c r="B7" s="13" t="s">
        <v>5</v>
      </c>
    </row>
    <row r="8" spans="2:14" ht="17">
      <c r="B8" s="13" t="s">
        <v>6</v>
      </c>
    </row>
    <row r="9" spans="2:14" ht="17">
      <c r="B9" s="13" t="s">
        <v>7</v>
      </c>
    </row>
    <row r="10" spans="2:14" ht="17">
      <c r="B10" s="13" t="s">
        <v>8</v>
      </c>
    </row>
    <row r="11" spans="2:14" ht="17">
      <c r="B11" s="13" t="s">
        <v>9</v>
      </c>
      <c r="N11" s="9"/>
    </row>
    <row r="12" spans="2:14" ht="17">
      <c r="B12" s="13" t="s">
        <v>10</v>
      </c>
      <c r="N12" s="9"/>
    </row>
    <row r="13" spans="2:14" ht="17">
      <c r="B13" s="13" t="s">
        <v>11</v>
      </c>
      <c r="N13" s="9"/>
    </row>
    <row r="14" spans="2:14" ht="17" thickBot="1">
      <c r="B14" s="30"/>
      <c r="N14" s="9"/>
    </row>
    <row r="15" spans="2:14" ht="18" thickBot="1">
      <c r="B15" s="32" t="s">
        <v>157</v>
      </c>
      <c r="C15" s="33" t="s">
        <v>217</v>
      </c>
      <c r="D15" s="8" t="s">
        <v>218</v>
      </c>
      <c r="L15" s="9"/>
    </row>
    <row r="16" spans="2:14" ht="17">
      <c r="B16" s="34" t="s">
        <v>158</v>
      </c>
      <c r="C16" s="4" t="s">
        <v>161</v>
      </c>
      <c r="D16" s="4" t="s">
        <v>164</v>
      </c>
      <c r="L16" s="9"/>
    </row>
    <row r="17" spans="1:22" ht="17">
      <c r="B17" s="35" t="s">
        <v>159</v>
      </c>
      <c r="C17" s="5" t="s">
        <v>162</v>
      </c>
      <c r="D17" s="5" t="s">
        <v>165</v>
      </c>
      <c r="L17" s="9"/>
    </row>
    <row r="18" spans="1:22" ht="17">
      <c r="B18" s="35" t="s">
        <v>160</v>
      </c>
      <c r="C18" s="5" t="s">
        <v>163</v>
      </c>
      <c r="D18" s="5" t="s">
        <v>166</v>
      </c>
      <c r="L18" s="9"/>
      <c r="V18" s="9"/>
    </row>
    <row r="19" spans="1:22" ht="17">
      <c r="B19" s="35" t="s">
        <v>534</v>
      </c>
      <c r="C19" s="5" t="s">
        <v>535</v>
      </c>
      <c r="D19" s="5" t="s">
        <v>536</v>
      </c>
      <c r="L19" s="9"/>
      <c r="V19" s="9"/>
    </row>
    <row r="20" spans="1:22" ht="17" thickBot="1">
      <c r="A20" s="11"/>
      <c r="B20" s="14"/>
      <c r="C20" s="11"/>
      <c r="D20" s="11"/>
      <c r="E20" s="11"/>
      <c r="F20" s="11"/>
      <c r="G20" s="11"/>
      <c r="H20" s="11"/>
      <c r="I20" s="11"/>
      <c r="J20" s="11"/>
      <c r="K20" s="11"/>
      <c r="L20" s="11"/>
      <c r="M20" s="11"/>
      <c r="N20" s="11"/>
      <c r="O20" s="11"/>
    </row>
    <row r="21" spans="1:22" ht="18" thickBot="1">
      <c r="A21" s="11"/>
      <c r="B21" s="36" t="s">
        <v>39</v>
      </c>
      <c r="C21" s="51" t="s">
        <v>176</v>
      </c>
      <c r="D21" s="51" t="s">
        <v>177</v>
      </c>
      <c r="E21" s="51" t="s">
        <v>178</v>
      </c>
      <c r="F21" s="51" t="s">
        <v>180</v>
      </c>
      <c r="G21" s="51" t="s">
        <v>196</v>
      </c>
      <c r="H21" s="51" t="s">
        <v>203</v>
      </c>
      <c r="I21" s="51" t="s">
        <v>207</v>
      </c>
      <c r="J21" s="51" t="s">
        <v>316</v>
      </c>
      <c r="K21" s="52" t="s">
        <v>320</v>
      </c>
      <c r="L21" s="51" t="s">
        <v>327</v>
      </c>
      <c r="M21" s="51" t="s">
        <v>360</v>
      </c>
      <c r="N21" s="51" t="s">
        <v>361</v>
      </c>
      <c r="O21" s="51" t="s">
        <v>362</v>
      </c>
      <c r="P21" s="51" t="s">
        <v>397</v>
      </c>
      <c r="Q21" s="51" t="s">
        <v>398</v>
      </c>
      <c r="R21" s="55" t="s">
        <v>413</v>
      </c>
      <c r="S21" s="51" t="s">
        <v>414</v>
      </c>
      <c r="T21" s="51" t="s">
        <v>422</v>
      </c>
    </row>
    <row r="22" spans="1:22" ht="17">
      <c r="A22" s="11"/>
      <c r="B22" s="17" t="s">
        <v>40</v>
      </c>
      <c r="C22" s="50" t="s">
        <v>107</v>
      </c>
      <c r="D22" s="50" t="s">
        <v>40</v>
      </c>
      <c r="E22" s="50" t="s">
        <v>173</v>
      </c>
      <c r="F22" s="50" t="s">
        <v>182</v>
      </c>
      <c r="G22" s="50" t="s">
        <v>197</v>
      </c>
      <c r="H22" s="50" t="s">
        <v>204</v>
      </c>
      <c r="I22" s="50" t="s">
        <v>208</v>
      </c>
      <c r="J22" s="50" t="s">
        <v>317</v>
      </c>
      <c r="K22" s="50" t="s">
        <v>321</v>
      </c>
      <c r="L22" s="50" t="s">
        <v>328</v>
      </c>
      <c r="M22" s="37" t="s">
        <v>493</v>
      </c>
      <c r="N22" s="37" t="s">
        <v>494</v>
      </c>
      <c r="O22" s="37" t="s">
        <v>495</v>
      </c>
      <c r="P22" s="37" t="s">
        <v>496</v>
      </c>
      <c r="Q22" s="37" t="s">
        <v>393</v>
      </c>
      <c r="R22" s="37" t="s">
        <v>403</v>
      </c>
      <c r="S22" s="37" t="s">
        <v>411</v>
      </c>
      <c r="T22" s="37" t="s">
        <v>423</v>
      </c>
    </row>
    <row r="23" spans="1:22" ht="17">
      <c r="A23" s="11"/>
      <c r="B23" s="18" t="s">
        <v>41</v>
      </c>
      <c r="C23" s="49" t="s">
        <v>106</v>
      </c>
      <c r="D23" s="49" t="s">
        <v>41</v>
      </c>
      <c r="E23" s="49" t="s">
        <v>173</v>
      </c>
      <c r="F23" s="49" t="s">
        <v>183</v>
      </c>
      <c r="G23" s="49" t="s">
        <v>197</v>
      </c>
      <c r="H23" s="49" t="s">
        <v>204</v>
      </c>
      <c r="I23" s="49" t="s">
        <v>208</v>
      </c>
      <c r="J23" s="49" t="s">
        <v>317</v>
      </c>
      <c r="K23" s="49" t="s">
        <v>321</v>
      </c>
      <c r="L23" s="49" t="s">
        <v>329</v>
      </c>
      <c r="M23" s="37" t="s">
        <v>142</v>
      </c>
      <c r="N23" s="37" t="s">
        <v>123</v>
      </c>
      <c r="O23" s="37" t="s">
        <v>409</v>
      </c>
      <c r="P23" s="37" t="s">
        <v>369</v>
      </c>
      <c r="Q23" s="37" t="s">
        <v>393</v>
      </c>
      <c r="R23" s="37" t="s">
        <v>403</v>
      </c>
      <c r="S23" s="37" t="s">
        <v>411</v>
      </c>
      <c r="T23" s="37" t="s">
        <v>423</v>
      </c>
    </row>
    <row r="24" spans="1:22" ht="17">
      <c r="A24" s="11"/>
      <c r="B24" s="18" t="s">
        <v>42</v>
      </c>
      <c r="C24" s="49" t="s">
        <v>108</v>
      </c>
      <c r="D24" s="49" t="s">
        <v>135</v>
      </c>
      <c r="E24" s="49" t="s">
        <v>174</v>
      </c>
      <c r="F24" s="49" t="s">
        <v>184</v>
      </c>
      <c r="G24" s="49" t="s">
        <v>198</v>
      </c>
      <c r="H24" s="49" t="s">
        <v>205</v>
      </c>
      <c r="I24" s="49" t="s">
        <v>209</v>
      </c>
      <c r="J24" s="49" t="s">
        <v>318</v>
      </c>
      <c r="K24" s="49" t="s">
        <v>322</v>
      </c>
      <c r="L24" s="49" t="s">
        <v>330</v>
      </c>
      <c r="M24" s="37" t="s">
        <v>143</v>
      </c>
      <c r="N24" s="37" t="s">
        <v>126</v>
      </c>
      <c r="O24" s="37" t="s">
        <v>408</v>
      </c>
      <c r="P24" s="37" t="s">
        <v>370</v>
      </c>
      <c r="Q24" s="37" t="s">
        <v>394</v>
      </c>
      <c r="R24" s="37" t="s">
        <v>404</v>
      </c>
      <c r="S24" s="37" t="s">
        <v>412</v>
      </c>
      <c r="T24" s="37" t="s">
        <v>423</v>
      </c>
    </row>
    <row r="25" spans="1:22" ht="17">
      <c r="A25" s="11"/>
      <c r="B25" s="18" t="s">
        <v>98</v>
      </c>
      <c r="C25" s="49" t="s">
        <v>109</v>
      </c>
      <c r="D25" s="49" t="s">
        <v>98</v>
      </c>
      <c r="E25" s="49" t="s">
        <v>174</v>
      </c>
      <c r="F25" s="49" t="s">
        <v>185</v>
      </c>
      <c r="G25" s="49" t="s">
        <v>198</v>
      </c>
      <c r="H25" s="49" t="s">
        <v>205</v>
      </c>
      <c r="I25" s="49" t="s">
        <v>209</v>
      </c>
      <c r="J25" s="49" t="s">
        <v>318</v>
      </c>
      <c r="K25" s="49" t="s">
        <v>322</v>
      </c>
      <c r="L25" s="49" t="s">
        <v>331</v>
      </c>
      <c r="M25" s="37" t="s">
        <v>144</v>
      </c>
      <c r="N25" s="37" t="s">
        <v>125</v>
      </c>
      <c r="O25" s="37" t="s">
        <v>407</v>
      </c>
      <c r="P25" s="37" t="s">
        <v>371</v>
      </c>
      <c r="Q25" s="37" t="s">
        <v>394</v>
      </c>
      <c r="R25" s="37" t="s">
        <v>404</v>
      </c>
      <c r="S25" s="37" t="s">
        <v>412</v>
      </c>
      <c r="T25" s="37" t="s">
        <v>423</v>
      </c>
    </row>
    <row r="26" spans="1:22" ht="34">
      <c r="A26" s="11"/>
      <c r="B26" s="18" t="s">
        <v>43</v>
      </c>
      <c r="C26" s="49" t="s">
        <v>110</v>
      </c>
      <c r="D26" s="49" t="s">
        <v>136</v>
      </c>
      <c r="E26" s="49" t="s">
        <v>175</v>
      </c>
      <c r="F26" s="49" t="s">
        <v>186</v>
      </c>
      <c r="G26" s="49" t="s">
        <v>197</v>
      </c>
      <c r="H26" s="49" t="s">
        <v>206</v>
      </c>
      <c r="I26" s="49" t="s">
        <v>210</v>
      </c>
      <c r="J26" s="49" t="s">
        <v>319</v>
      </c>
      <c r="K26" s="49" t="s">
        <v>321</v>
      </c>
      <c r="L26" s="49" t="s">
        <v>332</v>
      </c>
      <c r="M26" s="37" t="s">
        <v>145</v>
      </c>
      <c r="N26" s="37" t="s">
        <v>127</v>
      </c>
      <c r="O26" s="37" t="s">
        <v>405</v>
      </c>
      <c r="P26" s="37" t="s">
        <v>372</v>
      </c>
      <c r="Q26" s="37" t="s">
        <v>395</v>
      </c>
      <c r="R26" s="37" t="s">
        <v>410</v>
      </c>
      <c r="S26" s="37" t="s">
        <v>415</v>
      </c>
      <c r="T26" s="37" t="s">
        <v>423</v>
      </c>
    </row>
    <row r="27" spans="1:22" ht="17">
      <c r="A27" s="11"/>
      <c r="B27" s="18" t="s">
        <v>44</v>
      </c>
      <c r="C27" s="49" t="s">
        <v>111</v>
      </c>
      <c r="D27" s="49" t="s">
        <v>44</v>
      </c>
      <c r="E27" s="49" t="s">
        <v>175</v>
      </c>
      <c r="F27" s="49" t="s">
        <v>187</v>
      </c>
      <c r="G27" s="49" t="s">
        <v>197</v>
      </c>
      <c r="H27" s="49" t="s">
        <v>206</v>
      </c>
      <c r="I27" s="49" t="s">
        <v>210</v>
      </c>
      <c r="J27" s="49" t="s">
        <v>319</v>
      </c>
      <c r="K27" s="49" t="s">
        <v>321</v>
      </c>
      <c r="L27" s="49" t="s">
        <v>333</v>
      </c>
      <c r="M27" s="37" t="s">
        <v>146</v>
      </c>
      <c r="N27" s="37" t="s">
        <v>128</v>
      </c>
      <c r="O27" s="37" t="s">
        <v>406</v>
      </c>
      <c r="P27" s="37" t="s">
        <v>373</v>
      </c>
      <c r="Q27" s="37" t="s">
        <v>395</v>
      </c>
      <c r="R27" s="37" t="s">
        <v>410</v>
      </c>
      <c r="S27" s="37" t="s">
        <v>415</v>
      </c>
      <c r="T27" s="37" t="s">
        <v>423</v>
      </c>
    </row>
    <row r="28" spans="1:22" ht="17">
      <c r="A28" s="11"/>
      <c r="B28" s="18" t="s">
        <v>112</v>
      </c>
      <c r="C28" s="49" t="s">
        <v>118</v>
      </c>
      <c r="D28" s="49" t="s">
        <v>112</v>
      </c>
      <c r="E28" s="49" t="s">
        <v>173</v>
      </c>
      <c r="F28" s="49" t="s">
        <v>188</v>
      </c>
      <c r="G28" s="49" t="s">
        <v>197</v>
      </c>
      <c r="H28" s="49" t="s">
        <v>204</v>
      </c>
      <c r="I28" s="49" t="s">
        <v>208</v>
      </c>
      <c r="J28" s="49" t="s">
        <v>317</v>
      </c>
      <c r="K28" s="49" t="s">
        <v>321</v>
      </c>
      <c r="L28" s="49" t="s">
        <v>334</v>
      </c>
      <c r="M28" s="37" t="s">
        <v>140</v>
      </c>
      <c r="N28" s="37" t="s">
        <v>124</v>
      </c>
      <c r="O28" s="37" t="s">
        <v>364</v>
      </c>
      <c r="P28" s="37" t="s">
        <v>374</v>
      </c>
      <c r="Q28" s="37" t="s">
        <v>393</v>
      </c>
      <c r="R28" s="37" t="s">
        <v>403</v>
      </c>
      <c r="S28" s="37" t="s">
        <v>411</v>
      </c>
      <c r="T28" s="37" t="s">
        <v>423</v>
      </c>
    </row>
    <row r="29" spans="1:22" ht="34">
      <c r="A29" s="11"/>
      <c r="B29" s="18" t="s">
        <v>113</v>
      </c>
      <c r="C29" s="49" t="s">
        <v>119</v>
      </c>
      <c r="D29" s="49" t="s">
        <v>137</v>
      </c>
      <c r="E29" s="49" t="s">
        <v>173</v>
      </c>
      <c r="F29" s="49" t="s">
        <v>189</v>
      </c>
      <c r="G29" s="49" t="s">
        <v>197</v>
      </c>
      <c r="H29" s="49" t="s">
        <v>204</v>
      </c>
      <c r="I29" s="49" t="s">
        <v>208</v>
      </c>
      <c r="J29" s="49" t="s">
        <v>317</v>
      </c>
      <c r="K29" s="49" t="s">
        <v>321</v>
      </c>
      <c r="L29" s="49" t="s">
        <v>335</v>
      </c>
      <c r="M29" s="37" t="s">
        <v>141</v>
      </c>
      <c r="N29" s="37" t="s">
        <v>129</v>
      </c>
      <c r="O29" s="37" t="s">
        <v>365</v>
      </c>
      <c r="P29" s="37" t="s">
        <v>375</v>
      </c>
      <c r="Q29" s="37" t="s">
        <v>393</v>
      </c>
      <c r="R29" s="37" t="s">
        <v>403</v>
      </c>
      <c r="S29" s="37" t="s">
        <v>411</v>
      </c>
      <c r="T29" s="37" t="s">
        <v>423</v>
      </c>
    </row>
    <row r="30" spans="1:22" ht="17">
      <c r="A30" s="11"/>
      <c r="B30" s="18" t="s">
        <v>114</v>
      </c>
      <c r="C30" s="49" t="s">
        <v>120</v>
      </c>
      <c r="D30" s="49" t="s">
        <v>114</v>
      </c>
      <c r="E30" s="49" t="s">
        <v>173</v>
      </c>
      <c r="F30" s="49" t="s">
        <v>190</v>
      </c>
      <c r="G30" s="49" t="s">
        <v>197</v>
      </c>
      <c r="H30" s="49" t="s">
        <v>204</v>
      </c>
      <c r="I30" s="49" t="s">
        <v>208</v>
      </c>
      <c r="J30" s="49" t="s">
        <v>317</v>
      </c>
      <c r="K30" s="49" t="s">
        <v>321</v>
      </c>
      <c r="L30" s="49" t="s">
        <v>336</v>
      </c>
      <c r="M30" s="37" t="s">
        <v>147</v>
      </c>
      <c r="N30" s="37" t="s">
        <v>130</v>
      </c>
      <c r="O30" s="37" t="s">
        <v>366</v>
      </c>
      <c r="P30" s="37" t="s">
        <v>376</v>
      </c>
      <c r="Q30" s="37" t="s">
        <v>393</v>
      </c>
      <c r="R30" s="37" t="s">
        <v>403</v>
      </c>
      <c r="S30" s="37" t="s">
        <v>411</v>
      </c>
      <c r="T30" s="37" t="s">
        <v>423</v>
      </c>
    </row>
    <row r="31" spans="1:22" ht="17">
      <c r="A31" s="11"/>
      <c r="B31" s="18" t="s">
        <v>115</v>
      </c>
      <c r="C31" s="49" t="s">
        <v>134</v>
      </c>
      <c r="D31" s="49" t="s">
        <v>138</v>
      </c>
      <c r="E31" s="49" t="s">
        <v>173</v>
      </c>
      <c r="F31" s="49" t="s">
        <v>191</v>
      </c>
      <c r="G31" s="49" t="s">
        <v>197</v>
      </c>
      <c r="H31" s="49" t="s">
        <v>204</v>
      </c>
      <c r="I31" s="49" t="s">
        <v>208</v>
      </c>
      <c r="J31" s="49" t="s">
        <v>317</v>
      </c>
      <c r="K31" s="49" t="s">
        <v>321</v>
      </c>
      <c r="L31" s="49" t="s">
        <v>337</v>
      </c>
      <c r="M31" s="37" t="s">
        <v>148</v>
      </c>
      <c r="N31" s="37" t="s">
        <v>131</v>
      </c>
      <c r="O31" s="37" t="s">
        <v>367</v>
      </c>
      <c r="P31" s="37" t="s">
        <v>377</v>
      </c>
      <c r="Q31" s="37" t="s">
        <v>393</v>
      </c>
      <c r="R31" s="37" t="s">
        <v>403</v>
      </c>
      <c r="S31" s="37" t="s">
        <v>411</v>
      </c>
      <c r="T31" s="37" t="s">
        <v>423</v>
      </c>
    </row>
    <row r="32" spans="1:22" ht="17">
      <c r="A32" s="11"/>
      <c r="B32" s="18" t="s">
        <v>116</v>
      </c>
      <c r="C32" s="49" t="s">
        <v>121</v>
      </c>
      <c r="D32" s="49" t="s">
        <v>116</v>
      </c>
      <c r="E32" s="49" t="s">
        <v>201</v>
      </c>
      <c r="F32" s="49" t="s">
        <v>121</v>
      </c>
      <c r="G32" s="49" t="s">
        <v>197</v>
      </c>
      <c r="H32" s="49" t="s">
        <v>204</v>
      </c>
      <c r="I32" s="49" t="s">
        <v>208</v>
      </c>
      <c r="J32" s="49" t="s">
        <v>317</v>
      </c>
      <c r="K32" s="49" t="s">
        <v>321</v>
      </c>
      <c r="L32" s="49" t="s">
        <v>338</v>
      </c>
      <c r="M32" s="37" t="s">
        <v>149</v>
      </c>
      <c r="N32" s="37" t="s">
        <v>132</v>
      </c>
      <c r="O32" s="37" t="s">
        <v>363</v>
      </c>
      <c r="P32" s="37" t="s">
        <v>378</v>
      </c>
      <c r="Q32" s="37" t="s">
        <v>393</v>
      </c>
      <c r="R32" s="37" t="s">
        <v>403</v>
      </c>
      <c r="S32" s="37" t="s">
        <v>411</v>
      </c>
      <c r="T32" s="37" t="s">
        <v>423</v>
      </c>
    </row>
    <row r="33" spans="1:20" s="38" customFormat="1" ht="34">
      <c r="A33" s="14"/>
      <c r="B33" s="18" t="s">
        <v>117</v>
      </c>
      <c r="C33" s="18" t="s">
        <v>122</v>
      </c>
      <c r="D33" s="18" t="s">
        <v>139</v>
      </c>
      <c r="E33" s="18" t="s">
        <v>202</v>
      </c>
      <c r="F33" s="18" t="s">
        <v>122</v>
      </c>
      <c r="G33" s="18" t="s">
        <v>197</v>
      </c>
      <c r="H33" s="18" t="s">
        <v>204</v>
      </c>
      <c r="I33" s="18" t="s">
        <v>208</v>
      </c>
      <c r="J33" s="18" t="s">
        <v>317</v>
      </c>
      <c r="K33" s="18" t="s">
        <v>321</v>
      </c>
      <c r="L33" s="18" t="s">
        <v>339</v>
      </c>
      <c r="M33" s="69" t="s">
        <v>150</v>
      </c>
      <c r="N33" s="69" t="s">
        <v>133</v>
      </c>
      <c r="O33" s="69" t="s">
        <v>368</v>
      </c>
      <c r="P33" s="69" t="s">
        <v>379</v>
      </c>
      <c r="Q33" s="69" t="s">
        <v>396</v>
      </c>
      <c r="R33" s="69" t="s">
        <v>403</v>
      </c>
      <c r="S33" s="69" t="s">
        <v>411</v>
      </c>
      <c r="T33" s="69" t="s">
        <v>423</v>
      </c>
    </row>
    <row r="34" spans="1:20" ht="17" thickBot="1">
      <c r="B34" s="38"/>
      <c r="E34" s="11"/>
      <c r="F34" s="11"/>
      <c r="G34" s="11"/>
      <c r="H34" s="11"/>
      <c r="I34" s="11"/>
      <c r="J34" s="11"/>
      <c r="K34" s="11"/>
      <c r="L34" s="11"/>
    </row>
    <row r="35" spans="1:20" ht="18" thickBot="1">
      <c r="B35" s="39" t="s">
        <v>24</v>
      </c>
      <c r="C35" s="33" t="s">
        <v>200</v>
      </c>
      <c r="D35" s="8" t="s">
        <v>219</v>
      </c>
      <c r="E35" s="11"/>
      <c r="F35" s="11"/>
      <c r="G35" s="11"/>
      <c r="H35" s="11"/>
      <c r="I35" s="11"/>
      <c r="J35" s="11"/>
      <c r="K35" s="11"/>
      <c r="L35" s="11"/>
    </row>
    <row r="36" spans="1:20" ht="17">
      <c r="B36" s="12" t="s">
        <v>17</v>
      </c>
      <c r="C36" s="40" t="s">
        <v>81</v>
      </c>
      <c r="D36" s="4" t="s">
        <v>81</v>
      </c>
      <c r="M36" s="9"/>
    </row>
    <row r="37" spans="1:20" ht="17">
      <c r="B37" s="13" t="s">
        <v>21</v>
      </c>
      <c r="C37" s="6" t="s">
        <v>82</v>
      </c>
      <c r="D37" s="5" t="s">
        <v>90</v>
      </c>
    </row>
    <row r="38" spans="1:20" ht="17">
      <c r="B38" s="13" t="s">
        <v>519</v>
      </c>
      <c r="C38" s="6" t="s">
        <v>520</v>
      </c>
      <c r="D38" s="5" t="s">
        <v>521</v>
      </c>
    </row>
    <row r="39" spans="1:20" ht="17">
      <c r="B39" s="13" t="s">
        <v>16</v>
      </c>
      <c r="C39" s="6" t="s">
        <v>83</v>
      </c>
      <c r="D39" s="5" t="s">
        <v>91</v>
      </c>
    </row>
    <row r="40" spans="1:20" ht="17">
      <c r="B40" s="13" t="s">
        <v>14</v>
      </c>
      <c r="C40" s="6" t="s">
        <v>84</v>
      </c>
      <c r="D40" s="5" t="s">
        <v>92</v>
      </c>
    </row>
    <row r="41" spans="1:20" ht="17">
      <c r="B41" s="13" t="s">
        <v>18</v>
      </c>
      <c r="C41" s="6" t="s">
        <v>85</v>
      </c>
      <c r="D41" s="5" t="s">
        <v>93</v>
      </c>
    </row>
    <row r="42" spans="1:20" ht="17">
      <c r="B42" s="13" t="s">
        <v>13</v>
      </c>
      <c r="C42" s="6" t="s">
        <v>86</v>
      </c>
      <c r="D42" s="5" t="s">
        <v>94</v>
      </c>
      <c r="R42" s="9"/>
      <c r="S42" s="41"/>
      <c r="T42" s="9"/>
    </row>
    <row r="43" spans="1:20" ht="17">
      <c r="B43" s="13" t="s">
        <v>15</v>
      </c>
      <c r="C43" s="6" t="s">
        <v>87</v>
      </c>
      <c r="D43" s="5" t="s">
        <v>95</v>
      </c>
    </row>
    <row r="44" spans="1:20" ht="17">
      <c r="B44" s="13" t="s">
        <v>19</v>
      </c>
      <c r="C44" s="6" t="s">
        <v>88</v>
      </c>
      <c r="D44" s="5" t="s">
        <v>96</v>
      </c>
    </row>
    <row r="45" spans="1:20" ht="17">
      <c r="B45" s="13" t="s">
        <v>20</v>
      </c>
      <c r="C45" s="6" t="s">
        <v>89</v>
      </c>
      <c r="D45" s="5" t="s">
        <v>97</v>
      </c>
    </row>
    <row r="46" spans="1:20" ht="17" thickBot="1">
      <c r="B46" s="38"/>
      <c r="Q46" s="11"/>
    </row>
    <row r="47" spans="1:20" ht="18" thickBot="1">
      <c r="B47" s="39" t="s">
        <v>22</v>
      </c>
      <c r="C47" s="33" t="s">
        <v>200</v>
      </c>
      <c r="D47" s="8" t="s">
        <v>219</v>
      </c>
      <c r="M47" s="11"/>
      <c r="N47" s="11"/>
    </row>
    <row r="48" spans="1:20" ht="18" thickBot="1">
      <c r="B48" s="58">
        <v>21</v>
      </c>
      <c r="C48" s="59">
        <v>21</v>
      </c>
      <c r="D48" s="59" t="s">
        <v>651</v>
      </c>
      <c r="M48" s="11"/>
      <c r="N48" s="11"/>
    </row>
    <row r="49" spans="2:14" ht="17">
      <c r="B49" s="58">
        <v>26</v>
      </c>
      <c r="C49" s="59">
        <v>26</v>
      </c>
      <c r="D49" s="59" t="s">
        <v>537</v>
      </c>
      <c r="M49" s="11"/>
      <c r="N49" s="11"/>
    </row>
    <row r="50" spans="2:14" ht="17">
      <c r="B50" s="13">
        <v>34</v>
      </c>
      <c r="C50" s="5">
        <v>34</v>
      </c>
      <c r="D50" s="5" t="s">
        <v>99</v>
      </c>
      <c r="M50" s="11"/>
      <c r="N50" s="11"/>
    </row>
    <row r="51" spans="2:14" ht="17">
      <c r="B51" s="13">
        <v>35</v>
      </c>
      <c r="C51" s="5">
        <v>35</v>
      </c>
      <c r="D51" s="5" t="s">
        <v>100</v>
      </c>
      <c r="M51" s="11"/>
      <c r="N51" s="11"/>
    </row>
    <row r="52" spans="2:14" ht="17">
      <c r="B52" s="13">
        <v>36</v>
      </c>
      <c r="C52" s="5">
        <v>36</v>
      </c>
      <c r="D52" s="5" t="s">
        <v>101</v>
      </c>
      <c r="M52" s="11"/>
      <c r="N52" s="11"/>
    </row>
    <row r="53" spans="2:14" ht="17">
      <c r="B53" s="13">
        <v>37</v>
      </c>
      <c r="C53" s="5">
        <v>37</v>
      </c>
      <c r="D53" s="5" t="s">
        <v>102</v>
      </c>
      <c r="M53" s="11"/>
      <c r="N53" s="11"/>
    </row>
    <row r="54" spans="2:14" ht="17">
      <c r="B54" s="13">
        <v>38</v>
      </c>
      <c r="C54" s="5">
        <v>38</v>
      </c>
      <c r="D54" s="5" t="s">
        <v>103</v>
      </c>
      <c r="M54" s="11"/>
      <c r="N54" s="11"/>
    </row>
    <row r="55" spans="2:14" ht="17">
      <c r="B55" s="13">
        <v>39</v>
      </c>
      <c r="C55" s="5">
        <v>39</v>
      </c>
      <c r="D55" s="5" t="s">
        <v>104</v>
      </c>
      <c r="M55" s="11"/>
      <c r="N55" s="11"/>
    </row>
    <row r="56" spans="2:14" ht="17">
      <c r="B56" s="13">
        <v>40</v>
      </c>
      <c r="C56" s="5">
        <v>40</v>
      </c>
      <c r="D56" s="5" t="s">
        <v>105</v>
      </c>
      <c r="M56" s="11"/>
      <c r="N56" s="11"/>
    </row>
    <row r="57" spans="2:14" ht="17" thickBot="1">
      <c r="B57" s="38"/>
      <c r="N57" s="11"/>
    </row>
    <row r="58" spans="2:14" ht="18" thickBot="1">
      <c r="B58" s="39" t="s">
        <v>23</v>
      </c>
      <c r="C58" s="33" t="s">
        <v>200</v>
      </c>
      <c r="D58" s="8" t="s">
        <v>219</v>
      </c>
      <c r="N58" s="11"/>
    </row>
    <row r="59" spans="2:14" ht="17">
      <c r="B59" s="12">
        <v>40</v>
      </c>
      <c r="C59" s="72" t="s">
        <v>649</v>
      </c>
      <c r="D59" s="5" t="s">
        <v>650</v>
      </c>
      <c r="N59" s="11"/>
    </row>
    <row r="60" spans="2:14" ht="17">
      <c r="B60" s="12">
        <v>41</v>
      </c>
      <c r="C60" s="4" t="s">
        <v>306</v>
      </c>
      <c r="D60" s="4" t="s">
        <v>497</v>
      </c>
      <c r="N60" s="11"/>
    </row>
    <row r="61" spans="2:14" ht="17">
      <c r="B61" s="13">
        <v>42</v>
      </c>
      <c r="C61" s="5" t="s">
        <v>307</v>
      </c>
      <c r="D61" s="5" t="s">
        <v>498</v>
      </c>
      <c r="N61" s="11"/>
    </row>
    <row r="62" spans="2:14" ht="17">
      <c r="B62" s="13">
        <v>43</v>
      </c>
      <c r="C62" s="5" t="s">
        <v>308</v>
      </c>
      <c r="D62" s="5" t="s">
        <v>499</v>
      </c>
      <c r="N62" s="11"/>
    </row>
    <row r="63" spans="2:14" ht="17">
      <c r="B63" s="13">
        <v>44</v>
      </c>
      <c r="C63" s="5" t="s">
        <v>309</v>
      </c>
      <c r="D63" s="5" t="s">
        <v>500</v>
      </c>
      <c r="K63" s="11"/>
      <c r="L63" s="11"/>
      <c r="N63" s="11"/>
    </row>
    <row r="64" spans="2:14" ht="17">
      <c r="B64" s="13">
        <v>45</v>
      </c>
      <c r="C64" s="5" t="s">
        <v>310</v>
      </c>
      <c r="D64" s="5" t="s">
        <v>501</v>
      </c>
      <c r="K64" s="11"/>
      <c r="L64" s="11"/>
      <c r="N64" s="11"/>
    </row>
    <row r="65" spans="2:14" ht="17">
      <c r="B65" s="13">
        <v>46</v>
      </c>
      <c r="C65" s="5" t="s">
        <v>311</v>
      </c>
      <c r="D65" s="5" t="s">
        <v>502</v>
      </c>
      <c r="K65" s="11"/>
      <c r="L65" s="11"/>
      <c r="M65" s="11"/>
      <c r="N65" s="11"/>
    </row>
    <row r="66" spans="2:14" ht="17">
      <c r="B66" s="13">
        <v>47</v>
      </c>
      <c r="C66" s="5" t="s">
        <v>312</v>
      </c>
      <c r="D66" s="5" t="s">
        <v>503</v>
      </c>
      <c r="K66" s="11"/>
      <c r="L66" s="11"/>
      <c r="M66" s="11"/>
      <c r="N66" s="11"/>
    </row>
    <row r="67" spans="2:14" ht="17">
      <c r="B67" s="13">
        <v>48</v>
      </c>
      <c r="C67" s="5" t="s">
        <v>313</v>
      </c>
      <c r="D67" s="5" t="s">
        <v>504</v>
      </c>
      <c r="K67" s="11"/>
      <c r="L67" s="11"/>
      <c r="M67" s="11"/>
      <c r="N67" s="11"/>
    </row>
    <row r="68" spans="2:14" ht="17">
      <c r="B68" s="13">
        <v>49</v>
      </c>
      <c r="C68" s="5" t="s">
        <v>314</v>
      </c>
      <c r="D68" s="5" t="s">
        <v>505</v>
      </c>
      <c r="K68" s="11"/>
      <c r="L68" s="11"/>
      <c r="M68" s="11"/>
      <c r="N68" s="11"/>
    </row>
    <row r="69" spans="2:14" ht="17">
      <c r="B69" s="13">
        <v>50</v>
      </c>
      <c r="C69" s="5" t="s">
        <v>315</v>
      </c>
      <c r="D69" s="5" t="s">
        <v>506</v>
      </c>
      <c r="K69" s="11"/>
      <c r="L69" s="11"/>
      <c r="M69" s="11"/>
      <c r="N69" s="11"/>
    </row>
    <row r="70" spans="2:14" ht="17" thickBot="1">
      <c r="B70" s="38"/>
      <c r="K70" s="11"/>
      <c r="L70" s="11"/>
      <c r="M70" s="11"/>
    </row>
    <row r="71" spans="2:14" ht="18" thickBot="1">
      <c r="B71" s="39" t="s">
        <v>31</v>
      </c>
      <c r="C71" s="33" t="s">
        <v>200</v>
      </c>
      <c r="D71" s="33" t="s">
        <v>177</v>
      </c>
      <c r="E71" s="33" t="s">
        <v>178</v>
      </c>
      <c r="F71" s="33" t="s">
        <v>382</v>
      </c>
      <c r="G71" s="54" t="s">
        <v>181</v>
      </c>
      <c r="H71" s="54" t="s">
        <v>416</v>
      </c>
      <c r="M71" s="11"/>
    </row>
    <row r="72" spans="2:14" ht="68">
      <c r="B72" s="21" t="s">
        <v>32</v>
      </c>
      <c r="C72" s="21" t="s">
        <v>32</v>
      </c>
      <c r="D72" s="21" t="s">
        <v>151</v>
      </c>
      <c r="E72" s="21" t="s">
        <v>324</v>
      </c>
      <c r="F72" s="21" t="s">
        <v>75</v>
      </c>
      <c r="G72" s="21" t="s">
        <v>383</v>
      </c>
      <c r="H72" s="21" t="s">
        <v>417</v>
      </c>
      <c r="M72" s="11"/>
    </row>
    <row r="73" spans="2:14" ht="102">
      <c r="B73" s="19" t="s">
        <v>33</v>
      </c>
      <c r="C73" s="19" t="s">
        <v>33</v>
      </c>
      <c r="D73" s="19" t="s">
        <v>152</v>
      </c>
      <c r="E73" s="28" t="s">
        <v>323</v>
      </c>
      <c r="F73" s="19" t="s">
        <v>76</v>
      </c>
      <c r="G73" s="19" t="s">
        <v>384</v>
      </c>
      <c r="H73" s="19" t="s">
        <v>418</v>
      </c>
      <c r="M73" s="11"/>
    </row>
    <row r="74" spans="2:14" ht="68">
      <c r="B74" s="19" t="s">
        <v>354</v>
      </c>
      <c r="C74" s="19" t="s">
        <v>354</v>
      </c>
      <c r="D74" s="19" t="s">
        <v>355</v>
      </c>
      <c r="E74" s="28" t="s">
        <v>632</v>
      </c>
      <c r="F74" s="19" t="s">
        <v>385</v>
      </c>
      <c r="G74" s="19" t="s">
        <v>389</v>
      </c>
      <c r="H74" s="19" t="s">
        <v>633</v>
      </c>
      <c r="M74" s="11"/>
    </row>
    <row r="75" spans="2:14" ht="51">
      <c r="B75" s="19" t="s">
        <v>34</v>
      </c>
      <c r="C75" s="19" t="s">
        <v>34</v>
      </c>
      <c r="D75" s="19" t="s">
        <v>153</v>
      </c>
      <c r="E75" s="19" t="s">
        <v>580</v>
      </c>
      <c r="F75" s="19" t="s">
        <v>77</v>
      </c>
      <c r="G75" s="19" t="s">
        <v>388</v>
      </c>
      <c r="H75" s="19" t="s">
        <v>574</v>
      </c>
      <c r="M75" s="11"/>
    </row>
    <row r="76" spans="2:14" ht="51">
      <c r="B76" s="19" t="s">
        <v>35</v>
      </c>
      <c r="C76" s="19" t="s">
        <v>35</v>
      </c>
      <c r="D76" s="19" t="s">
        <v>154</v>
      </c>
      <c r="E76" s="19" t="s">
        <v>549</v>
      </c>
      <c r="F76" s="19" t="s">
        <v>78</v>
      </c>
      <c r="G76" s="19" t="s">
        <v>387</v>
      </c>
      <c r="H76" s="19" t="s">
        <v>550</v>
      </c>
      <c r="M76" s="11"/>
    </row>
    <row r="77" spans="2:14" ht="51">
      <c r="B77" s="19" t="s">
        <v>36</v>
      </c>
      <c r="C77" s="19" t="s">
        <v>36</v>
      </c>
      <c r="D77" s="19" t="s">
        <v>155</v>
      </c>
      <c r="E77" s="19" t="s">
        <v>601</v>
      </c>
      <c r="F77" s="19" t="s">
        <v>79</v>
      </c>
      <c r="G77" s="19" t="s">
        <v>525</v>
      </c>
      <c r="H77" s="19" t="s">
        <v>419</v>
      </c>
      <c r="M77" s="11"/>
    </row>
    <row r="78" spans="2:14" ht="17">
      <c r="B78" s="19" t="s">
        <v>37</v>
      </c>
      <c r="C78" s="19" t="s">
        <v>37</v>
      </c>
      <c r="D78" s="19" t="s">
        <v>156</v>
      </c>
      <c r="E78" s="19"/>
      <c r="F78" s="19" t="s">
        <v>80</v>
      </c>
      <c r="G78" s="19" t="s">
        <v>386</v>
      </c>
      <c r="H78" s="19"/>
      <c r="M78" s="11"/>
    </row>
    <row r="79" spans="2:14" ht="17" thickBot="1">
      <c r="B79" s="20"/>
      <c r="C79" s="20"/>
      <c r="D79" s="20"/>
      <c r="E79" s="20"/>
      <c r="F79" s="20"/>
      <c r="G79" s="20"/>
      <c r="H79" s="20"/>
      <c r="M79" s="11"/>
    </row>
    <row r="80" spans="2:14" ht="18" thickBot="1">
      <c r="B80" s="36" t="s">
        <v>526</v>
      </c>
      <c r="C80" s="42" t="s">
        <v>200</v>
      </c>
      <c r="D80" s="8" t="s">
        <v>219</v>
      </c>
      <c r="E80" s="20"/>
      <c r="F80" s="20"/>
      <c r="K80" s="11"/>
    </row>
    <row r="81" spans="2:14" ht="34">
      <c r="B81" s="47" t="s">
        <v>553</v>
      </c>
      <c r="C81" s="59" t="s">
        <v>554</v>
      </c>
      <c r="D81" s="59" t="s">
        <v>555</v>
      </c>
      <c r="E81" s="20"/>
      <c r="F81" s="20"/>
      <c r="K81" s="11"/>
    </row>
    <row r="82" spans="2:14" ht="51">
      <c r="B82" s="18" t="s">
        <v>527</v>
      </c>
      <c r="C82" s="29" t="s">
        <v>528</v>
      </c>
      <c r="D82" s="6" t="s">
        <v>529</v>
      </c>
      <c r="E82" s="20"/>
      <c r="F82" s="20"/>
      <c r="K82" s="11"/>
    </row>
    <row r="83" spans="2:14" ht="51">
      <c r="B83" s="18" t="s">
        <v>534</v>
      </c>
      <c r="C83" s="29" t="s">
        <v>642</v>
      </c>
      <c r="D83" s="6" t="s">
        <v>643</v>
      </c>
      <c r="E83" s="20"/>
      <c r="F83" s="20"/>
      <c r="K83" s="11"/>
    </row>
    <row r="84" spans="2:14" ht="85">
      <c r="B84" s="18" t="s">
        <v>604</v>
      </c>
      <c r="C84" s="29" t="s">
        <v>605</v>
      </c>
      <c r="D84" s="29" t="s">
        <v>606</v>
      </c>
      <c r="E84" s="20"/>
      <c r="F84" s="20"/>
      <c r="K84" s="11"/>
    </row>
    <row r="85" spans="2:14" ht="17" thickBot="1">
      <c r="B85" s="20"/>
      <c r="C85" s="20"/>
      <c r="D85" s="20"/>
      <c r="E85" s="20"/>
      <c r="F85" s="20"/>
      <c r="G85" s="20"/>
      <c r="H85" s="20"/>
      <c r="M85" s="11"/>
    </row>
    <row r="86" spans="2:14" ht="18" thickBot="1">
      <c r="B86" s="36" t="s">
        <v>45</v>
      </c>
      <c r="C86" s="42" t="s">
        <v>200</v>
      </c>
      <c r="D86" s="8" t="s">
        <v>177</v>
      </c>
      <c r="E86" s="42" t="s">
        <v>420</v>
      </c>
      <c r="F86" s="8" t="s">
        <v>382</v>
      </c>
      <c r="L86" s="11"/>
      <c r="M86" s="11"/>
      <c r="N86" s="11"/>
    </row>
    <row r="87" spans="2:14" ht="51">
      <c r="B87" s="17" t="s">
        <v>46</v>
      </c>
      <c r="C87" s="12" t="s">
        <v>654</v>
      </c>
      <c r="D87" s="4" t="s">
        <v>264</v>
      </c>
      <c r="E87" s="12" t="s">
        <v>656</v>
      </c>
      <c r="F87" s="4" t="s">
        <v>552</v>
      </c>
      <c r="L87" s="11"/>
      <c r="M87" s="11"/>
      <c r="N87" s="11"/>
    </row>
    <row r="88" spans="2:14" ht="102">
      <c r="B88" s="17" t="s">
        <v>47</v>
      </c>
      <c r="C88" s="13" t="s">
        <v>653</v>
      </c>
      <c r="D88" s="13" t="s">
        <v>265</v>
      </c>
      <c r="E88" s="13" t="s">
        <v>657</v>
      </c>
      <c r="F88" s="13" t="s">
        <v>551</v>
      </c>
      <c r="L88" s="11"/>
      <c r="M88" s="11"/>
      <c r="N88" s="11"/>
    </row>
    <row r="89" spans="2:14" ht="51">
      <c r="B89" s="18" t="s">
        <v>48</v>
      </c>
      <c r="C89" s="13" t="s">
        <v>655</v>
      </c>
      <c r="D89" s="13" t="s">
        <v>325</v>
      </c>
      <c r="E89" s="5" t="s">
        <v>658</v>
      </c>
      <c r="F89" s="13" t="s">
        <v>421</v>
      </c>
      <c r="L89" s="11"/>
      <c r="M89" s="11"/>
      <c r="N89" s="11"/>
    </row>
    <row r="90" spans="2:14" ht="17" thickBot="1">
      <c r="B90" s="38"/>
      <c r="K90" s="11"/>
      <c r="L90" s="11"/>
      <c r="M90" s="11"/>
    </row>
    <row r="91" spans="2:14" ht="18" thickBot="1">
      <c r="B91" s="36" t="s">
        <v>49</v>
      </c>
      <c r="C91" s="8" t="s">
        <v>200</v>
      </c>
      <c r="D91" s="8" t="s">
        <v>219</v>
      </c>
      <c r="K91" s="11"/>
      <c r="L91" s="11"/>
      <c r="M91" s="11"/>
    </row>
    <row r="92" spans="2:14" ht="51">
      <c r="B92" s="43" t="s">
        <v>50</v>
      </c>
      <c r="C92" s="21" t="s">
        <v>326</v>
      </c>
      <c r="D92" s="21" t="s">
        <v>486</v>
      </c>
      <c r="K92" s="11"/>
      <c r="L92" s="11"/>
      <c r="M92" s="11"/>
    </row>
    <row r="93" spans="2:14" ht="34">
      <c r="B93" s="28" t="s">
        <v>51</v>
      </c>
      <c r="C93" s="19" t="s">
        <v>211</v>
      </c>
      <c r="D93" s="19" t="s">
        <v>487</v>
      </c>
      <c r="L93" s="11"/>
      <c r="M93" s="11"/>
      <c r="N93" s="11"/>
    </row>
    <row r="94" spans="2:14" ht="17" thickBot="1">
      <c r="B94" s="38"/>
      <c r="C94" s="10"/>
      <c r="L94" s="11"/>
      <c r="M94" s="11"/>
      <c r="N94" s="11"/>
    </row>
    <row r="95" spans="2:14" ht="18" thickBot="1">
      <c r="B95" s="36" t="s">
        <v>212</v>
      </c>
      <c r="C95" s="8" t="s">
        <v>200</v>
      </c>
      <c r="D95" s="8" t="s">
        <v>219</v>
      </c>
      <c r="L95" s="11"/>
      <c r="M95" s="11"/>
      <c r="N95" s="11"/>
    </row>
    <row r="96" spans="2:14" ht="85">
      <c r="B96" s="17" t="s">
        <v>50</v>
      </c>
      <c r="C96" s="21" t="s">
        <v>266</v>
      </c>
      <c r="D96" s="21" t="s">
        <v>425</v>
      </c>
      <c r="L96" s="11"/>
      <c r="M96" s="11"/>
      <c r="N96" s="11"/>
    </row>
    <row r="97" spans="1:14" ht="17" thickBot="1">
      <c r="B97" s="26"/>
      <c r="C97" s="9"/>
      <c r="D97" s="11"/>
      <c r="L97" s="11"/>
      <c r="M97" s="11"/>
      <c r="N97" s="11"/>
    </row>
    <row r="98" spans="1:14" ht="18" thickBot="1">
      <c r="B98" s="36" t="s">
        <v>224</v>
      </c>
      <c r="C98" s="8" t="s">
        <v>200</v>
      </c>
      <c r="D98" s="8" t="s">
        <v>200</v>
      </c>
      <c r="L98" s="11"/>
      <c r="M98" s="11"/>
      <c r="N98" s="11"/>
    </row>
    <row r="99" spans="1:14" ht="68">
      <c r="B99" s="17" t="s">
        <v>575</v>
      </c>
      <c r="C99" s="21" t="s">
        <v>576</v>
      </c>
      <c r="D99" s="21" t="s">
        <v>426</v>
      </c>
      <c r="L99" s="11"/>
      <c r="M99" s="11"/>
      <c r="N99" s="11"/>
    </row>
    <row r="100" spans="1:14" ht="51">
      <c r="B100" s="17" t="s">
        <v>634</v>
      </c>
      <c r="C100" s="21" t="s">
        <v>635</v>
      </c>
      <c r="D100" s="21" t="s">
        <v>636</v>
      </c>
      <c r="L100" s="11"/>
      <c r="M100" s="11"/>
      <c r="N100" s="11"/>
    </row>
    <row r="101" spans="1:14" ht="68">
      <c r="B101" s="17" t="s">
        <v>224</v>
      </c>
      <c r="C101" s="21" t="s">
        <v>225</v>
      </c>
      <c r="D101" s="21" t="s">
        <v>426</v>
      </c>
      <c r="L101" s="11"/>
      <c r="M101" s="11"/>
      <c r="N101" s="11"/>
    </row>
    <row r="102" spans="1:14" ht="17" thickBot="1">
      <c r="B102" s="38"/>
      <c r="L102" s="11"/>
      <c r="M102" s="11"/>
      <c r="N102" s="11"/>
    </row>
    <row r="103" spans="1:14" ht="18" thickBot="1">
      <c r="A103" s="11"/>
      <c r="B103" s="36" t="s">
        <v>52</v>
      </c>
      <c r="C103" s="8" t="s">
        <v>200</v>
      </c>
      <c r="D103" s="8" t="s">
        <v>219</v>
      </c>
      <c r="E103" s="11"/>
      <c r="F103" s="11"/>
      <c r="G103" s="11"/>
      <c r="H103" s="11"/>
      <c r="I103" s="11"/>
      <c r="J103" s="11"/>
      <c r="K103" s="11"/>
      <c r="L103" s="11"/>
      <c r="M103" s="11"/>
      <c r="N103" s="11"/>
    </row>
    <row r="104" spans="1:14" ht="51">
      <c r="A104" s="11"/>
      <c r="B104" s="17" t="s">
        <v>53</v>
      </c>
      <c r="C104" s="12" t="s">
        <v>619</v>
      </c>
      <c r="D104" s="12" t="s">
        <v>427</v>
      </c>
      <c r="E104" s="11"/>
      <c r="F104" s="11"/>
      <c r="G104" s="11"/>
      <c r="H104" s="11"/>
      <c r="I104" s="11"/>
      <c r="J104" s="11"/>
      <c r="K104" s="11"/>
      <c r="L104" s="11"/>
      <c r="M104" s="11"/>
      <c r="N104" s="11"/>
    </row>
    <row r="105" spans="1:14" ht="68">
      <c r="A105" s="11"/>
      <c r="B105" s="18" t="s">
        <v>54</v>
      </c>
      <c r="C105" s="13" t="s">
        <v>620</v>
      </c>
      <c r="D105" s="13" t="s">
        <v>428</v>
      </c>
      <c r="E105" s="11"/>
      <c r="F105" s="11"/>
      <c r="G105" s="11"/>
      <c r="H105" s="11"/>
      <c r="I105" s="11"/>
      <c r="J105" s="11"/>
      <c r="K105" s="11"/>
      <c r="L105" s="11"/>
      <c r="M105" s="11"/>
      <c r="N105" s="11"/>
    </row>
    <row r="106" spans="1:14" ht="68">
      <c r="A106" s="11"/>
      <c r="B106" s="18" t="s">
        <v>55</v>
      </c>
      <c r="C106" s="29" t="s">
        <v>621</v>
      </c>
      <c r="D106" s="29" t="s">
        <v>429</v>
      </c>
      <c r="E106" s="11"/>
      <c r="F106" s="11"/>
      <c r="G106" s="11"/>
      <c r="H106" s="11"/>
      <c r="I106" s="11"/>
      <c r="J106" s="11"/>
      <c r="L106" s="11"/>
      <c r="M106" s="11"/>
      <c r="N106" s="11"/>
    </row>
    <row r="107" spans="1:14" ht="68">
      <c r="A107" s="11"/>
      <c r="B107" s="18" t="s">
        <v>56</v>
      </c>
      <c r="C107" s="29" t="s">
        <v>622</v>
      </c>
      <c r="D107" s="29" t="s">
        <v>430</v>
      </c>
      <c r="E107" s="11"/>
      <c r="F107" s="11"/>
      <c r="G107" s="11"/>
      <c r="H107" s="11"/>
      <c r="I107" s="11"/>
      <c r="J107" s="11"/>
      <c r="L107" s="11"/>
      <c r="M107" s="11"/>
      <c r="N107" s="11"/>
    </row>
    <row r="108" spans="1:14" ht="34">
      <c r="A108" s="11"/>
      <c r="B108" s="18" t="s">
        <v>566</v>
      </c>
      <c r="C108" s="29" t="s">
        <v>567</v>
      </c>
      <c r="D108" s="29" t="s">
        <v>568</v>
      </c>
      <c r="E108" s="11"/>
      <c r="F108" s="11"/>
      <c r="G108" s="11"/>
      <c r="H108" s="11"/>
      <c r="I108" s="11"/>
      <c r="J108" s="11"/>
      <c r="L108" s="11"/>
      <c r="M108" s="11"/>
      <c r="N108" s="11"/>
    </row>
    <row r="109" spans="1:14" ht="34">
      <c r="A109" s="11"/>
      <c r="B109" s="18" t="s">
        <v>556</v>
      </c>
      <c r="C109" s="29" t="s">
        <v>569</v>
      </c>
      <c r="D109" s="29" t="s">
        <v>570</v>
      </c>
      <c r="E109" s="11"/>
      <c r="F109" s="11"/>
      <c r="G109" s="11"/>
      <c r="H109" s="11"/>
      <c r="I109" s="11"/>
      <c r="J109" s="11"/>
      <c r="L109" s="11"/>
      <c r="M109" s="11"/>
      <c r="N109" s="11"/>
    </row>
    <row r="110" spans="1:14" ht="51">
      <c r="A110" s="11"/>
      <c r="B110" s="18" t="s">
        <v>589</v>
      </c>
      <c r="C110" s="13" t="s">
        <v>598</v>
      </c>
      <c r="D110" s="13" t="s">
        <v>599</v>
      </c>
      <c r="E110" s="11"/>
      <c r="F110" s="11"/>
      <c r="G110" s="11"/>
      <c r="H110" s="11"/>
      <c r="I110" s="11"/>
      <c r="J110" s="11"/>
      <c r="K110" s="9"/>
      <c r="L110" s="11"/>
      <c r="M110" s="11"/>
      <c r="N110" s="11"/>
    </row>
    <row r="111" spans="1:14" ht="51">
      <c r="A111" s="11"/>
      <c r="B111" s="18" t="s">
        <v>591</v>
      </c>
      <c r="C111" s="13" t="s">
        <v>597</v>
      </c>
      <c r="D111" s="13" t="s">
        <v>596</v>
      </c>
      <c r="E111" s="11"/>
      <c r="F111" s="11"/>
      <c r="G111" s="11"/>
      <c r="H111" s="11"/>
      <c r="I111" s="11"/>
      <c r="J111" s="11"/>
      <c r="K111" s="9"/>
      <c r="L111" s="11"/>
      <c r="M111" s="11"/>
      <c r="N111" s="11"/>
    </row>
    <row r="112" spans="1:14" ht="51">
      <c r="A112" s="11"/>
      <c r="B112" s="18" t="s">
        <v>590</v>
      </c>
      <c r="C112" s="13" t="s">
        <v>595</v>
      </c>
      <c r="D112" s="13" t="s">
        <v>600</v>
      </c>
      <c r="E112" s="11"/>
      <c r="F112" s="11"/>
      <c r="G112" s="11"/>
      <c r="H112" s="11"/>
      <c r="I112" s="11"/>
      <c r="J112" s="11"/>
      <c r="K112" s="9"/>
      <c r="L112" s="11"/>
      <c r="M112" s="11"/>
      <c r="N112" s="11"/>
    </row>
    <row r="113" spans="1:14" ht="85">
      <c r="A113" s="11"/>
      <c r="B113" s="18" t="s">
        <v>637</v>
      </c>
      <c r="C113" s="13" t="s">
        <v>638</v>
      </c>
      <c r="D113" s="13" t="s">
        <v>639</v>
      </c>
      <c r="E113" s="11"/>
      <c r="F113" s="11"/>
      <c r="G113" s="11"/>
      <c r="H113" s="11"/>
      <c r="I113" s="11"/>
      <c r="J113" s="11"/>
      <c r="K113" s="9"/>
      <c r="L113" s="11"/>
      <c r="M113" s="11"/>
      <c r="N113" s="11"/>
    </row>
    <row r="114" spans="1:14" ht="85">
      <c r="A114" s="11"/>
      <c r="B114" s="18" t="s">
        <v>57</v>
      </c>
      <c r="C114" s="29" t="s">
        <v>213</v>
      </c>
      <c r="D114" s="29" t="s">
        <v>431</v>
      </c>
      <c r="E114" s="11"/>
      <c r="F114" s="11"/>
      <c r="G114" s="11"/>
      <c r="H114" s="11"/>
      <c r="I114" s="11"/>
      <c r="J114" s="11"/>
      <c r="K114" s="44"/>
      <c r="L114" s="11"/>
      <c r="M114" s="11"/>
      <c r="N114" s="11"/>
    </row>
    <row r="115" spans="1:14" ht="17" thickBot="1">
      <c r="A115" s="11"/>
      <c r="B115" s="38"/>
      <c r="C115" s="11"/>
      <c r="E115" s="11"/>
      <c r="F115" s="11"/>
      <c r="G115" s="11"/>
      <c r="H115" s="11"/>
      <c r="I115" s="11"/>
      <c r="J115" s="11"/>
      <c r="K115" s="11"/>
      <c r="L115" s="11"/>
      <c r="M115" s="11"/>
      <c r="N115" s="11"/>
    </row>
    <row r="116" spans="1:14" ht="18" thickBot="1">
      <c r="A116" s="11"/>
      <c r="B116" s="36" t="s">
        <v>61</v>
      </c>
      <c r="C116" s="8" t="s">
        <v>200</v>
      </c>
      <c r="D116" s="8" t="s">
        <v>219</v>
      </c>
      <c r="E116" s="11"/>
      <c r="F116" s="11"/>
      <c r="G116" s="11"/>
      <c r="H116" s="11"/>
      <c r="I116" s="11"/>
      <c r="J116" s="11"/>
      <c r="K116" s="11"/>
      <c r="L116" s="11"/>
      <c r="M116" s="11"/>
      <c r="N116" s="11"/>
    </row>
    <row r="117" spans="1:14" ht="68">
      <c r="A117" s="11"/>
      <c r="B117" s="17" t="s">
        <v>50</v>
      </c>
      <c r="C117" s="12" t="s">
        <v>214</v>
      </c>
      <c r="D117" s="12" t="s">
        <v>432</v>
      </c>
      <c r="E117" s="11"/>
      <c r="F117" s="11"/>
      <c r="G117" s="11"/>
      <c r="H117" s="11"/>
      <c r="I117" s="11"/>
      <c r="J117" s="11"/>
      <c r="K117" s="11"/>
      <c r="L117" s="11"/>
      <c r="M117" s="11"/>
      <c r="N117" s="11"/>
    </row>
    <row r="118" spans="1:14" ht="17" thickBot="1">
      <c r="A118" s="11"/>
      <c r="B118" s="38"/>
      <c r="C118" s="14"/>
      <c r="E118" s="11"/>
      <c r="F118" s="11"/>
      <c r="G118" s="11"/>
      <c r="H118" s="11"/>
      <c r="I118" s="11"/>
      <c r="J118" s="11"/>
      <c r="K118" s="11"/>
      <c r="L118" s="11"/>
      <c r="M118" s="11"/>
      <c r="N118" s="11"/>
    </row>
    <row r="119" spans="1:14" ht="18" thickBot="1">
      <c r="A119" s="11"/>
      <c r="B119" s="36" t="s">
        <v>69</v>
      </c>
      <c r="C119" s="15" t="s">
        <v>200</v>
      </c>
      <c r="D119" s="15" t="s">
        <v>219</v>
      </c>
      <c r="E119" s="11"/>
      <c r="F119" s="11"/>
      <c r="G119" s="11"/>
      <c r="H119" s="11"/>
      <c r="I119" s="11"/>
      <c r="J119" s="11"/>
      <c r="K119" s="11"/>
      <c r="L119" s="11"/>
      <c r="M119" s="11"/>
      <c r="N119" s="11"/>
    </row>
    <row r="120" spans="1:14" ht="34">
      <c r="A120" s="11"/>
      <c r="B120" s="17" t="s">
        <v>51</v>
      </c>
      <c r="C120" s="12" t="s">
        <v>220</v>
      </c>
      <c r="D120" s="12" t="s">
        <v>433</v>
      </c>
      <c r="E120" s="11"/>
      <c r="F120" s="11"/>
      <c r="G120" s="11"/>
      <c r="H120" s="11"/>
      <c r="I120" s="11"/>
      <c r="J120" s="11"/>
      <c r="K120" s="11"/>
      <c r="L120" s="11"/>
      <c r="M120" s="11"/>
      <c r="N120" s="11"/>
    </row>
    <row r="121" spans="1:14" ht="34">
      <c r="A121" s="11"/>
      <c r="B121" s="18" t="s">
        <v>60</v>
      </c>
      <c r="C121" s="19" t="s">
        <v>267</v>
      </c>
      <c r="D121" s="19" t="s">
        <v>434</v>
      </c>
      <c r="E121" s="11"/>
      <c r="F121" s="11"/>
      <c r="G121" s="11"/>
      <c r="H121" s="11"/>
      <c r="I121" s="11"/>
      <c r="J121" s="11"/>
      <c r="K121" s="11"/>
      <c r="L121" s="11"/>
      <c r="M121" s="11"/>
      <c r="N121" s="11"/>
    </row>
    <row r="122" spans="1:14" ht="34">
      <c r="A122" s="11"/>
      <c r="B122" s="18" t="s">
        <v>70</v>
      </c>
      <c r="C122" s="13" t="s">
        <v>268</v>
      </c>
      <c r="D122" s="13" t="s">
        <v>435</v>
      </c>
      <c r="E122" s="11"/>
      <c r="F122" s="11"/>
      <c r="G122" s="11"/>
      <c r="H122" s="11"/>
      <c r="I122" s="11"/>
      <c r="J122" s="11"/>
      <c r="K122" s="11"/>
      <c r="L122" s="11"/>
      <c r="M122" s="11"/>
      <c r="N122" s="11"/>
    </row>
    <row r="123" spans="1:14" ht="51">
      <c r="A123" s="11"/>
      <c r="B123" s="18" t="s">
        <v>71</v>
      </c>
      <c r="C123" s="19" t="s">
        <v>269</v>
      </c>
      <c r="D123" s="19" t="s">
        <v>436</v>
      </c>
      <c r="E123" s="11"/>
      <c r="F123" s="11"/>
      <c r="G123" s="11"/>
      <c r="H123" s="11"/>
      <c r="I123" s="11"/>
      <c r="J123" s="11"/>
      <c r="K123" s="11"/>
      <c r="L123" s="11"/>
      <c r="M123" s="11"/>
      <c r="N123" s="11"/>
    </row>
    <row r="124" spans="1:14" ht="34">
      <c r="A124" s="11"/>
      <c r="B124" s="18" t="s">
        <v>221</v>
      </c>
      <c r="C124" s="13" t="s">
        <v>222</v>
      </c>
      <c r="D124" s="13" t="s">
        <v>437</v>
      </c>
      <c r="E124" s="11"/>
      <c r="F124" s="11"/>
      <c r="G124" s="11"/>
      <c r="H124" s="11"/>
      <c r="I124" s="11"/>
      <c r="J124" s="11"/>
      <c r="K124" s="11"/>
      <c r="L124" s="11"/>
      <c r="M124" s="11"/>
      <c r="N124" s="11"/>
    </row>
    <row r="125" spans="1:14" ht="34">
      <c r="A125" s="11"/>
      <c r="B125" s="18" t="s">
        <v>223</v>
      </c>
      <c r="C125" s="19" t="s">
        <v>270</v>
      </c>
      <c r="D125" s="19" t="s">
        <v>438</v>
      </c>
      <c r="E125" s="11"/>
      <c r="F125" s="11"/>
      <c r="G125" s="11"/>
      <c r="H125" s="11"/>
      <c r="I125" s="11"/>
      <c r="J125" s="11"/>
      <c r="K125" s="11"/>
      <c r="L125" s="11"/>
      <c r="M125" s="11"/>
      <c r="N125" s="11"/>
    </row>
    <row r="126" spans="1:14" ht="51">
      <c r="A126" s="11"/>
      <c r="B126" s="18" t="s">
        <v>604</v>
      </c>
      <c r="C126" s="19" t="s">
        <v>607</v>
      </c>
      <c r="D126" s="19" t="s">
        <v>608</v>
      </c>
      <c r="E126" s="11"/>
      <c r="F126" s="11"/>
      <c r="G126" s="11"/>
      <c r="H126" s="11"/>
      <c r="I126" s="11"/>
      <c r="J126" s="11"/>
      <c r="K126" s="11"/>
      <c r="L126" s="11"/>
      <c r="M126" s="11"/>
      <c r="N126" s="11"/>
    </row>
    <row r="127" spans="1:14" ht="34">
      <c r="A127" s="11"/>
      <c r="B127" s="18" t="s">
        <v>640</v>
      </c>
      <c r="C127" s="19" t="s">
        <v>652</v>
      </c>
      <c r="D127" s="19" t="s">
        <v>641</v>
      </c>
      <c r="E127" s="11"/>
      <c r="F127" s="11"/>
      <c r="G127" s="11"/>
      <c r="H127" s="11"/>
      <c r="I127" s="11"/>
      <c r="J127" s="11"/>
      <c r="K127" s="11"/>
      <c r="L127" s="11"/>
      <c r="M127" s="11"/>
      <c r="N127" s="11"/>
    </row>
    <row r="128" spans="1:14" ht="51">
      <c r="A128" s="11"/>
      <c r="B128" s="18" t="s">
        <v>245</v>
      </c>
      <c r="C128" s="19" t="s">
        <v>246</v>
      </c>
      <c r="D128" s="19" t="s">
        <v>439</v>
      </c>
      <c r="E128" s="11"/>
      <c r="F128" s="11"/>
      <c r="G128" s="11"/>
      <c r="H128" s="11"/>
      <c r="I128" s="11"/>
      <c r="J128" s="11"/>
      <c r="K128" s="11"/>
      <c r="L128" s="11"/>
      <c r="M128" s="11"/>
      <c r="N128" s="11"/>
    </row>
    <row r="129" spans="1:14" ht="17" thickBot="1">
      <c r="A129" s="11"/>
      <c r="B129" s="26"/>
      <c r="C129" s="20"/>
      <c r="E129" s="11"/>
      <c r="F129" s="11"/>
      <c r="G129" s="11"/>
      <c r="H129" s="11"/>
      <c r="I129" s="11"/>
      <c r="J129" s="11"/>
      <c r="K129" s="11"/>
      <c r="L129" s="11"/>
      <c r="M129" s="11"/>
      <c r="N129" s="11"/>
    </row>
    <row r="130" spans="1:14" ht="18" thickBot="1">
      <c r="A130" s="11"/>
      <c r="B130" s="36" t="s">
        <v>583</v>
      </c>
      <c r="C130" s="8" t="s">
        <v>200</v>
      </c>
      <c r="D130" s="8" t="s">
        <v>219</v>
      </c>
      <c r="E130" s="11"/>
      <c r="F130" s="11"/>
      <c r="G130" s="11"/>
      <c r="H130" s="11"/>
      <c r="I130" s="11"/>
      <c r="J130" s="11"/>
      <c r="K130" s="11"/>
      <c r="L130" s="11"/>
      <c r="M130" s="11"/>
      <c r="N130" s="11"/>
    </row>
    <row r="131" spans="1:14" ht="35" thickBot="1">
      <c r="A131" s="11"/>
      <c r="B131" s="17" t="s">
        <v>571</v>
      </c>
      <c r="C131" s="22" t="s">
        <v>573</v>
      </c>
      <c r="D131" s="22" t="s">
        <v>586</v>
      </c>
      <c r="E131" s="11"/>
      <c r="F131" s="11"/>
      <c r="G131" s="11"/>
      <c r="H131" s="11"/>
      <c r="I131" s="11"/>
      <c r="J131" s="11"/>
      <c r="K131" s="11"/>
      <c r="L131" s="11"/>
      <c r="M131" s="11"/>
      <c r="N131" s="11"/>
    </row>
    <row r="132" spans="1:14" ht="52" thickBot="1">
      <c r="A132" s="11"/>
      <c r="B132" s="17" t="s">
        <v>584</v>
      </c>
      <c r="C132" s="22" t="s">
        <v>585</v>
      </c>
      <c r="D132" s="22" t="s">
        <v>588</v>
      </c>
      <c r="E132" s="11"/>
      <c r="F132" s="11"/>
      <c r="G132" s="11"/>
      <c r="H132" s="11"/>
      <c r="I132" s="11"/>
      <c r="J132" s="11"/>
      <c r="K132" s="11"/>
      <c r="L132" s="11"/>
      <c r="M132" s="11"/>
      <c r="N132" s="11"/>
    </row>
    <row r="133" spans="1:14" ht="34">
      <c r="A133" s="11"/>
      <c r="B133" s="17" t="s">
        <v>572</v>
      </c>
      <c r="C133" s="22" t="s">
        <v>230</v>
      </c>
      <c r="D133" s="22" t="s">
        <v>587</v>
      </c>
      <c r="E133" s="11"/>
      <c r="F133" s="11"/>
      <c r="G133" s="11"/>
      <c r="H133" s="11"/>
      <c r="I133" s="11"/>
      <c r="J133" s="11"/>
      <c r="K133" s="11"/>
      <c r="L133" s="11"/>
      <c r="M133" s="11"/>
      <c r="N133" s="11"/>
    </row>
    <row r="134" spans="1:14" ht="17" thickBot="1">
      <c r="A134" s="11"/>
      <c r="B134" s="26"/>
      <c r="C134" s="30"/>
      <c r="E134" s="11"/>
      <c r="F134" s="11"/>
      <c r="G134" s="11"/>
      <c r="H134" s="11"/>
      <c r="I134" s="11"/>
      <c r="J134" s="11"/>
      <c r="K134" s="11"/>
      <c r="L134" s="11"/>
      <c r="M134" s="11"/>
      <c r="N134" s="11"/>
    </row>
    <row r="135" spans="1:14" ht="18" thickBot="1">
      <c r="A135" s="11"/>
      <c r="B135" s="36" t="s">
        <v>343</v>
      </c>
      <c r="C135" s="8" t="s">
        <v>200</v>
      </c>
      <c r="D135" s="8" t="s">
        <v>219</v>
      </c>
      <c r="E135" s="11"/>
      <c r="F135" s="11"/>
      <c r="G135" s="11"/>
      <c r="H135" s="11"/>
      <c r="I135" s="11"/>
      <c r="J135" s="11"/>
      <c r="K135" s="11"/>
      <c r="L135" s="11"/>
      <c r="M135" s="11"/>
      <c r="N135" s="11"/>
    </row>
    <row r="136" spans="1:14" ht="17">
      <c r="A136" s="11"/>
      <c r="B136" s="17" t="s">
        <v>50</v>
      </c>
      <c r="C136" s="22" t="s">
        <v>344</v>
      </c>
      <c r="D136" s="22" t="s">
        <v>440</v>
      </c>
      <c r="E136" s="11"/>
      <c r="F136" s="11"/>
      <c r="G136" s="11"/>
      <c r="H136" s="11"/>
      <c r="I136" s="11"/>
      <c r="J136" s="11"/>
      <c r="K136" s="11"/>
      <c r="L136" s="11"/>
      <c r="M136" s="11"/>
      <c r="N136" s="11"/>
    </row>
    <row r="137" spans="1:14" ht="17" thickBot="1">
      <c r="A137" s="11"/>
      <c r="D137" s="11"/>
      <c r="E137" s="11"/>
      <c r="F137" s="11"/>
      <c r="G137" s="11"/>
      <c r="H137" s="11"/>
      <c r="I137" s="11"/>
      <c r="J137" s="11"/>
      <c r="K137" s="11"/>
      <c r="L137" s="11"/>
    </row>
    <row r="138" spans="1:14" ht="18" thickBot="1">
      <c r="A138" s="11"/>
      <c r="B138" s="36" t="s">
        <v>58</v>
      </c>
      <c r="C138" s="24" t="s">
        <v>200</v>
      </c>
      <c r="D138" s="16" t="s">
        <v>441</v>
      </c>
      <c r="E138" s="24" t="s">
        <v>420</v>
      </c>
      <c r="F138" s="16" t="s">
        <v>442</v>
      </c>
      <c r="G138" s="11"/>
      <c r="H138" s="11"/>
      <c r="I138" s="11"/>
      <c r="J138" s="11"/>
      <c r="K138" s="11"/>
      <c r="L138" s="11"/>
    </row>
    <row r="139" spans="1:14" ht="51">
      <c r="A139" s="11"/>
      <c r="B139" s="17" t="s">
        <v>60</v>
      </c>
      <c r="C139" s="17" t="s">
        <v>244</v>
      </c>
      <c r="D139" s="17" t="s">
        <v>294</v>
      </c>
      <c r="E139" s="17" t="s">
        <v>443</v>
      </c>
      <c r="F139" s="17" t="s">
        <v>453</v>
      </c>
      <c r="G139" s="11"/>
      <c r="H139" s="11"/>
      <c r="I139" s="11"/>
      <c r="J139" s="11"/>
      <c r="K139" s="11"/>
      <c r="L139" s="11"/>
    </row>
    <row r="140" spans="1:14" ht="102">
      <c r="A140" s="11"/>
      <c r="B140" s="17" t="s">
        <v>62</v>
      </c>
      <c r="C140" s="18" t="s">
        <v>227</v>
      </c>
      <c r="D140" s="18" t="s">
        <v>295</v>
      </c>
      <c r="E140" s="18" t="s">
        <v>444</v>
      </c>
      <c r="F140" s="18" t="s">
        <v>454</v>
      </c>
      <c r="G140" s="11"/>
      <c r="H140" s="11"/>
      <c r="I140" s="11"/>
      <c r="J140" s="11"/>
      <c r="K140" s="11"/>
      <c r="L140" s="11"/>
    </row>
    <row r="141" spans="1:14" ht="51">
      <c r="A141" s="11"/>
      <c r="B141" s="17" t="s">
        <v>557</v>
      </c>
      <c r="C141" s="18" t="s">
        <v>228</v>
      </c>
      <c r="D141" s="18" t="s">
        <v>538</v>
      </c>
      <c r="E141" s="18" t="s">
        <v>445</v>
      </c>
      <c r="F141" s="18" t="s">
        <v>545</v>
      </c>
      <c r="G141" s="11"/>
      <c r="H141" s="11"/>
      <c r="I141" s="11"/>
      <c r="J141" s="11"/>
      <c r="K141" s="11"/>
      <c r="L141" s="11"/>
    </row>
    <row r="142" spans="1:14" ht="51">
      <c r="A142" s="11"/>
      <c r="B142" s="46" t="s">
        <v>561</v>
      </c>
      <c r="C142" s="18" t="s">
        <v>558</v>
      </c>
      <c r="D142" s="18" t="s">
        <v>559</v>
      </c>
      <c r="E142" s="18" t="s">
        <v>560</v>
      </c>
      <c r="F142" s="18" t="s">
        <v>564</v>
      </c>
      <c r="G142" s="11"/>
      <c r="H142" s="11"/>
      <c r="I142" s="11"/>
      <c r="J142" s="11"/>
      <c r="K142" s="11"/>
      <c r="L142" s="11"/>
    </row>
    <row r="143" spans="1:14" ht="102">
      <c r="A143" s="11"/>
      <c r="B143" s="25" t="s">
        <v>236</v>
      </c>
      <c r="C143" s="18" t="s">
        <v>235</v>
      </c>
      <c r="D143" s="18" t="s">
        <v>295</v>
      </c>
      <c r="E143" s="18" t="s">
        <v>446</v>
      </c>
      <c r="F143" s="18" t="s">
        <v>454</v>
      </c>
      <c r="G143" s="11"/>
      <c r="H143" s="11"/>
      <c r="I143" s="11"/>
      <c r="J143" s="11"/>
      <c r="K143" s="11"/>
      <c r="L143" s="11"/>
    </row>
    <row r="144" spans="1:14" ht="68">
      <c r="A144" s="11"/>
      <c r="B144" s="18" t="s">
        <v>592</v>
      </c>
      <c r="C144" s="18" t="s">
        <v>593</v>
      </c>
      <c r="D144" s="18" t="s">
        <v>295</v>
      </c>
      <c r="E144" s="18" t="s">
        <v>594</v>
      </c>
      <c r="F144" s="18" t="s">
        <v>454</v>
      </c>
      <c r="G144" s="11"/>
      <c r="H144" s="11"/>
      <c r="I144" s="11"/>
      <c r="J144" s="11"/>
      <c r="K144" s="11"/>
      <c r="L144" s="11"/>
    </row>
    <row r="145" spans="1:12" ht="68">
      <c r="A145" s="11"/>
      <c r="B145" s="18" t="s">
        <v>234</v>
      </c>
      <c r="C145" s="18" t="s">
        <v>238</v>
      </c>
      <c r="D145" s="18" t="s">
        <v>295</v>
      </c>
      <c r="E145" s="18" t="s">
        <v>447</v>
      </c>
      <c r="F145" s="18" t="s">
        <v>454</v>
      </c>
      <c r="G145" s="11"/>
      <c r="H145" s="11"/>
      <c r="I145" s="11"/>
      <c r="J145" s="11"/>
      <c r="K145" s="11"/>
      <c r="L145" s="11"/>
    </row>
    <row r="146" spans="1:12" ht="51">
      <c r="A146" s="11"/>
      <c r="B146" s="17" t="s">
        <v>237</v>
      </c>
      <c r="C146" s="18" t="s">
        <v>239</v>
      </c>
      <c r="D146" s="18" t="s">
        <v>295</v>
      </c>
      <c r="E146" s="18" t="s">
        <v>448</v>
      </c>
      <c r="F146" s="18" t="s">
        <v>454</v>
      </c>
      <c r="G146" s="11"/>
      <c r="H146" s="11"/>
      <c r="I146" s="11"/>
      <c r="J146" s="11"/>
      <c r="K146" s="11"/>
      <c r="L146" s="11"/>
    </row>
    <row r="147" spans="1:12" ht="51">
      <c r="B147" s="17" t="s">
        <v>231</v>
      </c>
      <c r="C147" s="18" t="s">
        <v>232</v>
      </c>
      <c r="D147" s="18" t="s">
        <v>539</v>
      </c>
      <c r="E147" s="18" t="s">
        <v>449</v>
      </c>
      <c r="F147" s="18" t="s">
        <v>543</v>
      </c>
      <c r="G147" s="11"/>
      <c r="H147" s="11"/>
      <c r="I147" s="11"/>
      <c r="J147" s="11"/>
      <c r="K147" s="11"/>
      <c r="L147" s="11"/>
    </row>
    <row r="148" spans="1:12" ht="51">
      <c r="B148" s="17" t="s">
        <v>64</v>
      </c>
      <c r="C148" s="18" t="s">
        <v>233</v>
      </c>
      <c r="D148" s="18" t="s">
        <v>540</v>
      </c>
      <c r="E148" s="18" t="s">
        <v>450</v>
      </c>
      <c r="F148" s="18" t="s">
        <v>544</v>
      </c>
      <c r="H148" s="11"/>
      <c r="I148" s="11"/>
      <c r="J148" s="11"/>
      <c r="K148" s="11"/>
      <c r="L148" s="11"/>
    </row>
    <row r="149" spans="1:12" ht="68">
      <c r="B149" s="17" t="s">
        <v>626</v>
      </c>
      <c r="C149" s="18" t="s">
        <v>629</v>
      </c>
      <c r="D149" s="18" t="s">
        <v>627</v>
      </c>
      <c r="E149" s="18" t="s">
        <v>630</v>
      </c>
      <c r="F149" s="18" t="s">
        <v>628</v>
      </c>
      <c r="H149" s="11"/>
      <c r="I149" s="11"/>
      <c r="J149" s="11"/>
      <c r="K149" s="11"/>
      <c r="L149" s="11"/>
    </row>
    <row r="150" spans="1:12" ht="51">
      <c r="B150" s="23" t="s">
        <v>63</v>
      </c>
      <c r="C150" s="23" t="s">
        <v>358</v>
      </c>
      <c r="D150" s="18" t="s">
        <v>541</v>
      </c>
      <c r="E150" s="23" t="s">
        <v>451</v>
      </c>
      <c r="F150" s="18" t="s">
        <v>542</v>
      </c>
    </row>
    <row r="151" spans="1:12" ht="51">
      <c r="B151" s="23" t="s">
        <v>577</v>
      </c>
      <c r="C151" s="23" t="s">
        <v>578</v>
      </c>
      <c r="D151" s="18" t="s">
        <v>541</v>
      </c>
      <c r="E151" s="23" t="s">
        <v>579</v>
      </c>
      <c r="F151" s="18" t="s">
        <v>542</v>
      </c>
    </row>
    <row r="152" spans="1:12" ht="51">
      <c r="B152" s="23" t="s">
        <v>296</v>
      </c>
      <c r="C152" s="23" t="s">
        <v>297</v>
      </c>
      <c r="D152" s="13" t="s">
        <v>298</v>
      </c>
      <c r="E152" s="23" t="s">
        <v>452</v>
      </c>
      <c r="F152" s="13" t="s">
        <v>565</v>
      </c>
    </row>
    <row r="153" spans="1:12" ht="17" thickBot="1">
      <c r="B153" s="53"/>
      <c r="C153" s="53"/>
      <c r="D153" s="30"/>
    </row>
    <row r="154" spans="1:12" ht="18" thickBot="1">
      <c r="B154" s="36" t="s">
        <v>345</v>
      </c>
      <c r="C154" s="16" t="s">
        <v>200</v>
      </c>
      <c r="D154" s="16" t="s">
        <v>219</v>
      </c>
    </row>
    <row r="155" spans="1:12" ht="68">
      <c r="B155" s="47" t="s">
        <v>50</v>
      </c>
      <c r="C155" s="22" t="s">
        <v>346</v>
      </c>
      <c r="D155" s="22" t="s">
        <v>455</v>
      </c>
    </row>
    <row r="156" spans="1:12" ht="17" thickBot="1">
      <c r="B156" s="26"/>
      <c r="C156" s="30"/>
      <c r="D156" s="30"/>
    </row>
    <row r="157" spans="1:12" ht="18" thickBot="1">
      <c r="B157" s="36" t="s">
        <v>514</v>
      </c>
      <c r="C157" s="16" t="s">
        <v>200</v>
      </c>
      <c r="D157" s="16" t="s">
        <v>219</v>
      </c>
    </row>
    <row r="158" spans="1:12" ht="34">
      <c r="B158" s="47" t="s">
        <v>50</v>
      </c>
      <c r="C158" s="22" t="s">
        <v>515</v>
      </c>
      <c r="D158" s="22" t="s">
        <v>516</v>
      </c>
    </row>
    <row r="159" spans="1:12" ht="17" thickBot="1"/>
    <row r="160" spans="1:12" ht="18" thickBot="1">
      <c r="B160" s="36" t="s">
        <v>65</v>
      </c>
      <c r="C160" s="16" t="s">
        <v>200</v>
      </c>
      <c r="D160" s="16" t="s">
        <v>219</v>
      </c>
    </row>
    <row r="161" spans="2:6" ht="102">
      <c r="B161" s="17" t="s">
        <v>66</v>
      </c>
      <c r="C161" s="22" t="s">
        <v>241</v>
      </c>
      <c r="D161" s="22" t="s">
        <v>507</v>
      </c>
      <c r="E161" s="11"/>
      <c r="F161" s="38"/>
    </row>
    <row r="162" spans="2:6" ht="34">
      <c r="B162" s="17" t="s">
        <v>63</v>
      </c>
      <c r="C162" s="18" t="s">
        <v>517</v>
      </c>
      <c r="D162" s="18" t="s">
        <v>456</v>
      </c>
      <c r="E162" s="11"/>
      <c r="F162" s="45"/>
    </row>
    <row r="163" spans="2:6" ht="34">
      <c r="B163" s="17" t="s">
        <v>561</v>
      </c>
      <c r="C163" s="18" t="s">
        <v>562</v>
      </c>
      <c r="D163" s="18" t="s">
        <v>563</v>
      </c>
      <c r="E163" s="11"/>
      <c r="F163" s="45"/>
    </row>
    <row r="164" spans="2:6" ht="17">
      <c r="B164" s="17" t="s">
        <v>67</v>
      </c>
      <c r="C164" s="19" t="s">
        <v>271</v>
      </c>
      <c r="D164" s="19" t="s">
        <v>457</v>
      </c>
      <c r="F164" s="26"/>
    </row>
    <row r="165" spans="2:6" ht="51">
      <c r="B165" s="17" t="s">
        <v>609</v>
      </c>
      <c r="C165" s="19" t="s">
        <v>615</v>
      </c>
      <c r="D165" s="19" t="s">
        <v>616</v>
      </c>
      <c r="F165" s="26"/>
    </row>
    <row r="166" spans="2:6" ht="34">
      <c r="B166" s="18" t="s">
        <v>242</v>
      </c>
      <c r="C166" s="18" t="s">
        <v>243</v>
      </c>
      <c r="D166" s="18" t="s">
        <v>458</v>
      </c>
      <c r="F166" s="26"/>
    </row>
    <row r="167" spans="2:6" ht="17" thickBot="1">
      <c r="B167" s="26"/>
      <c r="C167" s="26"/>
      <c r="F167" s="26"/>
    </row>
    <row r="168" spans="2:6" ht="18" thickBot="1">
      <c r="B168" s="36" t="s">
        <v>631</v>
      </c>
      <c r="C168" s="16" t="s">
        <v>200</v>
      </c>
      <c r="D168" s="16" t="s">
        <v>219</v>
      </c>
      <c r="F168" s="26"/>
    </row>
    <row r="169" spans="2:6" ht="34">
      <c r="B169" s="47" t="s">
        <v>623</v>
      </c>
      <c r="C169" s="70" t="s">
        <v>624</v>
      </c>
      <c r="D169" s="70" t="s">
        <v>625</v>
      </c>
      <c r="F169" s="26"/>
    </row>
    <row r="170" spans="2:6" ht="102">
      <c r="B170" s="17" t="s">
        <v>68</v>
      </c>
      <c r="C170" s="12" t="s">
        <v>247</v>
      </c>
      <c r="D170" s="12" t="s">
        <v>459</v>
      </c>
      <c r="F170" s="26"/>
    </row>
    <row r="171" spans="2:6" ht="17" thickBot="1">
      <c r="B171" s="26"/>
      <c r="C171" s="30"/>
      <c r="F171" s="26"/>
    </row>
    <row r="172" spans="2:6" ht="18" thickBot="1">
      <c r="B172" s="36" t="s">
        <v>250</v>
      </c>
      <c r="C172" s="16" t="s">
        <v>200</v>
      </c>
      <c r="D172" s="16" t="s">
        <v>200</v>
      </c>
      <c r="F172" s="45"/>
    </row>
    <row r="173" spans="2:6" ht="51">
      <c r="B173" s="47" t="s">
        <v>50</v>
      </c>
      <c r="C173" s="22" t="s">
        <v>518</v>
      </c>
      <c r="D173" s="22" t="s">
        <v>460</v>
      </c>
      <c r="F173" s="26"/>
    </row>
    <row r="174" spans="2:6" ht="17" thickBot="1">
      <c r="B174" s="26"/>
      <c r="C174" s="30"/>
      <c r="F174" s="26"/>
    </row>
    <row r="175" spans="2:6" ht="18" thickBot="1">
      <c r="B175" s="36" t="s">
        <v>273</v>
      </c>
      <c r="C175" s="16" t="s">
        <v>200</v>
      </c>
      <c r="D175" s="16" t="s">
        <v>200</v>
      </c>
      <c r="F175" s="26"/>
    </row>
    <row r="176" spans="2:6" ht="34">
      <c r="B176" s="17" t="s">
        <v>274</v>
      </c>
      <c r="C176" s="12" t="s">
        <v>249</v>
      </c>
      <c r="D176" s="12" t="s">
        <v>461</v>
      </c>
      <c r="F176" s="26"/>
    </row>
    <row r="177" spans="2:6" ht="17">
      <c r="B177" s="17" t="s">
        <v>644</v>
      </c>
      <c r="C177" s="12" t="s">
        <v>645</v>
      </c>
      <c r="D177" s="12" t="s">
        <v>646</v>
      </c>
      <c r="F177" s="26"/>
    </row>
    <row r="178" spans="2:6" ht="102">
      <c r="B178" s="17" t="s">
        <v>604</v>
      </c>
      <c r="C178" s="12" t="s">
        <v>617</v>
      </c>
      <c r="D178" s="12" t="s">
        <v>618</v>
      </c>
      <c r="F178" s="26"/>
    </row>
    <row r="179" spans="2:6" ht="34">
      <c r="B179" s="18" t="s">
        <v>65</v>
      </c>
      <c r="C179" s="13" t="s">
        <v>275</v>
      </c>
      <c r="D179" s="13" t="s">
        <v>462</v>
      </c>
      <c r="F179" s="26"/>
    </row>
    <row r="180" spans="2:6" ht="17" thickBot="1">
      <c r="B180" s="26"/>
      <c r="C180" s="26"/>
      <c r="F180" s="26"/>
    </row>
    <row r="181" spans="2:6" ht="18" thickBot="1">
      <c r="B181" s="36" t="s">
        <v>72</v>
      </c>
      <c r="C181" s="16" t="s">
        <v>200</v>
      </c>
      <c r="D181" s="16" t="s">
        <v>441</v>
      </c>
      <c r="E181" s="16" t="s">
        <v>420</v>
      </c>
      <c r="F181" s="16" t="s">
        <v>442</v>
      </c>
    </row>
    <row r="182" spans="2:6" ht="86" thickBot="1">
      <c r="B182" s="46" t="s">
        <v>253</v>
      </c>
      <c r="C182" s="27" t="s">
        <v>347</v>
      </c>
      <c r="D182" s="27" t="s">
        <v>351</v>
      </c>
      <c r="E182" s="27" t="s">
        <v>463</v>
      </c>
      <c r="F182" s="27" t="s">
        <v>581</v>
      </c>
    </row>
    <row r="183" spans="2:6" ht="85">
      <c r="B183" s="25" t="s">
        <v>9</v>
      </c>
      <c r="C183" s="27" t="s">
        <v>347</v>
      </c>
      <c r="D183" s="27" t="s">
        <v>351</v>
      </c>
      <c r="E183" s="27" t="s">
        <v>463</v>
      </c>
      <c r="F183" s="27" t="s">
        <v>581</v>
      </c>
    </row>
    <row r="184" spans="2:6" ht="34">
      <c r="B184" s="18" t="s">
        <v>348</v>
      </c>
      <c r="C184" s="13" t="s">
        <v>349</v>
      </c>
      <c r="D184" s="13" t="s">
        <v>350</v>
      </c>
      <c r="E184" s="13" t="s">
        <v>464</v>
      </c>
      <c r="F184" s="13" t="s">
        <v>582</v>
      </c>
    </row>
    <row r="185" spans="2:6" ht="68">
      <c r="B185" s="17" t="s">
        <v>522</v>
      </c>
      <c r="C185" s="13" t="s">
        <v>523</v>
      </c>
      <c r="D185" s="13" t="s">
        <v>293</v>
      </c>
      <c r="E185" s="13" t="s">
        <v>524</v>
      </c>
      <c r="F185" s="13" t="s">
        <v>468</v>
      </c>
    </row>
    <row r="186" spans="2:6" ht="34">
      <c r="B186" s="17" t="s">
        <v>254</v>
      </c>
      <c r="C186" s="18" t="s">
        <v>602</v>
      </c>
      <c r="D186" s="13" t="s">
        <v>293</v>
      </c>
      <c r="E186" s="18" t="s">
        <v>465</v>
      </c>
      <c r="F186" s="13" t="s">
        <v>468</v>
      </c>
    </row>
    <row r="187" spans="2:6" ht="34">
      <c r="B187" s="18" t="s">
        <v>352</v>
      </c>
      <c r="C187" s="18" t="s">
        <v>353</v>
      </c>
      <c r="D187" s="13" t="s">
        <v>293</v>
      </c>
      <c r="E187" s="18" t="s">
        <v>466</v>
      </c>
      <c r="F187" s="13" t="s">
        <v>468</v>
      </c>
    </row>
    <row r="188" spans="2:6" ht="34">
      <c r="B188" s="18" t="s">
        <v>546</v>
      </c>
      <c r="C188" s="18" t="s">
        <v>547</v>
      </c>
      <c r="D188" s="13" t="s">
        <v>293</v>
      </c>
      <c r="E188" s="18" t="s">
        <v>548</v>
      </c>
      <c r="F188" s="13" t="s">
        <v>468</v>
      </c>
    </row>
    <row r="189" spans="2:6" ht="119">
      <c r="B189" s="18" t="s">
        <v>610</v>
      </c>
      <c r="C189" s="18" t="s">
        <v>611</v>
      </c>
      <c r="D189" s="13" t="s">
        <v>613</v>
      </c>
      <c r="E189" s="18" t="s">
        <v>612</v>
      </c>
      <c r="F189" s="13" t="s">
        <v>614</v>
      </c>
    </row>
    <row r="190" spans="2:6" ht="34">
      <c r="B190" s="18" t="s">
        <v>291</v>
      </c>
      <c r="C190" s="13" t="s">
        <v>292</v>
      </c>
      <c r="D190" s="13" t="s">
        <v>293</v>
      </c>
      <c r="E190" s="13" t="s">
        <v>467</v>
      </c>
      <c r="F190" s="13" t="s">
        <v>468</v>
      </c>
    </row>
    <row r="191" spans="2:6" ht="17" thickBot="1">
      <c r="B191" s="38"/>
      <c r="C191" s="38"/>
      <c r="D191" s="38"/>
      <c r="E191" s="38"/>
    </row>
    <row r="192" spans="2:6" ht="18" thickBot="1">
      <c r="B192" s="36" t="s">
        <v>74</v>
      </c>
      <c r="C192" s="16" t="s">
        <v>200</v>
      </c>
      <c r="D192" s="16" t="s">
        <v>470</v>
      </c>
      <c r="E192" s="16" t="s">
        <v>420</v>
      </c>
      <c r="F192" s="16" t="s">
        <v>469</v>
      </c>
    </row>
    <row r="193" spans="2:6" ht="51">
      <c r="B193" s="48" t="s">
        <v>50</v>
      </c>
      <c r="C193" s="27" t="s">
        <v>272</v>
      </c>
      <c r="D193" s="27" t="s">
        <v>286</v>
      </c>
      <c r="E193" s="27" t="s">
        <v>471</v>
      </c>
      <c r="F193" s="27" t="s">
        <v>473</v>
      </c>
    </row>
    <row r="194" spans="2:6" ht="102">
      <c r="B194" s="18" t="s">
        <v>287</v>
      </c>
      <c r="C194" s="13" t="s">
        <v>342</v>
      </c>
      <c r="D194" s="13" t="s">
        <v>288</v>
      </c>
      <c r="E194" s="13" t="s">
        <v>472</v>
      </c>
      <c r="F194" s="13" t="s">
        <v>474</v>
      </c>
    </row>
    <row r="195" spans="2:6" ht="17" thickBot="1"/>
    <row r="196" spans="2:6" ht="18" thickBot="1">
      <c r="B196" s="36" t="s">
        <v>73</v>
      </c>
      <c r="C196" s="16" t="s">
        <v>200</v>
      </c>
      <c r="D196" s="16" t="s">
        <v>219</v>
      </c>
    </row>
    <row r="197" spans="2:6" ht="34">
      <c r="B197" s="17" t="s">
        <v>256</v>
      </c>
      <c r="C197" s="22" t="s">
        <v>258</v>
      </c>
      <c r="D197" s="22" t="s">
        <v>475</v>
      </c>
    </row>
    <row r="198" spans="2:6" ht="51">
      <c r="B198" s="17" t="s">
        <v>257</v>
      </c>
      <c r="C198" s="18" t="s">
        <v>359</v>
      </c>
      <c r="D198" s="18" t="s">
        <v>476</v>
      </c>
    </row>
    <row r="199" spans="2:6" ht="34">
      <c r="B199" s="17" t="s">
        <v>259</v>
      </c>
      <c r="C199" s="19" t="s">
        <v>260</v>
      </c>
      <c r="D199" s="19" t="s">
        <v>477</v>
      </c>
    </row>
    <row r="200" spans="2:6" ht="118" customHeight="1">
      <c r="B200" s="18" t="s">
        <v>261</v>
      </c>
      <c r="C200" s="18" t="s">
        <v>262</v>
      </c>
      <c r="D200" s="18" t="s">
        <v>478</v>
      </c>
    </row>
    <row r="201" spans="2:6" ht="17" thickBot="1"/>
    <row r="202" spans="2:6" ht="18" thickBot="1">
      <c r="B202" s="36" t="s">
        <v>263</v>
      </c>
      <c r="C202" s="16" t="s">
        <v>200</v>
      </c>
      <c r="D202" s="16" t="s">
        <v>219</v>
      </c>
    </row>
    <row r="203" spans="2:6" ht="34">
      <c r="B203" s="47" t="s">
        <v>50</v>
      </c>
      <c r="C203" s="22" t="s">
        <v>533</v>
      </c>
      <c r="D203" s="22" t="s">
        <v>479</v>
      </c>
    </row>
    <row r="204" spans="2:6" ht="17" thickBot="1"/>
    <row r="205" spans="2:6" ht="18" thickBot="1">
      <c r="B205" s="36" t="s">
        <v>276</v>
      </c>
      <c r="C205" s="16" t="s">
        <v>200</v>
      </c>
      <c r="D205" s="16" t="s">
        <v>219</v>
      </c>
    </row>
    <row r="206" spans="2:6" ht="51">
      <c r="B206" s="48" t="s">
        <v>647</v>
      </c>
      <c r="C206" s="27" t="s">
        <v>277</v>
      </c>
      <c r="D206" s="27" t="s">
        <v>480</v>
      </c>
    </row>
    <row r="207" spans="2:6" ht="102">
      <c r="B207" s="18" t="s">
        <v>340</v>
      </c>
      <c r="C207" s="13" t="s">
        <v>341</v>
      </c>
      <c r="D207" s="13" t="s">
        <v>481</v>
      </c>
    </row>
    <row r="208" spans="2:6" ht="51">
      <c r="B208" s="18" t="s">
        <v>530</v>
      </c>
      <c r="C208" s="13" t="s">
        <v>531</v>
      </c>
      <c r="D208" s="13" t="s">
        <v>532</v>
      </c>
    </row>
    <row r="209" spans="2:4" ht="17" thickBot="1"/>
    <row r="210" spans="2:4" ht="18" thickBot="1">
      <c r="B210" s="36" t="s">
        <v>279</v>
      </c>
      <c r="C210" s="16" t="s">
        <v>200</v>
      </c>
      <c r="D210" s="16" t="s">
        <v>219</v>
      </c>
    </row>
    <row r="211" spans="2:4" ht="34">
      <c r="B211" s="47" t="s">
        <v>50</v>
      </c>
      <c r="C211" s="22" t="s">
        <v>281</v>
      </c>
      <c r="D211" s="22" t="s">
        <v>482</v>
      </c>
    </row>
    <row r="212" spans="2:4" ht="17" thickBot="1"/>
    <row r="213" spans="2:4" ht="18" thickBot="1">
      <c r="B213" s="36" t="s">
        <v>300</v>
      </c>
      <c r="C213" s="16" t="s">
        <v>200</v>
      </c>
      <c r="D213" s="16" t="s">
        <v>219</v>
      </c>
    </row>
    <row r="214" spans="2:4" ht="34">
      <c r="B214" s="17" t="s">
        <v>46</v>
      </c>
      <c r="C214" s="22" t="s">
        <v>305</v>
      </c>
      <c r="D214" s="22" t="s">
        <v>483</v>
      </c>
    </row>
    <row r="215" spans="2:4" ht="34">
      <c r="B215" s="17" t="s">
        <v>301</v>
      </c>
      <c r="C215" s="18" t="s">
        <v>303</v>
      </c>
      <c r="D215" s="18" t="s">
        <v>484</v>
      </c>
    </row>
    <row r="216" spans="2:4" ht="34">
      <c r="B216" s="17" t="s">
        <v>302</v>
      </c>
      <c r="C216" s="19" t="s">
        <v>304</v>
      </c>
      <c r="D216" s="19" t="s">
        <v>485</v>
      </c>
    </row>
  </sheetData>
  <sortState xmlns:xlrd2="http://schemas.microsoft.com/office/spreadsheetml/2017/richdata2" ref="B24:B31">
    <sortCondition ref="B22"/>
  </sortState>
  <phoneticPr fontId="4"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Feuilles de calcul</vt:lpstr>
      </vt:variant>
      <vt:variant>
        <vt:i4>4</vt:i4>
      </vt:variant>
      <vt:variant>
        <vt:lpstr>Plages nommées</vt:lpstr>
      </vt:variant>
      <vt:variant>
        <vt:i4>103</vt:i4>
      </vt:variant>
    </vt:vector>
  </HeadingPairs>
  <TitlesOfParts>
    <vt:vector size="107" baseType="lpstr">
      <vt:lpstr>Caractéristiques</vt:lpstr>
      <vt:lpstr>Fiche FR</vt:lpstr>
      <vt:lpstr>Fiche EN</vt:lpstr>
      <vt:lpstr>Config</vt:lpstr>
      <vt:lpstr>Absence_de_couture</vt:lpstr>
      <vt:lpstr>Avant_extensible</vt:lpstr>
      <vt:lpstr>Bout_protection</vt:lpstr>
      <vt:lpstr>Contrefort</vt:lpstr>
      <vt:lpstr>Couleur</vt:lpstr>
      <vt:lpstr>Dessus</vt:lpstr>
      <vt:lpstr>Doublure</vt:lpstr>
      <vt:lpstr>Fermeture</vt:lpstr>
      <vt:lpstr>Genre</vt:lpstr>
      <vt:lpstr>Grande_pointure</vt:lpstr>
      <vt:lpstr>Haut_de_tige</vt:lpstr>
      <vt:lpstr>L_Volume_variable</vt:lpstr>
      <vt:lpstr>Largeur</vt:lpstr>
      <vt:lpstr>M_Absence_de_couture</vt:lpstr>
      <vt:lpstr>M_Avant_extensible</vt:lpstr>
      <vt:lpstr>M_Bout_protection</vt:lpstr>
      <vt:lpstr>M_Contrefort</vt:lpstr>
      <vt:lpstr>M_Couleur</vt:lpstr>
      <vt:lpstr>M_Dessus</vt:lpstr>
      <vt:lpstr>M_Doublure</vt:lpstr>
      <vt:lpstr>M_Fermeture</vt:lpstr>
      <vt:lpstr>M_Genre</vt:lpstr>
      <vt:lpstr>M_Grande_pointure</vt:lpstr>
      <vt:lpstr>M_Haut_de_tige</vt:lpstr>
      <vt:lpstr>M_Largeur</vt:lpstr>
      <vt:lpstr>M_Ouverture_totale</vt:lpstr>
      <vt:lpstr>M_Pathologie</vt:lpstr>
      <vt:lpstr>M_Petite_pointure</vt:lpstr>
      <vt:lpstr>M_Phrase_supplémentaire</vt:lpstr>
      <vt:lpstr>M_Pointure</vt:lpstr>
      <vt:lpstr>M_Rembourrage_supplémentaire</vt:lpstr>
      <vt:lpstr>M_Semelle_amovible</vt:lpstr>
      <vt:lpstr>M_Semelle_cousue</vt:lpstr>
      <vt:lpstr>M_Semelle_externe</vt:lpstr>
      <vt:lpstr>M_Semelle_interne</vt:lpstr>
      <vt:lpstr>M_Semelle_technique</vt:lpstr>
      <vt:lpstr>M_Stabilité</vt:lpstr>
      <vt:lpstr>M_Tirette</vt:lpstr>
      <vt:lpstr>M_Traitement_doublure</vt:lpstr>
      <vt:lpstr>M_Type_chaussure</vt:lpstr>
      <vt:lpstr>M_Velcros_coupables</vt:lpstr>
      <vt:lpstr>M_Volume_variable</vt:lpstr>
      <vt:lpstr>M_Waterproof</vt:lpstr>
      <vt:lpstr>Marque</vt:lpstr>
      <vt:lpstr>Ouverture_totale</vt:lpstr>
      <vt:lpstr>Pathologie</vt:lpstr>
      <vt:lpstr>Petite_pointure</vt:lpstr>
      <vt:lpstr>Phrase_supplémentaire</vt:lpstr>
      <vt:lpstr>Pointure</vt:lpstr>
      <vt:lpstr>R_Absence_de_couture</vt:lpstr>
      <vt:lpstr>R_Avant_extensible</vt:lpstr>
      <vt:lpstr>R_Bout_protection</vt:lpstr>
      <vt:lpstr>R_Contrefort</vt:lpstr>
      <vt:lpstr>R_Couleur</vt:lpstr>
      <vt:lpstr>R_Dessus1</vt:lpstr>
      <vt:lpstr>R_Dessus2</vt:lpstr>
      <vt:lpstr>R_Dessus3</vt:lpstr>
      <vt:lpstr>R_Doublure</vt:lpstr>
      <vt:lpstr>R_Fermeture</vt:lpstr>
      <vt:lpstr>R_Genre</vt:lpstr>
      <vt:lpstr>R_Grande_pointure</vt:lpstr>
      <vt:lpstr>R_Haut_de_tige</vt:lpstr>
      <vt:lpstr>R_Hauteur_talon</vt:lpstr>
      <vt:lpstr>R_Largeur</vt:lpstr>
      <vt:lpstr>R_Marque</vt:lpstr>
      <vt:lpstr>R_Modèle</vt:lpstr>
      <vt:lpstr>R_Ouverture_totale</vt:lpstr>
      <vt:lpstr>R_Pathologie1</vt:lpstr>
      <vt:lpstr>R_Pathologie2</vt:lpstr>
      <vt:lpstr>R_Pathologie3</vt:lpstr>
      <vt:lpstr>R_Pathologie4</vt:lpstr>
      <vt:lpstr>R_Pathologie5</vt:lpstr>
      <vt:lpstr>R_Pathologie6</vt:lpstr>
      <vt:lpstr>R_Petite_pointure</vt:lpstr>
      <vt:lpstr>R_Phrase_patho</vt:lpstr>
      <vt:lpstr>R_Phrase_Supplémentaire</vt:lpstr>
      <vt:lpstr>R_Pointure</vt:lpstr>
      <vt:lpstr>R_Rembourrage_supplémentaire</vt:lpstr>
      <vt:lpstr>R_Semelle_amovible</vt:lpstr>
      <vt:lpstr>R_Semelle_cousue</vt:lpstr>
      <vt:lpstr>R_Semelle_externe</vt:lpstr>
      <vt:lpstr>R_Semelle_interne</vt:lpstr>
      <vt:lpstr>R_Semelle_technique</vt:lpstr>
      <vt:lpstr>R_Stabilité</vt:lpstr>
      <vt:lpstr>R_Tirette</vt:lpstr>
      <vt:lpstr>R_Traitement_doublure</vt:lpstr>
      <vt:lpstr>R_Type_chaussure</vt:lpstr>
      <vt:lpstr>R_Velcros_coupables</vt:lpstr>
      <vt:lpstr>R_Volume_variable</vt:lpstr>
      <vt:lpstr>R_Waterproof</vt:lpstr>
      <vt:lpstr>Rembourrage_supplémentaire</vt:lpstr>
      <vt:lpstr>Semelle_amovible</vt:lpstr>
      <vt:lpstr>Semelle_cousue</vt:lpstr>
      <vt:lpstr>Semelle_externe</vt:lpstr>
      <vt:lpstr>Semelle_interne</vt:lpstr>
      <vt:lpstr>Semelle_technique</vt:lpstr>
      <vt:lpstr>Stabilité</vt:lpstr>
      <vt:lpstr>Tirette</vt:lpstr>
      <vt:lpstr>Traitement_doublure</vt:lpstr>
      <vt:lpstr>Type_chaussure</vt:lpstr>
      <vt:lpstr>Velcros_coupables</vt:lpstr>
      <vt:lpstr>Volume_variable</vt:lpstr>
      <vt:lpstr>Waterproof</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Microsoft Office</dc:creator>
  <cp:lastModifiedBy>Microsoft Office User</cp:lastModifiedBy>
  <dcterms:created xsi:type="dcterms:W3CDTF">2020-04-26T14:28:09Z</dcterms:created>
  <dcterms:modified xsi:type="dcterms:W3CDTF">2020-12-14T15:15:43Z</dcterms:modified>
</cp:coreProperties>
</file>