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265" yWindow="75" windowWidth="15480" windowHeight="7545" tabRatio="912" firstSheet="1" activeTab="1"/>
  </bookViews>
  <sheets>
    <sheet name="bain non moussant circulatoire" sheetId="135" state="hidden" r:id="rId1"/>
    <sheet name="Feuil1" sheetId="209" r:id="rId2"/>
  </sheets>
  <externalReferences>
    <externalReference r:id="rId3"/>
    <externalReference r:id="rId4"/>
  </externalReferences>
  <calcPr calcId="125725"/>
</workbook>
</file>

<file path=xl/calcChain.xml><?xml version="1.0" encoding="utf-8"?>
<calcChain xmlns="http://schemas.openxmlformats.org/spreadsheetml/2006/main">
  <c r="E28" i="135"/>
  <c r="F53" l="1"/>
  <c r="J44"/>
  <c r="I44"/>
  <c r="J43"/>
  <c r="I43"/>
  <c r="J42"/>
  <c r="I42"/>
  <c r="F42"/>
  <c r="J41"/>
  <c r="I41"/>
  <c r="J40"/>
  <c r="I40"/>
  <c r="J39"/>
  <c r="I39"/>
  <c r="J38"/>
  <c r="I38"/>
  <c r="J37"/>
  <c r="I37"/>
  <c r="G37"/>
  <c r="J36"/>
  <c r="I36"/>
  <c r="J35"/>
  <c r="I35"/>
  <c r="J34"/>
  <c r="I34"/>
  <c r="F34"/>
  <c r="J33"/>
  <c r="I33"/>
  <c r="J32"/>
  <c r="I32"/>
  <c r="J31"/>
  <c r="I31"/>
  <c r="J30"/>
  <c r="I30"/>
  <c r="J29"/>
  <c r="I29"/>
  <c r="J28"/>
  <c r="I28"/>
  <c r="J27"/>
  <c r="I27"/>
  <c r="J26"/>
  <c r="I26"/>
  <c r="G26"/>
  <c r="F26"/>
  <c r="J25"/>
  <c r="I25"/>
  <c r="G25"/>
  <c r="F25"/>
  <c r="J24"/>
  <c r="G24"/>
  <c r="F24"/>
  <c r="J23"/>
  <c r="C33" s="1"/>
  <c r="F33" s="1"/>
  <c r="G23"/>
  <c r="F23"/>
  <c r="J22"/>
  <c r="G22"/>
  <c r="F22"/>
  <c r="J21"/>
  <c r="G21"/>
  <c r="F21"/>
  <c r="J20"/>
  <c r="G20"/>
  <c r="F20"/>
  <c r="J19"/>
  <c r="G19"/>
  <c r="F19"/>
  <c r="J18"/>
  <c r="G18"/>
  <c r="F18"/>
  <c r="J17"/>
  <c r="G17"/>
  <c r="F17"/>
  <c r="J16"/>
  <c r="G16"/>
  <c r="F16"/>
  <c r="J15"/>
  <c r="G15"/>
  <c r="J14"/>
  <c r="G14"/>
  <c r="J13"/>
  <c r="G13"/>
  <c r="J12"/>
  <c r="D40" s="1"/>
  <c r="F40" s="1"/>
  <c r="G12"/>
  <c r="J11"/>
  <c r="G11"/>
  <c r="J10"/>
  <c r="G10"/>
  <c r="J9"/>
  <c r="G9"/>
  <c r="G8"/>
  <c r="J7"/>
  <c r="K8" s="1"/>
  <c r="J8" s="1"/>
  <c r="G7"/>
  <c r="J6"/>
  <c r="G6"/>
  <c r="J5"/>
  <c r="G5"/>
  <c r="J4"/>
  <c r="J3"/>
  <c r="J2"/>
  <c r="C32" s="1"/>
  <c r="F32" s="1"/>
  <c r="F2"/>
  <c r="F35" l="1"/>
  <c r="D41"/>
  <c r="F41" s="1"/>
  <c r="F43" s="1"/>
  <c r="F30"/>
  <c r="F28"/>
  <c r="F54" l="1"/>
  <c r="A56" s="1"/>
  <c r="E56" s="1"/>
  <c r="C56" l="1"/>
  <c r="G56"/>
  <c r="F56"/>
  <c r="B56"/>
  <c r="D56"/>
  <c r="F9" l="1"/>
  <c r="F14"/>
  <c r="F8"/>
  <c r="F15"/>
  <c r="F10"/>
  <c r="F13" l="1"/>
  <c r="F11"/>
  <c r="F5"/>
  <c r="F7"/>
  <c r="F6"/>
  <c r="F12" l="1"/>
</calcChain>
</file>

<file path=xl/sharedStrings.xml><?xml version="1.0" encoding="utf-8"?>
<sst xmlns="http://schemas.openxmlformats.org/spreadsheetml/2006/main" count="96" uniqueCount="74">
  <si>
    <t>fabrication:</t>
  </si>
  <si>
    <t>date:</t>
  </si>
  <si>
    <t>matiere premiere (inci)</t>
  </si>
  <si>
    <t>qté pour 1L</t>
  </si>
  <si>
    <t>qté voulu:</t>
  </si>
  <si>
    <t>L</t>
  </si>
  <si>
    <t>prix fabrication/L:</t>
  </si>
  <si>
    <t>taux horaire</t>
  </si>
  <si>
    <t>total</t>
  </si>
  <si>
    <t>temps de fabrication(h)</t>
  </si>
  <si>
    <t>numero de lot:</t>
  </si>
  <si>
    <t>description</t>
  </si>
  <si>
    <t>fabrication</t>
  </si>
  <si>
    <t>Conditionnement</t>
  </si>
  <si>
    <t>Volume choisi</t>
  </si>
  <si>
    <t>emballage</t>
  </si>
  <si>
    <t>temps(h)</t>
  </si>
  <si>
    <t>nettoyage</t>
  </si>
  <si>
    <t>pompe</t>
  </si>
  <si>
    <t>opercule</t>
  </si>
  <si>
    <t>bouchon/couvercle</t>
  </si>
  <si>
    <t>etiquette</t>
  </si>
  <si>
    <t>code barre</t>
  </si>
  <si>
    <t>prix/u</t>
  </si>
  <si>
    <t>flacon</t>
  </si>
  <si>
    <t>type de conditionnement</t>
  </si>
  <si>
    <t>modele</t>
  </si>
  <si>
    <t>reducteur</t>
  </si>
  <si>
    <t>bacterio</t>
  </si>
  <si>
    <t>coef 1</t>
  </si>
  <si>
    <t>coef 1,5</t>
  </si>
  <si>
    <t>coef 2</t>
  </si>
  <si>
    <t>coef 3</t>
  </si>
  <si>
    <t>coef 4</t>
  </si>
  <si>
    <t>coef 2,5</t>
  </si>
  <si>
    <t>coef 3,5</t>
  </si>
  <si>
    <t>conditionnement (unitaire)</t>
  </si>
  <si>
    <t>etiquettage (unitaire)</t>
  </si>
  <si>
    <t>qté fabrication (L)</t>
  </si>
  <si>
    <t>transport</t>
  </si>
  <si>
    <t>prix brut/L</t>
  </si>
  <si>
    <t>perte(%):</t>
  </si>
  <si>
    <t>Accéssoires</t>
  </si>
  <si>
    <t>prix MP/l</t>
  </si>
  <si>
    <t>prix quantifié/l</t>
  </si>
  <si>
    <t>% manquant formule:</t>
  </si>
  <si>
    <t>prix brut+perte/L:</t>
  </si>
  <si>
    <t>nombre d'unités</t>
  </si>
  <si>
    <t>prix conditionnement/unité:</t>
  </si>
  <si>
    <t>total accéssoire/unité:</t>
  </si>
  <si>
    <t>euro</t>
  </si>
  <si>
    <t>menthol</t>
  </si>
  <si>
    <t>abiol 50%</t>
  </si>
  <si>
    <t>aqua (eau)</t>
  </si>
  <si>
    <t>rosmarinus officinalis(romarin)</t>
  </si>
  <si>
    <t>malaleuca viridiflora quinquenervia(niaouli)</t>
  </si>
  <si>
    <t>Methylchloroisothiazolinone/methylisothiazolinone benzyl alcohol</t>
  </si>
  <si>
    <t>citrus limonum(citron)</t>
  </si>
  <si>
    <t xml:space="preserve">Dimethicone </t>
  </si>
  <si>
    <t>peg7 glyceril cocoate</t>
  </si>
  <si>
    <t>cupressus sempervirens(cypres)</t>
  </si>
  <si>
    <t>base de temps</t>
  </si>
  <si>
    <t>installation</t>
  </si>
  <si>
    <t>etiquettage</t>
  </si>
  <si>
    <t>moyenne</t>
  </si>
  <si>
    <t>etiqexpress 4,75*4,75</t>
  </si>
  <si>
    <t>franco</t>
  </si>
  <si>
    <t>bain non moussant circulatoire</t>
  </si>
  <si>
    <t>ppg-1-peg-9 lauryl glycol ether</t>
  </si>
  <si>
    <t>flacon 15ml pebd menphis</t>
  </si>
  <si>
    <t>COUVERCLE PP BLANC BAGUE 48</t>
  </si>
  <si>
    <t>reducteur ariete baby 30ml (parispack)</t>
  </si>
  <si>
    <t>qté fabrication (KG)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</si>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</sst>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B0F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92D05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164" fontId="1" fillId="0" borderId="21" xfId="0" applyNumberFormat="1" applyFon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/>
    <xf numFmtId="0" fontId="2" fillId="0" borderId="10" xfId="0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0" borderId="2" xfId="0" applyFont="1" applyBorder="1" applyAlignment="1"/>
    <xf numFmtId="0" fontId="2" fillId="0" borderId="2" xfId="0" applyFont="1" applyBorder="1" applyAlignment="1">
      <alignment horizontal="right" vertical="center"/>
    </xf>
    <xf numFmtId="0" fontId="7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/>
    </xf>
    <xf numFmtId="0" fontId="2" fillId="4" borderId="1" xfId="0" applyFont="1" applyFill="1" applyBorder="1"/>
    <xf numFmtId="0" fontId="2" fillId="4" borderId="2" xfId="0" applyFont="1" applyFill="1" applyBorder="1"/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9" xfId="0" applyFont="1" applyBorder="1"/>
    <xf numFmtId="0" fontId="2" fillId="0" borderId="6" xfId="0" applyFont="1" applyBorder="1" applyAlignment="1">
      <alignment horizontal="center"/>
    </xf>
    <xf numFmtId="0" fontId="7" fillId="3" borderId="1" xfId="0" applyFont="1" applyFill="1" applyBorder="1"/>
    <xf numFmtId="0" fontId="2" fillId="0" borderId="8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horizontal="right"/>
    </xf>
    <xf numFmtId="2" fontId="7" fillId="3" borderId="1" xfId="0" applyNumberFormat="1" applyFont="1" applyFill="1" applyBorder="1" applyAlignment="1">
      <alignment horizontal="right"/>
    </xf>
    <xf numFmtId="0" fontId="5" fillId="6" borderId="23" xfId="0" applyFont="1" applyFill="1" applyBorder="1"/>
    <xf numFmtId="0" fontId="5" fillId="0" borderId="15" xfId="0" applyFont="1" applyBorder="1"/>
    <xf numFmtId="0" fontId="5" fillId="0" borderId="19" xfId="0" applyFont="1" applyBorder="1"/>
    <xf numFmtId="0" fontId="5" fillId="0" borderId="19" xfId="0" applyFont="1" applyBorder="1" applyAlignment="1">
      <alignment horizontal="center"/>
    </xf>
    <xf numFmtId="0" fontId="5" fillId="0" borderId="28" xfId="0" applyFont="1" applyBorder="1"/>
    <xf numFmtId="0" fontId="2" fillId="6" borderId="25" xfId="0" applyFont="1" applyFill="1" applyBorder="1"/>
    <xf numFmtId="0" fontId="2" fillId="0" borderId="26" xfId="0" applyFont="1" applyBorder="1"/>
    <xf numFmtId="0" fontId="2" fillId="0" borderId="26" xfId="0" applyFont="1" applyBorder="1" applyAlignment="1">
      <alignment horizontal="center"/>
    </xf>
    <xf numFmtId="0" fontId="2" fillId="0" borderId="27" xfId="0" applyFont="1" applyBorder="1"/>
    <xf numFmtId="0" fontId="2" fillId="0" borderId="15" xfId="0" applyFont="1" applyBorder="1"/>
    <xf numFmtId="0" fontId="2" fillId="0" borderId="32" xfId="0" applyFont="1" applyBorder="1"/>
    <xf numFmtId="0" fontId="2" fillId="0" borderId="14" xfId="0" applyFont="1" applyBorder="1"/>
    <xf numFmtId="0" fontId="2" fillId="0" borderId="21" xfId="0" applyFont="1" applyBorder="1"/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/>
    <xf numFmtId="0" fontId="2" fillId="0" borderId="17" xfId="0" applyFont="1" applyBorder="1"/>
    <xf numFmtId="0" fontId="2" fillId="0" borderId="34" xfId="0" applyFont="1" applyBorder="1"/>
    <xf numFmtId="0" fontId="2" fillId="0" borderId="35" xfId="0" applyFont="1" applyBorder="1"/>
    <xf numFmtId="0" fontId="2" fillId="0" borderId="36" xfId="0" applyFont="1" applyBorder="1"/>
    <xf numFmtId="0" fontId="2" fillId="0" borderId="37" xfId="0" applyFont="1" applyBorder="1"/>
    <xf numFmtId="0" fontId="2" fillId="0" borderId="38" xfId="0" applyFont="1" applyBorder="1"/>
    <xf numFmtId="0" fontId="2" fillId="2" borderId="32" xfId="0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5" borderId="22" xfId="0" applyFont="1" applyFill="1" applyBorder="1" applyAlignment="1">
      <alignment wrapText="1"/>
    </xf>
    <xf numFmtId="0" fontId="2" fillId="0" borderId="39" xfId="0" applyFont="1" applyBorder="1"/>
    <xf numFmtId="0" fontId="2" fillId="2" borderId="2" xfId="0" applyFont="1" applyFill="1" applyBorder="1"/>
    <xf numFmtId="0" fontId="2" fillId="2" borderId="22" xfId="0" applyFont="1" applyFill="1" applyBorder="1" applyAlignment="1">
      <alignment wrapText="1"/>
    </xf>
    <xf numFmtId="0" fontId="2" fillId="0" borderId="11" xfId="0" applyFont="1" applyBorder="1"/>
    <xf numFmtId="0" fontId="2" fillId="0" borderId="22" xfId="0" applyFont="1" applyBorder="1"/>
    <xf numFmtId="0" fontId="2" fillId="2" borderId="43" xfId="0" applyFont="1" applyFill="1" applyBorder="1" applyAlignment="1">
      <alignment wrapText="1"/>
    </xf>
    <xf numFmtId="0" fontId="2" fillId="7" borderId="15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wrapText="1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left" vertical="center"/>
    </xf>
    <xf numFmtId="0" fontId="2" fillId="7" borderId="1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5" xfId="0" applyFont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8" xfId="0" applyFont="1" applyBorder="1"/>
    <xf numFmtId="0" fontId="2" fillId="7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0" fontId="2" fillId="7" borderId="0" xfId="0" applyFont="1" applyFill="1" applyBorder="1" applyAlignment="1">
      <alignment horizontal="left"/>
    </xf>
    <xf numFmtId="0" fontId="5" fillId="7" borderId="0" xfId="0" applyFont="1" applyFill="1" applyBorder="1"/>
    <xf numFmtId="0" fontId="2" fillId="7" borderId="0" xfId="0" applyFont="1" applyFill="1" applyBorder="1"/>
    <xf numFmtId="0" fontId="2" fillId="0" borderId="2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3" fillId="0" borderId="16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ie%20fournisseu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flacon%20accessoi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i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"/>
    </sheetNames>
    <sheetDataSet>
      <sheetData sheetId="0">
        <row r="2">
          <cell r="A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68"/>
  <dimension ref="A1:Q56"/>
  <sheetViews>
    <sheetView workbookViewId="0">
      <selection activeCell="E29" sqref="E29"/>
    </sheetView>
  </sheetViews>
  <sheetFormatPr baseColWidth="10" defaultRowHeight="15"/>
  <sheetData>
    <row r="1" spans="1:17">
      <c r="A1" s="3"/>
      <c r="B1" s="72"/>
      <c r="C1" s="72"/>
      <c r="D1" s="72"/>
      <c r="E1" s="72"/>
      <c r="F1" s="72"/>
      <c r="G1" s="72"/>
      <c r="H1" s="82"/>
      <c r="I1" s="79" t="s">
        <v>61</v>
      </c>
      <c r="J1" s="55" t="s">
        <v>64</v>
      </c>
    </row>
    <row r="2" spans="1:17" ht="15.75" thickBot="1">
      <c r="A2" s="5" t="s">
        <v>0</v>
      </c>
      <c r="B2" s="133" t="s">
        <v>67</v>
      </c>
      <c r="C2" s="133"/>
      <c r="D2" s="133"/>
      <c r="E2" s="67" t="s">
        <v>1</v>
      </c>
      <c r="F2" s="6">
        <f ca="1">TODAY()</f>
        <v>42403</v>
      </c>
      <c r="G2" s="67"/>
      <c r="H2" s="83"/>
      <c r="I2" s="80" t="s">
        <v>62</v>
      </c>
      <c r="J2" s="56">
        <f>IF(K2&gt;0,AVERAGE(K2:BI2),0)</f>
        <v>0.13300000000000001</v>
      </c>
      <c r="K2" s="54">
        <v>0.13300000000000001</v>
      </c>
      <c r="L2" s="53"/>
      <c r="M2" s="53"/>
      <c r="N2" s="53"/>
      <c r="O2" s="53"/>
      <c r="P2" s="53"/>
      <c r="Q2" s="53"/>
    </row>
    <row r="3" spans="1:17" ht="15.75" thickBot="1">
      <c r="A3" s="117" t="s">
        <v>10</v>
      </c>
      <c r="B3" s="119"/>
      <c r="C3" s="7"/>
      <c r="D3" s="8" t="s">
        <v>4</v>
      </c>
      <c r="E3" s="9">
        <v>50</v>
      </c>
      <c r="F3" s="10" t="s">
        <v>5</v>
      </c>
      <c r="G3" s="13"/>
      <c r="H3" s="23"/>
      <c r="I3" s="84">
        <v>0.03</v>
      </c>
      <c r="J3" s="56">
        <f t="shared" ref="J3:J44" si="0">IF(K3&gt;0,AVERAGE(K3:BI3),0)</f>
        <v>0</v>
      </c>
      <c r="K3" s="57"/>
      <c r="L3" s="70"/>
      <c r="M3" s="14"/>
      <c r="N3" s="15"/>
      <c r="O3" s="15"/>
      <c r="P3" s="53"/>
      <c r="Q3" s="53"/>
    </row>
    <row r="4" spans="1:17">
      <c r="A4" s="120" t="s">
        <v>2</v>
      </c>
      <c r="B4" s="121"/>
      <c r="C4" s="134"/>
      <c r="D4" s="11" t="s">
        <v>43</v>
      </c>
      <c r="E4" s="11" t="s">
        <v>3</v>
      </c>
      <c r="F4" s="11" t="s">
        <v>44</v>
      </c>
      <c r="G4" s="13" t="s">
        <v>38</v>
      </c>
      <c r="H4" s="38" t="s">
        <v>72</v>
      </c>
      <c r="I4" s="84">
        <v>0.05</v>
      </c>
      <c r="J4" s="56">
        <f t="shared" si="0"/>
        <v>0</v>
      </c>
      <c r="K4" s="57"/>
      <c r="L4" s="70"/>
      <c r="M4" s="14"/>
      <c r="N4" s="15"/>
      <c r="O4" s="15"/>
      <c r="P4" s="53"/>
      <c r="Q4" s="53"/>
    </row>
    <row r="5" spans="1:17">
      <c r="A5" s="125" t="s">
        <v>52</v>
      </c>
      <c r="B5" s="126"/>
      <c r="C5" s="127"/>
      <c r="D5" s="14">
        <v>9.9738750000000014</v>
      </c>
      <c r="E5" s="1">
        <v>3.0000000000000001E-3</v>
      </c>
      <c r="F5" s="15">
        <f>IF(D5=" "," ",$E5*$D5)</f>
        <v>2.9921625000000004E-2</v>
      </c>
      <c r="G5" s="74">
        <f t="shared" ref="G5:G26" si="1">$E5*$E$3*(1+$F$29/100)</f>
        <v>0.1575</v>
      </c>
      <c r="H5" s="70">
        <v>0.20396249999999999</v>
      </c>
      <c r="I5" s="84">
        <v>0.06</v>
      </c>
      <c r="J5" s="56">
        <f t="shared" si="0"/>
        <v>0</v>
      </c>
      <c r="K5" s="57"/>
      <c r="L5" s="70"/>
      <c r="M5" s="14"/>
      <c r="N5" s="15"/>
      <c r="O5" s="15"/>
      <c r="P5" s="53"/>
      <c r="Q5" s="53"/>
    </row>
    <row r="6" spans="1:17">
      <c r="A6" s="125" t="s">
        <v>53</v>
      </c>
      <c r="B6" s="126"/>
      <c r="C6" s="127"/>
      <c r="D6" s="14">
        <v>0.06</v>
      </c>
      <c r="E6" s="1">
        <v>0.33550000000000002</v>
      </c>
      <c r="F6" s="15">
        <f t="shared" ref="F6:F26" si="2">IF(D6=" "," ",$E6*$D6)</f>
        <v>2.0130000000000002E-2</v>
      </c>
      <c r="G6" s="74">
        <f t="shared" si="1"/>
        <v>17.613750000000003</v>
      </c>
      <c r="H6" s="70">
        <v>17.613750000000003</v>
      </c>
      <c r="I6" s="84">
        <v>0.1</v>
      </c>
      <c r="J6" s="56">
        <f t="shared" si="0"/>
        <v>0</v>
      </c>
      <c r="K6" s="57"/>
      <c r="L6" s="70"/>
      <c r="M6" s="14"/>
      <c r="N6" s="15"/>
      <c r="O6" s="15"/>
      <c r="P6" s="53"/>
      <c r="Q6" s="53"/>
    </row>
    <row r="7" spans="1:17">
      <c r="A7" s="125" t="s">
        <v>59</v>
      </c>
      <c r="B7" s="126"/>
      <c r="C7" s="127"/>
      <c r="D7" s="14" t="e">
        <v>#N/A</v>
      </c>
      <c r="E7" s="1">
        <v>0.3</v>
      </c>
      <c r="F7" s="15" t="e">
        <f t="shared" si="2"/>
        <v>#N/A</v>
      </c>
      <c r="G7" s="74">
        <f t="shared" si="1"/>
        <v>15.75</v>
      </c>
      <c r="H7" s="70" t="e">
        <v>#N/A</v>
      </c>
      <c r="I7" s="84">
        <v>0.125</v>
      </c>
      <c r="J7" s="56">
        <f t="shared" si="0"/>
        <v>5.3E-3</v>
      </c>
      <c r="K7" s="54">
        <v>5.3E-3</v>
      </c>
      <c r="L7" s="53"/>
      <c r="M7" s="53"/>
      <c r="N7" s="53"/>
      <c r="O7" s="53"/>
      <c r="P7" s="53"/>
      <c r="Q7" s="53"/>
    </row>
    <row r="8" spans="1:17">
      <c r="A8" s="125" t="s">
        <v>54</v>
      </c>
      <c r="B8" s="126"/>
      <c r="C8" s="127"/>
      <c r="D8" s="14">
        <v>52.440000000000005</v>
      </c>
      <c r="E8" s="1">
        <v>7.0000000000000007E-2</v>
      </c>
      <c r="F8" s="15">
        <f t="shared" si="2"/>
        <v>3.6708000000000007</v>
      </c>
      <c r="G8" s="74">
        <f t="shared" si="1"/>
        <v>3.6750000000000007</v>
      </c>
      <c r="H8" s="70">
        <v>3.3810000000000007</v>
      </c>
      <c r="I8" s="84">
        <v>0.15</v>
      </c>
      <c r="J8" s="56">
        <f t="shared" si="0"/>
        <v>6.7840000000000001E-3</v>
      </c>
      <c r="K8" s="65">
        <f>J7/0.125*0.16</f>
        <v>6.7840000000000001E-3</v>
      </c>
      <c r="L8" s="53"/>
      <c r="M8" s="53"/>
      <c r="N8" s="53"/>
      <c r="O8" s="53"/>
      <c r="P8" s="53"/>
      <c r="Q8" s="53"/>
    </row>
    <row r="9" spans="1:17">
      <c r="A9" s="125" t="s">
        <v>57</v>
      </c>
      <c r="B9" s="126"/>
      <c r="C9" s="127"/>
      <c r="D9" s="14">
        <v>29.532</v>
      </c>
      <c r="E9" s="1">
        <v>0.06</v>
      </c>
      <c r="F9" s="15">
        <f t="shared" si="2"/>
        <v>1.7719199999999999</v>
      </c>
      <c r="G9" s="74">
        <f t="shared" si="1"/>
        <v>3.1500000000000004</v>
      </c>
      <c r="H9" s="70">
        <v>2.6964000000000001</v>
      </c>
      <c r="I9" s="84">
        <v>0.2</v>
      </c>
      <c r="J9" s="56">
        <f t="shared" si="0"/>
        <v>0</v>
      </c>
      <c r="K9" s="54"/>
      <c r="L9" s="53"/>
      <c r="M9" s="53"/>
      <c r="N9" s="53"/>
      <c r="O9" s="53"/>
      <c r="P9" s="53"/>
      <c r="Q9" s="53"/>
    </row>
    <row r="10" spans="1:17">
      <c r="A10" s="125" t="s">
        <v>55</v>
      </c>
      <c r="B10" s="126"/>
      <c r="C10" s="127"/>
      <c r="D10" s="14">
        <v>23.1</v>
      </c>
      <c r="E10" s="1">
        <v>0.04</v>
      </c>
      <c r="F10" s="15">
        <f t="shared" si="2"/>
        <v>0.92400000000000004</v>
      </c>
      <c r="G10" s="74">
        <f t="shared" si="1"/>
        <v>2.1</v>
      </c>
      <c r="H10" s="70">
        <v>1.9404000000000001</v>
      </c>
      <c r="I10" s="84">
        <v>0.25</v>
      </c>
      <c r="J10" s="56">
        <f t="shared" si="0"/>
        <v>0</v>
      </c>
      <c r="K10" s="54"/>
      <c r="L10" s="53"/>
      <c r="M10" s="53"/>
      <c r="N10" s="53"/>
      <c r="O10" s="53"/>
      <c r="P10" s="53"/>
      <c r="Q10" s="53"/>
    </row>
    <row r="11" spans="1:17">
      <c r="A11" s="125" t="s">
        <v>68</v>
      </c>
      <c r="B11" s="126"/>
      <c r="C11" s="127"/>
      <c r="D11" s="14" t="e">
        <v>#N/A</v>
      </c>
      <c r="E11" s="1">
        <v>0.1</v>
      </c>
      <c r="F11" s="15" t="e">
        <f t="shared" si="2"/>
        <v>#N/A</v>
      </c>
      <c r="G11" s="74">
        <f t="shared" si="1"/>
        <v>5.25</v>
      </c>
      <c r="H11" s="70" t="e">
        <v>#N/A</v>
      </c>
      <c r="I11" s="84">
        <v>0.3</v>
      </c>
      <c r="J11" s="56">
        <f t="shared" si="0"/>
        <v>0</v>
      </c>
      <c r="K11" s="54"/>
      <c r="L11" s="53"/>
      <c r="M11" s="53"/>
      <c r="N11" s="53"/>
      <c r="O11" s="53"/>
      <c r="P11" s="53"/>
      <c r="Q11" s="53"/>
    </row>
    <row r="12" spans="1:17">
      <c r="A12" s="125" t="s">
        <v>56</v>
      </c>
      <c r="B12" s="126"/>
      <c r="C12" s="127"/>
      <c r="D12" s="14" t="e">
        <v>#N/A</v>
      </c>
      <c r="E12" s="1">
        <v>1.5E-3</v>
      </c>
      <c r="F12" s="15" t="e">
        <f t="shared" si="2"/>
        <v>#N/A</v>
      </c>
      <c r="G12" s="74">
        <f t="shared" si="1"/>
        <v>7.8750000000000001E-2</v>
      </c>
      <c r="H12" s="70" t="e">
        <v>#N/A</v>
      </c>
      <c r="I12" s="84">
        <v>0.5</v>
      </c>
      <c r="J12" s="56">
        <f t="shared" si="0"/>
        <v>7.7999999999999996E-3</v>
      </c>
      <c r="K12" s="54">
        <v>7.7999999999999996E-3</v>
      </c>
      <c r="L12" s="53"/>
      <c r="M12" s="53"/>
      <c r="N12" s="53"/>
      <c r="O12" s="53"/>
      <c r="P12" s="53"/>
      <c r="Q12" s="53"/>
    </row>
    <row r="13" spans="1:17">
      <c r="A13" s="125" t="s">
        <v>58</v>
      </c>
      <c r="B13" s="126"/>
      <c r="C13" s="127"/>
      <c r="D13" s="14" t="e">
        <v>#N/A</v>
      </c>
      <c r="E13" s="1">
        <v>0.03</v>
      </c>
      <c r="F13" s="15" t="e">
        <f t="shared" si="2"/>
        <v>#N/A</v>
      </c>
      <c r="G13" s="74">
        <f t="shared" si="1"/>
        <v>1.5750000000000002</v>
      </c>
      <c r="H13" s="70" t="e">
        <v>#N/A</v>
      </c>
      <c r="I13" s="84">
        <v>1</v>
      </c>
      <c r="J13" s="56">
        <f t="shared" si="0"/>
        <v>9.7000000000000003E-3</v>
      </c>
      <c r="K13" s="54">
        <v>9.7000000000000003E-3</v>
      </c>
      <c r="L13" s="53"/>
      <c r="M13" s="53"/>
      <c r="N13" s="53"/>
      <c r="O13" s="53"/>
      <c r="P13" s="53"/>
      <c r="Q13" s="53"/>
    </row>
    <row r="14" spans="1:17">
      <c r="A14" s="125" t="s">
        <v>60</v>
      </c>
      <c r="B14" s="126"/>
      <c r="C14" s="127"/>
      <c r="D14" s="14">
        <v>45.084000000000003</v>
      </c>
      <c r="E14" s="2">
        <v>0.01</v>
      </c>
      <c r="F14" s="15">
        <f t="shared" si="2"/>
        <v>0.45084000000000002</v>
      </c>
      <c r="G14" s="74">
        <f t="shared" si="1"/>
        <v>0.52500000000000002</v>
      </c>
      <c r="H14" s="70">
        <v>0.46410000000000001</v>
      </c>
      <c r="I14" s="84">
        <v>5</v>
      </c>
      <c r="J14" s="56">
        <f>IF(K14&gt;0,AVERAGE(K14:BI14),0)</f>
        <v>0</v>
      </c>
      <c r="K14" s="54"/>
      <c r="L14" s="53"/>
      <c r="M14" s="53"/>
      <c r="N14" s="53"/>
      <c r="O14" s="53"/>
      <c r="P14" s="53"/>
      <c r="Q14" s="53"/>
    </row>
    <row r="15" spans="1:17">
      <c r="A15" s="125" t="s">
        <v>51</v>
      </c>
      <c r="B15" s="126"/>
      <c r="C15" s="127"/>
      <c r="D15" s="14">
        <v>35.6</v>
      </c>
      <c r="E15" s="2">
        <v>0.02</v>
      </c>
      <c r="F15" s="15">
        <f t="shared" si="2"/>
        <v>0.71200000000000008</v>
      </c>
      <c r="G15" s="74">
        <f t="shared" si="1"/>
        <v>1.05</v>
      </c>
      <c r="H15" s="70">
        <v>0.93450000000000011</v>
      </c>
      <c r="I15" s="84">
        <v>10</v>
      </c>
      <c r="J15" s="56">
        <f t="shared" si="0"/>
        <v>0</v>
      </c>
      <c r="K15" s="54"/>
      <c r="L15" s="53"/>
      <c r="M15" s="53"/>
      <c r="N15" s="53"/>
      <c r="O15" s="53"/>
      <c r="P15" s="53"/>
      <c r="Q15" s="53"/>
    </row>
    <row r="16" spans="1:17">
      <c r="A16" s="125"/>
      <c r="B16" s="126"/>
      <c r="C16" s="127"/>
      <c r="D16" s="14" t="s">
        <v>73</v>
      </c>
      <c r="E16" s="15"/>
      <c r="F16" s="15" t="str">
        <f t="shared" si="2"/>
        <v xml:space="preserve"> </v>
      </c>
      <c r="G16" s="74">
        <f t="shared" si="1"/>
        <v>0</v>
      </c>
      <c r="H16" s="70">
        <v>0</v>
      </c>
      <c r="I16" s="84">
        <v>0</v>
      </c>
      <c r="J16" s="56">
        <f t="shared" si="0"/>
        <v>4.1000000000000003E-3</v>
      </c>
      <c r="K16" s="54">
        <v>4.1000000000000003E-3</v>
      </c>
      <c r="L16" s="53"/>
      <c r="M16" s="53"/>
      <c r="N16" s="53"/>
      <c r="O16" s="53"/>
      <c r="P16" s="53"/>
      <c r="Q16" s="53"/>
    </row>
    <row r="17" spans="1:17">
      <c r="A17" s="125"/>
      <c r="B17" s="126"/>
      <c r="C17" s="127"/>
      <c r="D17" s="14" t="s">
        <v>73</v>
      </c>
      <c r="E17" s="15"/>
      <c r="F17" s="15" t="str">
        <f t="shared" si="2"/>
        <v xml:space="preserve"> </v>
      </c>
      <c r="G17" s="74">
        <f t="shared" si="1"/>
        <v>0</v>
      </c>
      <c r="H17" s="70">
        <v>0</v>
      </c>
      <c r="I17" s="84">
        <v>0</v>
      </c>
      <c r="J17" s="56">
        <f t="shared" si="0"/>
        <v>0</v>
      </c>
      <c r="K17" s="54"/>
      <c r="L17" s="53"/>
      <c r="M17" s="53"/>
      <c r="N17" s="53"/>
      <c r="O17" s="53"/>
      <c r="P17" s="53"/>
      <c r="Q17" s="53"/>
    </row>
    <row r="18" spans="1:17">
      <c r="A18" s="125"/>
      <c r="B18" s="126"/>
      <c r="C18" s="127"/>
      <c r="D18" s="14" t="s">
        <v>73</v>
      </c>
      <c r="E18" s="15"/>
      <c r="F18" s="15" t="str">
        <f t="shared" si="2"/>
        <v xml:space="preserve"> </v>
      </c>
      <c r="G18" s="74">
        <f t="shared" si="1"/>
        <v>0</v>
      </c>
      <c r="H18" s="70">
        <v>0</v>
      </c>
      <c r="I18" s="84">
        <v>0</v>
      </c>
      <c r="J18" s="56">
        <f t="shared" si="0"/>
        <v>0</v>
      </c>
      <c r="K18" s="54"/>
      <c r="L18" s="53"/>
      <c r="M18" s="53"/>
      <c r="N18" s="53"/>
      <c r="O18" s="53"/>
      <c r="P18" s="53"/>
      <c r="Q18" s="53"/>
    </row>
    <row r="19" spans="1:17">
      <c r="A19" s="125"/>
      <c r="B19" s="126"/>
      <c r="C19" s="127"/>
      <c r="D19" s="14" t="s">
        <v>73</v>
      </c>
      <c r="E19" s="15"/>
      <c r="F19" s="15" t="str">
        <f t="shared" si="2"/>
        <v xml:space="preserve"> </v>
      </c>
      <c r="G19" s="74">
        <f t="shared" si="1"/>
        <v>0</v>
      </c>
      <c r="H19" s="70">
        <v>0</v>
      </c>
      <c r="I19" s="75">
        <v>0</v>
      </c>
      <c r="J19" s="56">
        <f t="shared" si="0"/>
        <v>0</v>
      </c>
      <c r="K19" s="54"/>
      <c r="L19" s="53"/>
      <c r="M19" s="53"/>
      <c r="N19" s="53"/>
      <c r="O19" s="53"/>
      <c r="P19" s="53"/>
      <c r="Q19" s="53"/>
    </row>
    <row r="20" spans="1:17">
      <c r="A20" s="125"/>
      <c r="B20" s="126"/>
      <c r="C20" s="127"/>
      <c r="D20" s="14" t="s">
        <v>73</v>
      </c>
      <c r="E20" s="15"/>
      <c r="F20" s="15" t="str">
        <f t="shared" si="2"/>
        <v xml:space="preserve"> </v>
      </c>
      <c r="G20" s="74">
        <f t="shared" si="1"/>
        <v>0</v>
      </c>
      <c r="H20" s="70">
        <v>0</v>
      </c>
      <c r="I20" s="75">
        <v>0</v>
      </c>
      <c r="J20" s="56">
        <f t="shared" si="0"/>
        <v>0</v>
      </c>
      <c r="K20" s="54"/>
      <c r="L20" s="53"/>
      <c r="M20" s="53"/>
      <c r="N20" s="53"/>
      <c r="O20" s="53"/>
      <c r="P20" s="53"/>
      <c r="Q20" s="53"/>
    </row>
    <row r="21" spans="1:17">
      <c r="A21" s="125"/>
      <c r="B21" s="126"/>
      <c r="C21" s="127"/>
      <c r="D21" s="14" t="s">
        <v>73</v>
      </c>
      <c r="E21" s="15"/>
      <c r="F21" s="15" t="str">
        <f t="shared" si="2"/>
        <v xml:space="preserve"> </v>
      </c>
      <c r="G21" s="74">
        <f t="shared" si="1"/>
        <v>0</v>
      </c>
      <c r="H21" s="70">
        <v>0</v>
      </c>
      <c r="I21" s="75">
        <v>0</v>
      </c>
      <c r="J21" s="56">
        <f t="shared" si="0"/>
        <v>0</v>
      </c>
      <c r="K21" s="54"/>
      <c r="L21" s="53"/>
      <c r="M21" s="53"/>
      <c r="N21" s="53"/>
      <c r="O21" s="53"/>
      <c r="P21" s="53"/>
      <c r="Q21" s="53"/>
    </row>
    <row r="22" spans="1:17">
      <c r="A22" s="125"/>
      <c r="B22" s="126"/>
      <c r="C22" s="127"/>
      <c r="D22" s="14" t="s">
        <v>73</v>
      </c>
      <c r="E22" s="15"/>
      <c r="F22" s="15" t="str">
        <f t="shared" si="2"/>
        <v xml:space="preserve"> </v>
      </c>
      <c r="G22" s="74">
        <f t="shared" si="1"/>
        <v>0</v>
      </c>
      <c r="H22" s="70">
        <v>0</v>
      </c>
      <c r="I22" s="75">
        <v>0</v>
      </c>
      <c r="J22" s="56">
        <f t="shared" si="0"/>
        <v>0</v>
      </c>
      <c r="K22" s="54"/>
      <c r="L22" s="53"/>
      <c r="M22" s="53"/>
      <c r="N22" s="53"/>
      <c r="O22" s="53"/>
      <c r="P22" s="53"/>
      <c r="Q22" s="53"/>
    </row>
    <row r="23" spans="1:17" ht="15.75" thickBot="1">
      <c r="A23" s="125"/>
      <c r="B23" s="126"/>
      <c r="C23" s="127"/>
      <c r="D23" s="14" t="s">
        <v>73</v>
      </c>
      <c r="E23" s="15"/>
      <c r="F23" s="15" t="str">
        <f t="shared" si="2"/>
        <v xml:space="preserve"> </v>
      </c>
      <c r="G23" s="74">
        <f t="shared" si="1"/>
        <v>0</v>
      </c>
      <c r="H23" s="70">
        <v>0</v>
      </c>
      <c r="I23" s="76" t="s">
        <v>17</v>
      </c>
      <c r="J23" s="56">
        <f t="shared" si="0"/>
        <v>0.17</v>
      </c>
      <c r="K23" s="58">
        <v>0.17</v>
      </c>
      <c r="L23" s="59"/>
      <c r="M23" s="59"/>
      <c r="N23" s="59"/>
      <c r="O23" s="59"/>
      <c r="P23" s="59"/>
      <c r="Q23" s="59"/>
    </row>
    <row r="24" spans="1:17" ht="15.75" thickBot="1">
      <c r="A24" s="125"/>
      <c r="B24" s="126"/>
      <c r="C24" s="127"/>
      <c r="D24" s="14" t="s">
        <v>73</v>
      </c>
      <c r="E24" s="15"/>
      <c r="F24" s="15" t="str">
        <f t="shared" si="2"/>
        <v xml:space="preserve"> </v>
      </c>
      <c r="G24" s="74">
        <f t="shared" si="1"/>
        <v>0</v>
      </c>
      <c r="H24" s="70">
        <v>0</v>
      </c>
      <c r="I24" s="77" t="s">
        <v>63</v>
      </c>
      <c r="J24" s="56">
        <f t="shared" si="0"/>
        <v>0</v>
      </c>
      <c r="K24" s="60"/>
      <c r="L24" s="61"/>
      <c r="M24" s="61"/>
      <c r="N24" s="61"/>
      <c r="O24" s="61"/>
      <c r="P24" s="61"/>
      <c r="Q24" s="62"/>
    </row>
    <row r="25" spans="1:17">
      <c r="A25" s="125"/>
      <c r="B25" s="126"/>
      <c r="C25" s="127"/>
      <c r="D25" s="14" t="s">
        <v>73</v>
      </c>
      <c r="E25" s="15"/>
      <c r="F25" s="15" t="str">
        <f t="shared" si="2"/>
        <v xml:space="preserve"> </v>
      </c>
      <c r="G25" s="74">
        <f t="shared" si="1"/>
        <v>0</v>
      </c>
      <c r="H25" s="70">
        <v>0</v>
      </c>
      <c r="I25" s="78">
        <f>I3</f>
        <v>0.03</v>
      </c>
      <c r="J25" s="56">
        <f t="shared" si="0"/>
        <v>0</v>
      </c>
      <c r="K25" s="57"/>
      <c r="L25" s="70"/>
      <c r="M25" s="14"/>
      <c r="N25" s="15"/>
      <c r="O25" s="15"/>
      <c r="P25" s="53"/>
      <c r="Q25" s="63"/>
    </row>
    <row r="26" spans="1:17" ht="15.75" thickBot="1">
      <c r="A26" s="125"/>
      <c r="B26" s="126"/>
      <c r="C26" s="127"/>
      <c r="D26" s="14" t="s">
        <v>73</v>
      </c>
      <c r="E26" s="15"/>
      <c r="F26" s="15" t="str">
        <f t="shared" si="2"/>
        <v xml:space="preserve"> </v>
      </c>
      <c r="G26" s="85">
        <f t="shared" si="1"/>
        <v>0</v>
      </c>
      <c r="H26" s="70">
        <v>0</v>
      </c>
      <c r="I26" s="78">
        <f t="shared" ref="I26:I44" si="3">I4</f>
        <v>0.05</v>
      </c>
      <c r="J26" s="56">
        <f t="shared" si="0"/>
        <v>0</v>
      </c>
      <c r="K26" s="57"/>
      <c r="L26" s="70"/>
      <c r="M26" s="14"/>
      <c r="N26" s="15"/>
      <c r="O26" s="15"/>
      <c r="P26" s="53"/>
      <c r="Q26" s="63"/>
    </row>
    <row r="27" spans="1:17" ht="15.75" thickBot="1">
      <c r="A27" s="104"/>
      <c r="B27" s="105"/>
      <c r="C27" s="128"/>
      <c r="D27" s="14" t="s">
        <v>73</v>
      </c>
      <c r="E27" s="16"/>
      <c r="F27" s="17" t="s">
        <v>40</v>
      </c>
      <c r="G27" s="68"/>
      <c r="H27" s="86"/>
      <c r="I27" s="78">
        <f t="shared" si="3"/>
        <v>0.06</v>
      </c>
      <c r="J27" s="56">
        <f t="shared" si="0"/>
        <v>0</v>
      </c>
      <c r="K27" s="57"/>
      <c r="L27" s="70"/>
      <c r="M27" s="14"/>
      <c r="N27" s="15"/>
      <c r="O27" s="15"/>
      <c r="P27" s="53"/>
      <c r="Q27" s="63"/>
    </row>
    <row r="28" spans="1:17" ht="15.75" thickBot="1">
      <c r="A28" s="5"/>
      <c r="B28" s="67"/>
      <c r="C28" s="12"/>
      <c r="D28" s="8" t="s">
        <v>45</v>
      </c>
      <c r="E28" s="87" t="str">
        <f>(CONCATENATE(ROUND((1-SUM(E5:E27)),3),"%"))</f>
        <v>0,03%</v>
      </c>
      <c r="F28" s="19" t="str">
        <f>CONCATENATE(ROUND(SUM(F16:F27),3)," ","euro")</f>
        <v>0 euro</v>
      </c>
      <c r="G28" s="67"/>
      <c r="H28" s="88"/>
      <c r="I28" s="78">
        <f t="shared" si="3"/>
        <v>0.1</v>
      </c>
      <c r="J28" s="56">
        <f t="shared" si="0"/>
        <v>0</v>
      </c>
      <c r="K28" s="57"/>
      <c r="L28" s="70"/>
      <c r="M28" s="14"/>
      <c r="N28" s="15"/>
      <c r="O28" s="15"/>
      <c r="P28" s="53"/>
      <c r="Q28" s="63"/>
    </row>
    <row r="29" spans="1:17" ht="15.75" thickBot="1">
      <c r="A29" s="5"/>
      <c r="B29" s="67"/>
      <c r="C29" s="67"/>
      <c r="D29" s="89" t="s">
        <v>41</v>
      </c>
      <c r="E29" s="20"/>
      <c r="F29" s="7">
        <v>5</v>
      </c>
      <c r="G29" s="66"/>
      <c r="H29" s="82"/>
      <c r="I29" s="78">
        <f t="shared" si="3"/>
        <v>0.125</v>
      </c>
      <c r="J29" s="56">
        <f t="shared" si="0"/>
        <v>6.0000000000000001E-3</v>
      </c>
      <c r="K29" s="65">
        <v>6.0000000000000001E-3</v>
      </c>
      <c r="L29" s="53"/>
      <c r="M29" s="53"/>
      <c r="N29" s="53"/>
      <c r="O29" s="53"/>
      <c r="P29" s="53"/>
      <c r="Q29" s="63"/>
    </row>
    <row r="30" spans="1:17" ht="15.75" thickBot="1">
      <c r="A30" s="5"/>
      <c r="B30" s="67"/>
      <c r="C30" s="129" t="s">
        <v>46</v>
      </c>
      <c r="D30" s="130"/>
      <c r="E30" s="21"/>
      <c r="F30" s="22">
        <f>ROUND(SUM(F16:F27)*(1+(F29/100)),3)</f>
        <v>0</v>
      </c>
      <c r="G30" s="66"/>
      <c r="H30" s="82"/>
      <c r="I30" s="78">
        <f t="shared" si="3"/>
        <v>0.15</v>
      </c>
      <c r="J30" s="56">
        <f t="shared" si="0"/>
        <v>6.0000000000000001E-3</v>
      </c>
      <c r="K30" s="65">
        <v>6.0000000000000001E-3</v>
      </c>
      <c r="L30" s="53"/>
      <c r="M30" s="53"/>
      <c r="N30" s="53"/>
      <c r="O30" s="53"/>
      <c r="P30" s="53"/>
      <c r="Q30" s="63"/>
    </row>
    <row r="31" spans="1:17" ht="15.75" thickBot="1">
      <c r="A31" s="117" t="s">
        <v>11</v>
      </c>
      <c r="B31" s="119"/>
      <c r="C31" s="117" t="s">
        <v>9</v>
      </c>
      <c r="D31" s="119"/>
      <c r="E31" s="18" t="s">
        <v>7</v>
      </c>
      <c r="F31" s="68" t="s">
        <v>8</v>
      </c>
      <c r="G31" s="90"/>
      <c r="H31" s="91"/>
      <c r="I31" s="78">
        <f t="shared" si="3"/>
        <v>0.2</v>
      </c>
      <c r="J31" s="56">
        <f t="shared" si="0"/>
        <v>0</v>
      </c>
      <c r="K31" s="54"/>
      <c r="L31" s="53"/>
      <c r="M31" s="53"/>
      <c r="N31" s="53"/>
      <c r="O31" s="53"/>
      <c r="P31" s="53"/>
      <c r="Q31" s="63"/>
    </row>
    <row r="32" spans="1:17" ht="15.75" thickBot="1">
      <c r="A32" s="117" t="s">
        <v>12</v>
      </c>
      <c r="B32" s="119"/>
      <c r="C32" s="117">
        <f>0.5+J2</f>
        <v>0.63300000000000001</v>
      </c>
      <c r="D32" s="119"/>
      <c r="E32" s="23">
        <v>30</v>
      </c>
      <c r="F32" s="23">
        <f>IF(C32&lt;&gt;" ",C32*E32," ")</f>
        <v>18.990000000000002</v>
      </c>
      <c r="G32" s="90"/>
      <c r="H32" s="91"/>
      <c r="I32" s="78">
        <f t="shared" si="3"/>
        <v>0.25</v>
      </c>
      <c r="J32" s="56">
        <f t="shared" si="0"/>
        <v>0</v>
      </c>
      <c r="K32" s="54"/>
      <c r="L32" s="53"/>
      <c r="M32" s="53"/>
      <c r="N32" s="53"/>
      <c r="O32" s="53"/>
      <c r="P32" s="53"/>
      <c r="Q32" s="63"/>
    </row>
    <row r="33" spans="1:17" ht="15.75" thickBot="1">
      <c r="A33" s="117" t="s">
        <v>17</v>
      </c>
      <c r="B33" s="119"/>
      <c r="C33" s="117">
        <f>J23</f>
        <v>0.17</v>
      </c>
      <c r="D33" s="119"/>
      <c r="E33" s="23">
        <v>25</v>
      </c>
      <c r="F33" s="23">
        <f>IF(C33&lt;&gt;" ",C33*E33," ")</f>
        <v>4.25</v>
      </c>
      <c r="G33" s="90"/>
      <c r="H33" s="91"/>
      <c r="I33" s="78">
        <f t="shared" si="3"/>
        <v>0.3</v>
      </c>
      <c r="J33" s="56">
        <f t="shared" si="0"/>
        <v>0</v>
      </c>
      <c r="K33" s="54"/>
      <c r="L33" s="53"/>
      <c r="M33" s="53"/>
      <c r="N33" s="53"/>
      <c r="O33" s="53"/>
      <c r="P33" s="53"/>
      <c r="Q33" s="63"/>
    </row>
    <row r="34" spans="1:17" ht="15.75" thickBot="1">
      <c r="A34" s="117" t="s">
        <v>28</v>
      </c>
      <c r="B34" s="119"/>
      <c r="C34" s="117">
        <v>1</v>
      </c>
      <c r="D34" s="119"/>
      <c r="E34" s="23">
        <v>30</v>
      </c>
      <c r="F34" s="11">
        <f t="shared" ref="F34" si="4">IF(C34&lt;&gt;" ",C34*E34," ")</f>
        <v>30</v>
      </c>
      <c r="G34" s="90"/>
      <c r="H34" s="91"/>
      <c r="I34" s="78">
        <f t="shared" si="3"/>
        <v>0.5</v>
      </c>
      <c r="J34" s="56">
        <f t="shared" si="0"/>
        <v>6.0000000000000001E-3</v>
      </c>
      <c r="K34">
        <v>6.0000000000000001E-3</v>
      </c>
      <c r="L34" s="53"/>
      <c r="M34" s="53"/>
      <c r="N34" s="53"/>
      <c r="O34" s="53"/>
      <c r="P34" s="53"/>
      <c r="Q34" s="63"/>
    </row>
    <row r="35" spans="1:17" ht="15.75" thickBot="1">
      <c r="A35" s="131"/>
      <c r="B35" s="132"/>
      <c r="C35" s="25"/>
      <c r="D35" s="8" t="s">
        <v>6</v>
      </c>
      <c r="E35" s="26"/>
      <c r="F35" s="27">
        <f>ROUND((SUM($F32:$F34)/$E$3),3)</f>
        <v>1.0649999999999999</v>
      </c>
      <c r="G35" s="92" t="s">
        <v>50</v>
      </c>
      <c r="H35" s="93"/>
      <c r="I35" s="78">
        <f t="shared" si="3"/>
        <v>1</v>
      </c>
      <c r="J35" s="56">
        <f t="shared" si="0"/>
        <v>0</v>
      </c>
      <c r="K35" s="54"/>
      <c r="L35" s="53"/>
      <c r="M35" s="53"/>
      <c r="N35" s="53"/>
      <c r="O35" s="53"/>
      <c r="P35" s="53"/>
      <c r="Q35" s="63"/>
    </row>
    <row r="36" spans="1:17" ht="15.75" thickBot="1">
      <c r="A36" s="68" t="s">
        <v>13</v>
      </c>
      <c r="B36" s="10"/>
      <c r="C36" s="10"/>
      <c r="D36" s="72"/>
      <c r="E36" s="72"/>
      <c r="F36" s="24"/>
      <c r="G36" s="24"/>
      <c r="H36" s="82"/>
      <c r="I36" s="78">
        <f t="shared" si="3"/>
        <v>5</v>
      </c>
      <c r="J36" s="56">
        <f t="shared" si="0"/>
        <v>0</v>
      </c>
      <c r="K36" s="54"/>
      <c r="L36" s="53"/>
      <c r="M36" s="53"/>
      <c r="N36" s="53"/>
      <c r="O36" s="53"/>
      <c r="P36" s="53"/>
      <c r="Q36" s="63"/>
    </row>
    <row r="37" spans="1:17" ht="15.75" thickBot="1">
      <c r="A37" s="114" t="s">
        <v>14</v>
      </c>
      <c r="B37" s="115"/>
      <c r="C37" s="116"/>
      <c r="D37" s="29">
        <v>0.5</v>
      </c>
      <c r="E37" s="30" t="s">
        <v>5</v>
      </c>
      <c r="F37" s="31" t="s">
        <v>47</v>
      </c>
      <c r="G37" s="94">
        <f>IF(D37=0," ",E3/D37)</f>
        <v>100</v>
      </c>
      <c r="H37" s="93"/>
      <c r="I37" s="78">
        <f t="shared" si="3"/>
        <v>10</v>
      </c>
      <c r="J37" s="56">
        <f t="shared" si="0"/>
        <v>0</v>
      </c>
      <c r="K37" s="54"/>
      <c r="L37" s="53"/>
      <c r="M37" s="53"/>
      <c r="N37" s="53"/>
      <c r="O37" s="53"/>
      <c r="P37" s="53"/>
      <c r="Q37" s="63"/>
    </row>
    <row r="38" spans="1:17" ht="15.75" thickBot="1">
      <c r="A38" s="114" t="s">
        <v>25</v>
      </c>
      <c r="B38" s="115"/>
      <c r="C38" s="116"/>
      <c r="D38" s="33"/>
      <c r="E38" s="20"/>
      <c r="F38" s="34"/>
      <c r="G38" s="95"/>
      <c r="H38" s="91"/>
      <c r="I38" s="78">
        <f t="shared" si="3"/>
        <v>0</v>
      </c>
      <c r="J38" s="56">
        <f t="shared" si="0"/>
        <v>0</v>
      </c>
      <c r="K38" s="54"/>
      <c r="L38" s="53"/>
      <c r="M38" s="53"/>
      <c r="N38" s="53"/>
      <c r="O38" s="53"/>
      <c r="P38" s="53"/>
      <c r="Q38" s="63"/>
    </row>
    <row r="39" spans="1:17" ht="15.75" thickBot="1">
      <c r="A39" s="117" t="s">
        <v>11</v>
      </c>
      <c r="B39" s="118"/>
      <c r="C39" s="119"/>
      <c r="D39" s="23" t="s">
        <v>16</v>
      </c>
      <c r="E39" s="23" t="s">
        <v>7</v>
      </c>
      <c r="F39" s="73" t="s">
        <v>8</v>
      </c>
      <c r="G39" s="95"/>
      <c r="H39" s="91"/>
      <c r="I39" s="78">
        <f t="shared" si="3"/>
        <v>0</v>
      </c>
      <c r="J39" s="56">
        <f t="shared" si="0"/>
        <v>0</v>
      </c>
      <c r="K39" s="54"/>
      <c r="L39" s="53"/>
      <c r="M39" s="53"/>
      <c r="N39" s="53"/>
      <c r="O39" s="53"/>
      <c r="P39" s="53"/>
      <c r="Q39" s="63"/>
    </row>
    <row r="40" spans="1:17" ht="15.75" thickBot="1">
      <c r="A40" s="117" t="s">
        <v>36</v>
      </c>
      <c r="B40" s="118"/>
      <c r="C40" s="119"/>
      <c r="D40" s="96">
        <f>VLOOKUP(D37,I3:J22,2,FALSE)</f>
        <v>7.7999999999999996E-3</v>
      </c>
      <c r="E40" s="31">
        <v>25</v>
      </c>
      <c r="F40" s="23">
        <f>IF(D40&lt;&gt;" ",D40*E40," ")</f>
        <v>0.19499999999999998</v>
      </c>
      <c r="G40" s="95"/>
      <c r="H40" s="91"/>
      <c r="I40" s="78">
        <f t="shared" si="3"/>
        <v>0</v>
      </c>
      <c r="J40" s="56">
        <f t="shared" si="0"/>
        <v>0</v>
      </c>
      <c r="K40" s="54"/>
      <c r="L40" s="53"/>
      <c r="M40" s="53"/>
      <c r="N40" s="53"/>
      <c r="O40" s="53"/>
      <c r="P40" s="53"/>
      <c r="Q40" s="63"/>
    </row>
    <row r="41" spans="1:17" ht="15.75" thickBot="1">
      <c r="A41" s="117" t="s">
        <v>37</v>
      </c>
      <c r="B41" s="118"/>
      <c r="C41" s="119"/>
      <c r="D41" s="96">
        <f>VLOOKUP(D37,I25:J44,2,FALSE)</f>
        <v>6.0000000000000001E-3</v>
      </c>
      <c r="E41" s="31">
        <v>25</v>
      </c>
      <c r="F41" s="23">
        <f t="shared" ref="F41:F42" si="5">IF(D41&lt;&gt;" ",D41*E41," ")</f>
        <v>0.15</v>
      </c>
      <c r="G41" s="95"/>
      <c r="H41" s="91"/>
      <c r="I41" s="78">
        <f t="shared" si="3"/>
        <v>0</v>
      </c>
      <c r="J41" s="56">
        <f t="shared" si="0"/>
        <v>0</v>
      </c>
      <c r="K41" s="54"/>
      <c r="L41" s="53"/>
      <c r="M41" s="53"/>
      <c r="N41" s="53"/>
      <c r="O41" s="53"/>
      <c r="P41" s="53"/>
      <c r="Q41" s="63"/>
    </row>
    <row r="42" spans="1:17" ht="15.75" thickBot="1">
      <c r="A42" s="117" t="s">
        <v>15</v>
      </c>
      <c r="B42" s="118"/>
      <c r="C42" s="119"/>
      <c r="D42" s="96">
        <v>2.8E-3</v>
      </c>
      <c r="E42" s="31">
        <v>25</v>
      </c>
      <c r="F42" s="11">
        <f t="shared" si="5"/>
        <v>6.9999999999999993E-2</v>
      </c>
      <c r="G42" s="95"/>
      <c r="H42" s="91"/>
      <c r="I42" s="78">
        <f t="shared" si="3"/>
        <v>0</v>
      </c>
      <c r="J42" s="56">
        <f t="shared" si="0"/>
        <v>0</v>
      </c>
      <c r="K42" s="54"/>
      <c r="L42" s="53"/>
      <c r="M42" s="53"/>
      <c r="N42" s="53"/>
      <c r="O42" s="53"/>
      <c r="P42" s="53"/>
      <c r="Q42" s="63"/>
    </row>
    <row r="43" spans="1:17" ht="15.75" thickBot="1">
      <c r="A43" s="71"/>
      <c r="B43" s="31"/>
      <c r="C43" s="69"/>
      <c r="D43" s="8" t="s">
        <v>48</v>
      </c>
      <c r="E43" s="26"/>
      <c r="F43" s="36">
        <f>IF($D37=0," ",(SUM(F40:F42)))</f>
        <v>0.41499999999999998</v>
      </c>
      <c r="G43" s="92" t="s">
        <v>50</v>
      </c>
      <c r="H43" s="93"/>
      <c r="I43" s="78">
        <f t="shared" si="3"/>
        <v>0</v>
      </c>
      <c r="J43" s="56">
        <f t="shared" si="0"/>
        <v>0</v>
      </c>
      <c r="K43" s="54"/>
      <c r="L43" s="53"/>
      <c r="M43" s="53"/>
      <c r="N43" s="53"/>
      <c r="O43" s="53"/>
      <c r="P43" s="53"/>
      <c r="Q43" s="63"/>
    </row>
    <row r="44" spans="1:17" ht="15.75" thickBot="1">
      <c r="A44" s="25" t="s">
        <v>42</v>
      </c>
      <c r="B44" s="24"/>
      <c r="C44" s="24"/>
      <c r="D44" s="10"/>
      <c r="E44" s="10"/>
      <c r="F44" s="24"/>
      <c r="G44" s="24"/>
      <c r="H44" s="83"/>
      <c r="I44" s="81">
        <f t="shared" si="3"/>
        <v>0</v>
      </c>
      <c r="J44" s="56">
        <f t="shared" si="0"/>
        <v>0</v>
      </c>
      <c r="K44" s="64"/>
      <c r="L44" s="50"/>
      <c r="M44" s="50"/>
      <c r="N44" s="50"/>
      <c r="O44" s="50"/>
      <c r="P44" s="50"/>
      <c r="Q44" s="52"/>
    </row>
    <row r="45" spans="1:17" ht="15.75" thickBot="1">
      <c r="A45" s="117" t="s">
        <v>11</v>
      </c>
      <c r="B45" s="118"/>
      <c r="C45" s="119"/>
      <c r="D45" s="114" t="s">
        <v>26</v>
      </c>
      <c r="E45" s="116"/>
      <c r="F45" s="37" t="s">
        <v>23</v>
      </c>
      <c r="G45" s="32"/>
      <c r="H45" s="97"/>
      <c r="I45" s="4"/>
      <c r="J45" s="4"/>
    </row>
    <row r="46" spans="1:17">
      <c r="A46" s="120" t="s">
        <v>19</v>
      </c>
      <c r="B46" s="121"/>
      <c r="C46" s="122"/>
      <c r="D46" s="123">
        <v>0</v>
      </c>
      <c r="E46" s="124"/>
      <c r="F46" s="39" t="s">
        <v>73</v>
      </c>
      <c r="G46" s="35"/>
      <c r="H46" s="97"/>
      <c r="I46" s="4"/>
      <c r="J46" s="4"/>
    </row>
    <row r="47" spans="1:17">
      <c r="A47" s="104" t="s">
        <v>24</v>
      </c>
      <c r="B47" s="105"/>
      <c r="C47" s="106"/>
      <c r="D47" s="107" t="s">
        <v>69</v>
      </c>
      <c r="E47" s="108"/>
      <c r="F47" s="39">
        <v>9.8000000000000004E-2</v>
      </c>
      <c r="G47" s="35"/>
      <c r="H47" s="97"/>
      <c r="I47" s="4"/>
      <c r="J47" s="4"/>
    </row>
    <row r="48" spans="1:17">
      <c r="A48" s="104" t="s">
        <v>27</v>
      </c>
      <c r="B48" s="105"/>
      <c r="C48" s="106"/>
      <c r="D48" s="107" t="s">
        <v>71</v>
      </c>
      <c r="E48" s="108"/>
      <c r="F48" s="39">
        <v>1.6799999999999999E-2</v>
      </c>
      <c r="G48" s="35"/>
      <c r="H48" s="97"/>
      <c r="I48" s="12"/>
      <c r="J48" s="12"/>
    </row>
    <row r="49" spans="1:10">
      <c r="A49" s="104" t="s">
        <v>20</v>
      </c>
      <c r="B49" s="105"/>
      <c r="C49" s="106"/>
      <c r="D49" s="107" t="s">
        <v>70</v>
      </c>
      <c r="E49" s="108"/>
      <c r="F49" s="39">
        <v>0.105</v>
      </c>
      <c r="G49" s="35"/>
      <c r="H49" s="97"/>
      <c r="I49" s="98"/>
      <c r="J49" s="12"/>
    </row>
    <row r="50" spans="1:10">
      <c r="A50" s="104" t="s">
        <v>18</v>
      </c>
      <c r="B50" s="105"/>
      <c r="C50" s="106"/>
      <c r="D50" s="107">
        <v>0</v>
      </c>
      <c r="E50" s="108"/>
      <c r="F50" s="39" t="s">
        <v>73</v>
      </c>
      <c r="G50" s="35"/>
      <c r="H50" s="97"/>
      <c r="I50" s="67"/>
      <c r="J50" s="12"/>
    </row>
    <row r="51" spans="1:10">
      <c r="A51" s="104" t="s">
        <v>21</v>
      </c>
      <c r="B51" s="105"/>
      <c r="C51" s="106"/>
      <c r="D51" s="107" t="s">
        <v>65</v>
      </c>
      <c r="E51" s="108"/>
      <c r="F51" s="39">
        <v>0.15</v>
      </c>
      <c r="G51" s="35"/>
      <c r="H51" s="97"/>
      <c r="I51" s="67"/>
      <c r="J51" s="12"/>
    </row>
    <row r="52" spans="1:10">
      <c r="A52" s="104" t="s">
        <v>22</v>
      </c>
      <c r="B52" s="105"/>
      <c r="C52" s="106"/>
      <c r="D52" s="107">
        <v>0</v>
      </c>
      <c r="E52" s="108"/>
      <c r="F52" s="39" t="s">
        <v>73</v>
      </c>
      <c r="G52" s="35" t="s">
        <v>66</v>
      </c>
      <c r="H52" s="97"/>
      <c r="I52" s="67"/>
      <c r="J52" s="12"/>
    </row>
    <row r="53" spans="1:10" ht="15.75" thickBot="1">
      <c r="A53" s="109" t="s">
        <v>39</v>
      </c>
      <c r="B53" s="110"/>
      <c r="C53" s="111"/>
      <c r="D53" s="112">
        <v>0</v>
      </c>
      <c r="E53" s="113"/>
      <c r="F53" s="40">
        <f>IF(D53=91,#REF!/#REF!*D37,IF(D53=44,#REF!/#REF!*D37,IF(D53="Belgique",#REF!/#REF!*D37,0)))</f>
        <v>0</v>
      </c>
      <c r="G53" s="35">
        <v>50</v>
      </c>
      <c r="H53" s="97"/>
      <c r="I53" s="67"/>
      <c r="J53" s="12"/>
    </row>
    <row r="54" spans="1:10" ht="15.75" thickBot="1">
      <c r="A54" s="41"/>
      <c r="B54" s="12"/>
      <c r="C54" s="99"/>
      <c r="D54" s="42" t="s">
        <v>49</v>
      </c>
      <c r="E54" s="100"/>
      <c r="F54" s="43">
        <f>SUM(F46:F53)</f>
        <v>0.36980000000000002</v>
      </c>
      <c r="G54" s="28" t="s">
        <v>50</v>
      </c>
      <c r="H54" s="101"/>
      <c r="I54" s="12"/>
      <c r="J54" s="12"/>
    </row>
    <row r="55" spans="1:10">
      <c r="A55" s="44" t="s">
        <v>29</v>
      </c>
      <c r="B55" s="45" t="s">
        <v>30</v>
      </c>
      <c r="C55" s="46" t="s">
        <v>31</v>
      </c>
      <c r="D55" s="46" t="s">
        <v>34</v>
      </c>
      <c r="E55" s="46" t="s">
        <v>32</v>
      </c>
      <c r="F55" s="47" t="s">
        <v>35</v>
      </c>
      <c r="G55" s="48" t="s">
        <v>33</v>
      </c>
      <c r="H55" s="102"/>
      <c r="I55" s="12"/>
      <c r="J55" s="12"/>
    </row>
    <row r="56" spans="1:10" ht="15.75" thickBot="1">
      <c r="A56" s="49">
        <f>ROUND((F30+F35)*D37+F43+F54,3)</f>
        <v>1.3169999999999999</v>
      </c>
      <c r="B56" s="50">
        <f>1.5*A56</f>
        <v>1.9754999999999998</v>
      </c>
      <c r="C56" s="50">
        <f>2*A56</f>
        <v>2.6339999999999999</v>
      </c>
      <c r="D56" s="50">
        <f>2.5*A56</f>
        <v>3.2925</v>
      </c>
      <c r="E56" s="50">
        <f>3*A56</f>
        <v>3.9509999999999996</v>
      </c>
      <c r="F56" s="51">
        <f>3.5*A56</f>
        <v>4.6094999999999997</v>
      </c>
      <c r="G56" s="52">
        <f>4*A56</f>
        <v>5.2679999999999998</v>
      </c>
      <c r="H56" s="103"/>
      <c r="I56" s="12"/>
      <c r="J56" s="12"/>
    </row>
  </sheetData>
  <mergeCells count="60">
    <mergeCell ref="A13:C13"/>
    <mergeCell ref="B2:D2"/>
    <mergeCell ref="A3:B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37:C37"/>
    <mergeCell ref="A26:C26"/>
    <mergeCell ref="A27:C27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A48:C48"/>
    <mergeCell ref="D48:E48"/>
    <mergeCell ref="A38:C38"/>
    <mergeCell ref="A39:C39"/>
    <mergeCell ref="A40:C40"/>
    <mergeCell ref="A41:C41"/>
    <mergeCell ref="A42:C42"/>
    <mergeCell ref="A45:C45"/>
    <mergeCell ref="D45:E45"/>
    <mergeCell ref="A46:C46"/>
    <mergeCell ref="D46:E46"/>
    <mergeCell ref="A47:C47"/>
    <mergeCell ref="D47:E47"/>
    <mergeCell ref="A52:C52"/>
    <mergeCell ref="D52:E52"/>
    <mergeCell ref="A53:C53"/>
    <mergeCell ref="D53:E53"/>
    <mergeCell ref="A49:C49"/>
    <mergeCell ref="D49:E49"/>
    <mergeCell ref="A50:C50"/>
    <mergeCell ref="D50:E50"/>
    <mergeCell ref="A51:C51"/>
    <mergeCell ref="D51:E51"/>
  </mergeCells>
  <dataValidations count="8">
    <dataValidation type="list" allowBlank="1" showInputMessage="1" showErrorMessage="1" sqref="D37">
      <formula1>$I$3:$I$22</formula1>
    </dataValidation>
    <dataValidation type="list" allowBlank="1" showInputMessage="1" showErrorMessage="1" sqref="A5:A26">
      <formula1>[1]tri!$A$2:$A$165</formula1>
    </dataValidation>
    <dataValidation type="list" allowBlank="1" showInputMessage="1" showErrorMessage="1" sqref="D47:E47">
      <formula1>'[2]2'!$A$2:$A$214</formula1>
    </dataValidation>
    <dataValidation type="list" allowBlank="1" showInputMessage="1" showErrorMessage="1" sqref="D49:E49">
      <formula1>'[2]2'!$M$2:$M$214</formula1>
    </dataValidation>
    <dataValidation type="list" allowBlank="1" showInputMessage="1" showErrorMessage="1" sqref="D50:E50">
      <formula1>'[2]2'!$S$2:$S$214</formula1>
    </dataValidation>
    <dataValidation type="list" allowBlank="1" showInputMessage="1" showErrorMessage="1" sqref="D51:E51">
      <formula1>'[2]2'!$Y$2:$Y$214</formula1>
    </dataValidation>
    <dataValidation type="list" allowBlank="1" showInputMessage="1" showErrorMessage="1" sqref="D52:E52">
      <formula1>'[2]2'!$AE$2:$AE$214</formula1>
    </dataValidation>
    <dataValidation type="list" allowBlank="1" showInputMessage="1" showErrorMessage="1" sqref="D46:E46 D48:E48">
      <formula1>'[2]2'!$G$2:$G$214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H9" sqref="H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bain non moussant circulatoire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bureau</dc:creator>
  <cp:lastModifiedBy>labo</cp:lastModifiedBy>
  <cp:lastPrinted>2016-02-01T16:36:58Z</cp:lastPrinted>
  <dcterms:created xsi:type="dcterms:W3CDTF">2013-02-15T11:10:59Z</dcterms:created>
  <dcterms:modified xsi:type="dcterms:W3CDTF">2016-02-03T11:26:16Z</dcterms:modified>
</cp:coreProperties>
</file>